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FT\Modelos de Costos\Consulta Pública - Modelos de Costos\13102015 - Accesibilidad\5. Coubicación Movil\"/>
    </mc:Choice>
  </mc:AlternateContent>
  <bookViews>
    <workbookView xWindow="0" yWindow="0" windowWidth="28800" windowHeight="12435" activeTab="3"/>
  </bookViews>
  <sheets>
    <sheet name="C" sheetId="50" r:id="rId1"/>
    <sheet name="S" sheetId="47" r:id="rId2"/>
    <sheet name="L" sheetId="51" r:id="rId3"/>
    <sheet name="Control" sheetId="49" r:id="rId4"/>
    <sheet name="Costos unitarios" sheetId="53" r:id="rId5"/>
    <sheet name="Dimensionado" sheetId="52" r:id="rId6"/>
    <sheet name="Costeo" sheetId="54" r:id="rId7"/>
    <sheet name="Precio" sheetId="55" r:id="rId8"/>
    <sheet name="Caracteristicas tecnicas" sheetId="59" r:id="rId9"/>
    <sheet name="Cálculos secundarios" sheetId="58" r:id="rId10"/>
  </sheets>
  <definedNames>
    <definedName name="actualizar.seleccion">L!$C$219</definedName>
    <definedName name="aire.acondicionado.activo">Control!$F$111</definedName>
    <definedName name="aire.acondicionado.capacidad.superficie">Control!$F$113</definedName>
    <definedName name="aire.acondicionado.capacidad.utilizada">Control!$F$114</definedName>
    <definedName name="altura.torre.arriostrada">L!$D$90:$D$120</definedName>
    <definedName name="altura.torre.autosoportada">L!$C$90:$C$113</definedName>
    <definedName name="altura.torre.mástil">L!$F$90:$F$99</definedName>
    <definedName name="altura.torre.monopolo">L!$E$90:$E$99</definedName>
    <definedName name="altura.torre.unidades">L!#REF!</definedName>
    <definedName name="antenas.MW.AEP">Control!$H$43</definedName>
    <definedName name="antenas.MW.CS1">Control!$H$48</definedName>
    <definedName name="antenas.MW.CS2">Control!$H$53</definedName>
    <definedName name="antenas.MW.CS3">Control!$H$58</definedName>
    <definedName name="antenas.RF.AEP">Control!$H$42</definedName>
    <definedName name="antenas.RF.CS1">Control!$H$47</definedName>
    <definedName name="antenas.RF.CS2">Control!$H$52</definedName>
    <definedName name="antenas.RF.CS3">Control!$H$57</definedName>
    <definedName name="año.activo">Control!$F$32</definedName>
    <definedName name="años">L!$C$24:$C$33</definedName>
    <definedName name="area.antennas">'Caracteristicas tecnicas'!$F$112</definedName>
    <definedName name="area.BBS.indoor.AEP.caseta.AEP">Dimensionado!$F$86</definedName>
    <definedName name="area.BBS.indoor.CS1.caseta.AEP">Dimensionado!$F$87</definedName>
    <definedName name="area.BBS.indoor.CS1.caseta.CS">Dimensionado!$F$147</definedName>
    <definedName name="area.BBS.indoor.CS2.caseta.AEP">Dimensionado!$F$88</definedName>
    <definedName name="area.BBS.indoor.CS2.caseta.CS">Dimensionado!$F$151</definedName>
    <definedName name="area.BBS.indoor.CS3.caseta.AEP">Dimensionado!$F$89</definedName>
    <definedName name="area.BBS.indoor.CS3.caseta.CS">Dimensionado!$F$155</definedName>
    <definedName name="area.BBS.outdoor.AEP">Dimensionado!$F$179</definedName>
    <definedName name="area.BBS.outdoor.CS1">Dimensionado!$F$204</definedName>
    <definedName name="area.BBS.outdoor.CS2">Dimensionado!$F$205</definedName>
    <definedName name="area.BBS.outdoor.CS3">Dimensionado!$F$206</definedName>
    <definedName name="area.BBSs.outdoor.CSs">Dimensionado!$F$189</definedName>
    <definedName name="area.BTS.indoor">'Caracteristicas tecnicas'!$F$21</definedName>
    <definedName name="area.BTS.indoor.AEP.caseta.AEP">Dimensionado!$F$55</definedName>
    <definedName name="area.BTS.indoor.CS1.caseta.AEP">Dimensionado!$F$61</definedName>
    <definedName name="area.BTS.indoor.CS1.caseta.CS">Dimensionado!$F$146</definedName>
    <definedName name="area.BTS.indoor.CS2.caseta.AEP">Dimensionado!$F$67</definedName>
    <definedName name="area.BTS.indoor.CS2.caseta.CS">Dimensionado!$F$150</definedName>
    <definedName name="area.BTS.indoor.CS3.caseta.AEP">Dimensionado!$F$73</definedName>
    <definedName name="area.BTS.indoor.CS3.caseta.CS">Dimensionado!$F$154</definedName>
    <definedName name="area.BTS.indoor.CSs.caseta.AEP">Dimensionado!$F$77</definedName>
    <definedName name="area.BTS.indoor.total.caseta.AEP">Dimensionado!$F$78</definedName>
    <definedName name="area.BTS.outdoor">'Caracteristicas tecnicas'!$F$58</definedName>
    <definedName name="area.BTS.outdoor.AEP" localSheetId="8">'Caracteristicas tecnicas'!$F$55</definedName>
    <definedName name="area.BTS.outdoor.AEP">Dimensionado!$F$175</definedName>
    <definedName name="area.BTS.outdoor.CS1">Dimensionado!$F$195</definedName>
    <definedName name="area.BTS.outdoor.CS2">Dimensionado!$F$196</definedName>
    <definedName name="area.BTS.outdoor.CS3">Dimensionado!$F$197</definedName>
    <definedName name="area.BTS.outdoor.proveedor">'Caracteristicas tecnicas'!$F$39</definedName>
    <definedName name="area.BTSs.outdoor.CSs">Dimensionado!$F$188</definedName>
    <definedName name="area.exterior.caseta">Dimensionado!$F$34</definedName>
    <definedName name="area.nicho.acometida.indoor.caseta.AEP">Dimensionado!$F$100</definedName>
    <definedName name="area.nicho.acometida.secundaria.indoor.AEP.caseta.AEP">Dimensionado!$F$101</definedName>
    <definedName name="area.nicho.acometida.secundaria.indoor.CS1.caseta.AEP">Dimensionado!$F$102</definedName>
    <definedName name="area.nicho.acometida.secundaria.indoor.CS2.caseta.AEP">Dimensionado!$F$103</definedName>
    <definedName name="area.nicho.acometida.secundaria.indoor.CS3.caseta.AEP">Dimensionado!$F$104</definedName>
    <definedName name="area.ocupada.predio">Dimensionado!$F$8</definedName>
    <definedName name="area.outdoor.caseta.AEP">Dimensionado!$F$49</definedName>
    <definedName name="area.outdoor.caseta.CS1">Dimensionado!$F$126</definedName>
    <definedName name="area.outdoor.caseta.CS2">Dimensionado!$F$133</definedName>
    <definedName name="area.outdoor.caseta.CS3">Dimensionado!$F$140</definedName>
    <definedName name="area.outdoor.casetas.CS">Dimensionado!$F$118</definedName>
    <definedName name="area.outdoor.nicho.acometida.principal">Dimensionado!$F$217</definedName>
    <definedName name="area.outdoor.nicho.acometida.secundaria.AEP">Dimensionado!$F$223</definedName>
    <definedName name="area.outdoor.nicho.acometida.secundaria.CS1">Dimensionado!$F$227</definedName>
    <definedName name="area.outdoor.nicho.acometida.secundaria.CS2">Dimensionado!$F$228</definedName>
    <definedName name="area.outdoor.nicho.acometida.secundaria.CS3">Dimensionado!$F$229</definedName>
    <definedName name="area.outdoor.nicho.acometida.secundaria.total">Dimensionado!$F$237</definedName>
    <definedName name="area.standard.nicho.acometida">'Caracteristicas tecnicas'!$F$83</definedName>
    <definedName name="area.standard.nicho.acometida.secundario">'Caracteristicas tecnicas'!$F$88</definedName>
    <definedName name="area.torre">Dimensionado!$F$17</definedName>
    <definedName name="area.total.predio">Dimensionado!$F$11</definedName>
    <definedName name="area.usable.indoor.caseta">Dimensionado!$F$35</definedName>
    <definedName name="backup.minimo.rural">Control!$F$119</definedName>
    <definedName name="backup.minimo.urbano">Control!$F$117</definedName>
    <definedName name="bateria.rural">Control!$F$120</definedName>
    <definedName name="bateria.urbano">Control!$F$118</definedName>
    <definedName name="BBS.capacity.rural">'Cálculos secundarios'!$C$91</definedName>
    <definedName name="BBS.capacity.urban">'Cálculos secundarios'!$C$87</definedName>
    <definedName name="BBU.backup.hours.rural">'Cálculos secundarios'!$C$50</definedName>
    <definedName name="BBU.backup.hours.urban">'Cálculos secundarios'!$C$38</definedName>
    <definedName name="capacidad.aire.acondicionado.utilizada">Dimensionado!$F$294</definedName>
    <definedName name="capacidad.BBS.compartida.CS1">Dimensionado!$F$261</definedName>
    <definedName name="capacidad.BBS.compartida.CS2">Dimensionado!$F$270</definedName>
    <definedName name="capacidad.BBS.compartida.CS3">Dimensionado!$F$280</definedName>
    <definedName name="capacidad.BBS.demandada.AEP">Dimensionado!$F$244</definedName>
    <definedName name="capacidad.caseta.activo">Control!$F$81</definedName>
    <definedName name="capacidad.excedentaria.BBS.para.CS1">Dimensionado!$F$250</definedName>
    <definedName name="capacidad.excedentaria.BBS.para.CS2">Dimensionado!$F$251</definedName>
    <definedName name="capacidad.excedentaria.BBS.para.CS3">Dimensionado!$F$252</definedName>
    <definedName name="capacidad.total.BBS.AEP">Dimensionado!$F$247</definedName>
    <definedName name="capex.aire.acondicionado">Costeo!$Z$47</definedName>
    <definedName name="capex.caseta.AEP">Costeo!$Z$22</definedName>
    <definedName name="capex.caseta.CS">Costeo!$Z$26</definedName>
    <definedName name="capex.fuente.energia.respaldo">Costeo!$Z$43</definedName>
    <definedName name="capex.nicho.acometida.principal">Costeo!$Z$34</definedName>
    <definedName name="capex.nicho.acometida.secundario">Costeo!$Z$38</definedName>
    <definedName name="capex.plancha.concreto">Costeo!$Z$30</definedName>
    <definedName name="capex.predio">Costeo!$Z$12</definedName>
    <definedName name="capex.torre">Costeo!$Z$18</definedName>
    <definedName name="capex.unitario.acquisicion.predio">'Costos unitarios'!$N$11:$N$42</definedName>
    <definedName name="capex.unitario.acquisicion.torre">'Costos unitarios'!$N$47:$N$246</definedName>
    <definedName name="capex.unitario.aire.acondicionado">'Costos unitarios'!$K$297</definedName>
    <definedName name="capex.unitario.caseta.CS">'Costos unitarios'!$K$268:$K$271</definedName>
    <definedName name="capex.unitario.fuente.energia.respaldo">'Costos unitarios'!$K$292</definedName>
    <definedName name="capex.unitario.obras.adecuacion">'Costos unitarios'!$K$11:$K$42</definedName>
    <definedName name="capex.unitario.otros.costes">'Costos unitarios'!$K$254</definedName>
    <definedName name="capex.unitario.panel.distribucion.energia">'Costos unitarios'!$K$286</definedName>
    <definedName name="capex.unitario.panel.energia">'Costos unitarios'!$K$281</definedName>
    <definedName name="capex.unitario.plancha.concreto">'Costos unitarios'!$K$276</definedName>
    <definedName name="capex.unitario.shelter">'Costos unitarios'!$K$260:$K$263</definedName>
    <definedName name="capex.unitario.torre">'Costos unitarios'!$K$47:$K$246</definedName>
    <definedName name="caseta.AEP.activo">Control!$H$71</definedName>
    <definedName name="comparticion.aire.acondicionado.activo">Control!$F$112</definedName>
    <definedName name="comparticion.caseta.CS1">Control!$F$77</definedName>
    <definedName name="comparticion.caseta.CS2">Control!$F$78</definedName>
    <definedName name="comparticion.caseta.CS3">Control!$F$79</definedName>
    <definedName name="componentes.caseta.AEP">L!$I$153:$I$158</definedName>
    <definedName name="componentes.predio">L!$F$153:$F$162</definedName>
    <definedName name="componentes.torre">L!$P$153:$P$162</definedName>
    <definedName name="consumo.energia.2G.3G.rural">'Cálculos secundarios'!$C$10</definedName>
    <definedName name="consumo.energia.2G.3G.urbano">'Cálculos secundarios'!$C$5</definedName>
    <definedName name="consumo.energia.4G.rural">'Cálculos secundarios'!$C$11</definedName>
    <definedName name="consumo.energia.4G.urbano">'Cálculos secundarios'!$C$6</definedName>
    <definedName name="consumo.energia.medio.rural">'Cálculos secundarios'!$C$12</definedName>
    <definedName name="consumo.energia.medio.urbano">'Cálculos secundarios'!$C$7</definedName>
    <definedName name="costo.unitario.capex.azotea.OR.telmex.activo">Control!$H$102</definedName>
    <definedName name="costo.unitario.opex.azotea.OR.telmex.activo">Control!$H$103</definedName>
    <definedName name="costos.considerados">L!$C$143:$C$144</definedName>
    <definedName name="costos.considerados.activo">Control!$F$89</definedName>
    <definedName name="costos.considerados.activo.indice">Control!$F$97</definedName>
    <definedName name="cs1.activo">Control!$F$36</definedName>
    <definedName name="cs2.activo">Control!$F$37</definedName>
    <definedName name="cs3.activo">Control!$F$38</definedName>
    <definedName name="demanda">L!$C$37:$C$55</definedName>
    <definedName name="demanda.AEP.activo">Control!$H$65</definedName>
    <definedName name="demanda.antenas.total">Control!$F$61</definedName>
    <definedName name="demanda.BBS">L!$C$223:$C$224</definedName>
    <definedName name="demanda.BBS.CS1">Control!$J$124</definedName>
    <definedName name="demanda.BBS.CS2">Control!$J$125</definedName>
    <definedName name="demanda.BBS.CS3">Control!$J$126</definedName>
    <definedName name="demanda.CS1.activo">Control!$H$66</definedName>
    <definedName name="demanda.CS2.activo">Control!$H$67</definedName>
    <definedName name="demanda.CS3.activo">Control!$H$68</definedName>
    <definedName name="dias.por.mes">L!$C$244</definedName>
    <definedName name="dimensiones.gabinete.activo">Control!$F$82</definedName>
    <definedName name="disponibilidad">L!$C$14:$C$15</definedName>
    <definedName name="espacio.vertical.AEP">Control!$H$44</definedName>
    <definedName name="espacio.vertical.CS1">Control!$H$49</definedName>
    <definedName name="espacio.vertical.CS2">Control!$H$54</definedName>
    <definedName name="espacio.vertical.CS3">Control!$H$59</definedName>
    <definedName name="fuente.costos.predio">L!$C$253:$C$254</definedName>
    <definedName name="fuente.dimensiones.gabinetes">L!$C$248:$C$249</definedName>
    <definedName name="gasto.anual.aire.acondicionado">Costeo!$AB$47</definedName>
    <definedName name="gasto.anual.caseta.AEP">Costeo!$AB$22</definedName>
    <definedName name="gasto.anual.caseta.CS">Costeo!$AB$26</definedName>
    <definedName name="gasto.anual.fuente.energia.respaldo">Costeo!$AB$43</definedName>
    <definedName name="gasto.anual.nicho.acometida.principal">Costeo!$AB$34</definedName>
    <definedName name="gasto.anual.nicho.acometida.secundario">Costeo!$AB$38</definedName>
    <definedName name="gasto.anual.plancha.concreto">Costeo!$AB$30</definedName>
    <definedName name="gasto.anual.predio">Costeo!$AB$12</definedName>
    <definedName name="gasto.anual.torre">Costeo!$AB$18</definedName>
    <definedName name="geotipo">L!$C$82:$C$86</definedName>
    <definedName name="geotipo.activo">Control!$F$25</definedName>
    <definedName name="horas.por.dia">L!$C$243</definedName>
    <definedName name="hundred">L!$C$4</definedName>
    <definedName name="id.predio.activo">Control!$F$28</definedName>
    <definedName name="id.torre.activo">Control!$F$29</definedName>
    <definedName name="identificador.caseta.AEP">'Costos unitarios'!$G$260:$G$263</definedName>
    <definedName name="identificador.caseta.CS">'Costos unitarios'!$G$268:$G$271</definedName>
    <definedName name="identificador.predio">'Costos unitarios'!$G$11:$G$42</definedName>
    <definedName name="identificador.torre">'Costos unitarios'!$G$47:$G$246</definedName>
    <definedName name="inclusion">L!$C$19:$C$20</definedName>
    <definedName name="indoor.outdoor">L!$C$208:$C$209</definedName>
    <definedName name="indoor.outdoor.CS1.activo">Control!$F$72</definedName>
    <definedName name="indoor.outdoor.CS2.activo">Control!$F$73</definedName>
    <definedName name="indoor.outdoor.CS3.activo">Control!$F$74</definedName>
    <definedName name="kW.por.ton">L!$C$242</definedName>
    <definedName name="lista.activos">L!$C$153:$C$172</definedName>
    <definedName name="lista.comparticion.caseta">L!$C$213:$C$215</definedName>
    <definedName name="lista.componentes.caseta">L!$C$200:$C$204</definedName>
    <definedName name="lista.componentes.predio">L!$C$176:$C$180</definedName>
    <definedName name="lista.componentes.torre">L!$C$184:$C$196</definedName>
    <definedName name="markup.operacion.caseta">Control!$F$138</definedName>
    <definedName name="markup.overhead.capex">Control!$F$141</definedName>
    <definedName name="markup.overhead.opex">Control!$F$142</definedName>
    <definedName name="markup.predio">Control!$F$135</definedName>
    <definedName name="markup.predio.azotea">Control!$F$132</definedName>
    <definedName name="markup.predio.terreno">Control!$F$131</definedName>
    <definedName name="markup.zona.rural">Control!$F$133</definedName>
    <definedName name="meses.por.año">L!$C$245</definedName>
    <definedName name="million">L!$C$6</definedName>
    <definedName name="no">L!$C$15</definedName>
    <definedName name="not.available">L!$C$11</definedName>
    <definedName name="numero.operadores">L!$C$59:$C$62</definedName>
    <definedName name="numero.operadores.activo">Control!$F$35</definedName>
    <definedName name="opcion.costo.unitario.azotea.telmex.telnor">L!$C$236:$C$238</definedName>
    <definedName name="opcion.costo.unitario.azotea.telmex.telnor.activo">Control!$F$101</definedName>
    <definedName name="opciones.WACC">L!$C$258:$C$259</definedName>
    <definedName name="opex.aire.acondicionado">Costeo!$AA$47</definedName>
    <definedName name="opex.anual.alquiler.caseta.CS">'Costos unitarios'!$R$268:$R$271</definedName>
    <definedName name="opex.anual.alquiler.predio">'Costos unitarios'!$R$11:$R$42</definedName>
    <definedName name="opex.anual.alquiler.shelter">'Costos unitarios'!$R$260:$R$263</definedName>
    <definedName name="opex.anual.mantenimiento.aire.acondicionado">'Costos unitarios'!$S$297</definedName>
    <definedName name="opex.anual.mantenimiento.caseta.CS">'Costos unitarios'!$U$268:$U$271</definedName>
    <definedName name="opex.anual.mantenimiento.fuente.energia.respaldo">'Costos unitarios'!$S$292</definedName>
    <definedName name="opex.anual.mantenimiento.panel.distribuicion.energia">'Costos unitarios'!$S$286</definedName>
    <definedName name="opex.anual.mantenimiento.panel.energia">'Costos unitarios'!$S$281</definedName>
    <definedName name="opex.anual.mantenimiento.plancha.concreto">'Costos unitarios'!$S$276</definedName>
    <definedName name="opex.anual.mantenimiento.predio">'Costos unitarios'!$U$11:$U$42</definedName>
    <definedName name="opex.anual.mantenimiento.shelter">'Costos unitarios'!$U$260:$U$263</definedName>
    <definedName name="opex.caseta.AEP">Costeo!$AA$22</definedName>
    <definedName name="opex.caseta.CS">Costeo!$AA$26</definedName>
    <definedName name="opex.energia.kWh">'Costos unitarios'!$S$300</definedName>
    <definedName name="opex.fuente.energia.respaldo">Costeo!$AA$43</definedName>
    <definedName name="opex.mantenimiento.otros.costos">'Costos unitarios'!$R$254</definedName>
    <definedName name="opex.mantenimiento.torre">'Costos unitarios'!$S$47:$S$246</definedName>
    <definedName name="opex.nicho.acometida.principal">Costeo!$AA$34</definedName>
    <definedName name="opex.nicho.acometida.secundario">Costeo!$AA$38</definedName>
    <definedName name="opex.plancha.concreto">Costeo!$AA$30</definedName>
    <definedName name="opex.predio">Costeo!$AA$12</definedName>
    <definedName name="opex.torre">Costeo!$AA$18</definedName>
    <definedName name="perfil.recuperacion.costos">L!$C$148:$C$149</definedName>
    <definedName name="perfil.recuperacion.costos.activo">Control!$F$90</definedName>
    <definedName name="perfil.recuperacion.costos.activo.indice">Control!$F$98</definedName>
    <definedName name="posibilidad.compartir.caseta.CS1">Dimensionado!$I$259:$J$259</definedName>
    <definedName name="posibilidad.compartir.caseta.CS2">Dimensionado!$I$268:$J$268</definedName>
    <definedName name="posibilidad.compartir.caseta.CS3">Dimensionado!$I$278:$J$278</definedName>
    <definedName name="predio.activo">Control!$F$24</definedName>
    <definedName name="propiedad.predio">L!$C$130:$C$133</definedName>
    <definedName name="propriedad.predio.activo">Control!$F$26</definedName>
    <definedName name="rango.altura.activo">Control!$F$20</definedName>
    <definedName name="sens.capex.unitarios">Control!$F$91</definedName>
    <definedName name="sens.costos.adicionales">Control!$F$93</definedName>
    <definedName name="sens.opex.unitarios">Control!$F$92</definedName>
    <definedName name="servicios">L!$C$229:$C$232</definedName>
    <definedName name="si">L!$C$14</definedName>
    <definedName name="spare">L!$C$9</definedName>
    <definedName name="thousand">L!$C$5</definedName>
    <definedName name="tipo.torre">L!$C$66:$C$70</definedName>
    <definedName name="tipo.torre.activo">Control!$F$19</definedName>
    <definedName name="tipo.ubicacion">L!$C$74:$C$78</definedName>
    <definedName name="tipo.ubicacion.activo">Control!$F$21</definedName>
    <definedName name="unidad.caseta.CS.CS1">Dimensionado!$F$125</definedName>
    <definedName name="unidad.caseta.CS.CS2">Dimensionado!$F$132</definedName>
    <definedName name="unidad.caseta.CS.CS3">Dimensionado!$F$139</definedName>
    <definedName name="unidades.BBS.indoor.AEP.caseta.AEP">Dimensionado!$F$92</definedName>
    <definedName name="unidades.BBS.indoor.CS1.caseta.AEP">Dimensionado!$F$93</definedName>
    <definedName name="unidades.BBS.indoor.CS1.caseta.CS">Dimensionado!$F$160</definedName>
    <definedName name="unidades.BBS.indoor.CS2.caseta.AEP">Dimensionado!$F$94</definedName>
    <definedName name="unidades.BBS.indoor.CS2.caseta.CS">Dimensionado!$F$164</definedName>
    <definedName name="unidades.BBS.indoor.CS3.caseta.AEP">Dimensionado!$F$95</definedName>
    <definedName name="unidades.BBS.indoor.CS3.caseta.CS">Dimensionado!$F$168</definedName>
    <definedName name="unidades.BBS.outdoor.AEP">Dimensionado!$F$180</definedName>
    <definedName name="unidades.BBS.outdoor.CS1">Dimensionado!$F$208</definedName>
    <definedName name="unidades.BBS.outdoor.CS2">Dimensionado!$F$209</definedName>
    <definedName name="unidades.BBS.outdoor.CS3">Dimensionado!$F$210</definedName>
    <definedName name="unidades.BBSs.outdoor.CSs">Dimensionado!$F$192</definedName>
    <definedName name="unidades.BTS.indoor.AEP.caseta.AEP">Dimensionado!$F$56</definedName>
    <definedName name="unidades.BTS.indoor.CS1.caseta.AEP">Dimensionado!$F$62</definedName>
    <definedName name="unidades.BTS.indoor.CS1.caseta.CS">Dimensionado!$F$159</definedName>
    <definedName name="unidades.BTS.indoor.CS2.caseta.AEP">Dimensionado!$F$68</definedName>
    <definedName name="unidades.BTS.indoor.CS2.caseta.CS">Dimensionado!$F$163</definedName>
    <definedName name="unidades.BTS.indoor.CS3.caseta.AEP">Dimensionado!$F$74</definedName>
    <definedName name="unidades.BTS.indoor.CS3.caseta.CS">Dimensionado!$F$167</definedName>
    <definedName name="unidades.BTS.indoor.CSs.caseta.AEP">Dimensionado!$F$80</definedName>
    <definedName name="unidades.BTS.indoor.total.caseta.AEP">Dimensionado!$F$81</definedName>
    <definedName name="unidades.BTS.outdoor.AEP">Dimensionado!$F$176</definedName>
    <definedName name="unidades.BTS.outdoor.CS1">Dimensionado!$F$199</definedName>
    <definedName name="unidades.BTS.outdoor.CS2">Dimensionado!$F$200</definedName>
    <definedName name="unidades.BTS.outdoor.CS3">Dimensionado!$F$201</definedName>
    <definedName name="unidades.BTSs.outdoor.CSs">Dimensionado!$F$191</definedName>
    <definedName name="unidades.caseta.AEP">Dimensionado!$F$48</definedName>
    <definedName name="unidades.caseta.CS">Dimensionado!$F$117</definedName>
    <definedName name="unidades.nicho.acometida.indoor.caseta.AEP">Dimensionado!$F$107</definedName>
    <definedName name="unidades.nicho.acometida.secundaria.indoor.AEP.caseta.AEP">Dimensionado!$F$108</definedName>
    <definedName name="unidades.nicho.acometida.secundaria.indoor.CS1.caseta.AEP">Dimensionado!$F$109</definedName>
    <definedName name="unidades.nicho.acometida.secundaria.indoor.CS2.caseta.AEP">Dimensionado!$F$110</definedName>
    <definedName name="unidades.nicho.acometida.secundaria.indoor.CS3.caseta.AEP">Dimensionado!$F$111</definedName>
    <definedName name="unidades.outdoor.nicho.acometida.principal">Dimensionado!$F$218</definedName>
    <definedName name="unidades.outdoor.nicho.acometida.secundaria.AEP">Dimensionado!$F$224</definedName>
    <definedName name="unidades.outdoor.nicho.acometida.secundaria.CS1">Dimensionado!$F$232</definedName>
    <definedName name="unidades.outdoor.nicho.acometida.secundaria.CS2">Dimensionado!$F$233</definedName>
    <definedName name="unidades.outdoor.nicho.acometida.secundaria.CS3">Dimensionado!$F$234</definedName>
    <definedName name="unidades.outdoor.nicho.acometida.secundaria.total">Dimensionado!$F$238</definedName>
    <definedName name="unidades.total.BBS.AEP">Dimensionado!$F$246</definedName>
    <definedName name="utilizar.capacidad.CS1">Control!$G$124</definedName>
    <definedName name="utilizar.capacidad.CS2">Control!$G$125</definedName>
    <definedName name="utilizar.capacidad.CS3">Control!$G$126</definedName>
    <definedName name="vida.util">L!$C$137:$C$139</definedName>
    <definedName name="vida.util.activo">Control!$F$88</definedName>
    <definedName name="vida.util.activo.indice">Control!$F$96</definedName>
    <definedName name="vida.util.aire.acondicionado">'Costos unitarios'!$Z$297</definedName>
    <definedName name="vida.util.caseta.AEP">'Costos unitarios'!$Z$260:$Z$263</definedName>
    <definedName name="vida.util.caseta.CS">'Costos unitarios'!$Z$268:$Z$271</definedName>
    <definedName name="vida.util.fuente.energia.respaldo">'Costos unitarios'!$Z$292</definedName>
    <definedName name="vida.util.nicho.acometida">'Costos unitarios'!$Z$281</definedName>
    <definedName name="vida.util.panel.distribuicion.energia">'Costos unitarios'!$Z$286</definedName>
    <definedName name="vida.util.plancha.concreto">'Costos unitarios'!$Z$276</definedName>
    <definedName name="vida.util.predio">'Costos unitarios'!$Z$11:$Z$42</definedName>
    <definedName name="vida.util.restante.aire.acondicionado">'Costos unitarios'!$AA$297</definedName>
    <definedName name="vida.util.restante.caseta.AEP">'Costos unitarios'!$AA$260:$AA$263</definedName>
    <definedName name="vida.util.restante.caseta.CS">'Costos unitarios'!$AA$268:$AA$271</definedName>
    <definedName name="vida.util.restante.fuente.energia.respaldo">'Costos unitarios'!$AA$292</definedName>
    <definedName name="vida.util.restante.nicho.acometida">'Costos unitarios'!$AA$281</definedName>
    <definedName name="vida.util.restante.panel.distribuicion.energia">'Costos unitarios'!$AA$286</definedName>
    <definedName name="vida.util.restante.plancha.concreto">'Costos unitarios'!$AA$276</definedName>
    <definedName name="vida.util.restante.predio">'Costos unitarios'!$AA$11:$AA$42</definedName>
    <definedName name="vida.util.restante.torre">'Costos unitarios'!$AA$47:$AA$246</definedName>
    <definedName name="vida.util.restante.torre.otros.costos">'Costos unitarios'!$AA$254</definedName>
    <definedName name="vida.util.torre">'Costos unitarios'!$Z$47:$Z$246</definedName>
    <definedName name="vida.util.torre.otros.costos">'Costos unitarios'!$Z$254</definedName>
    <definedName name="viento.activo">Control!$F$22</definedName>
    <definedName name="viento.torre.arriostrada">L!$H$124:$H$126</definedName>
    <definedName name="viento.torre.autosoportada">L!$G$124:$G$126</definedName>
    <definedName name="viento.torre.mástil">L!$J$124:$J$125</definedName>
    <definedName name="viento.torre.monopolo">L!$I$124:$I$126</definedName>
    <definedName name="void">L!$C$10</definedName>
    <definedName name="volumen.plancha.concreto.AEP">Dimensionado!$F$183</definedName>
    <definedName name="volumen.plancha.concreto.CS">Dimensionado!$F$213</definedName>
    <definedName name="wacc">Control!$F$33</definedName>
  </definedNames>
  <calcPr calcId="152511"/>
</workbook>
</file>

<file path=xl/calcChain.xml><?xml version="1.0" encoding="utf-8"?>
<calcChain xmlns="http://schemas.openxmlformats.org/spreadsheetml/2006/main">
  <c r="F38" i="49" l="1"/>
  <c r="F37" i="49"/>
  <c r="F36" i="49"/>
  <c r="F232" i="52"/>
  <c r="I247" i="53" l="1"/>
  <c r="F135" i="49" l="1"/>
  <c r="D43" i="54" l="1"/>
  <c r="D17" i="54" l="1"/>
  <c r="X254" i="53"/>
  <c r="Y254" i="53"/>
  <c r="W254" i="53"/>
  <c r="I254" i="53"/>
  <c r="F83" i="59" l="1"/>
  <c r="F88" i="59"/>
  <c r="H66" i="49" l="1"/>
  <c r="H65" i="49"/>
  <c r="H22" i="49" l="1"/>
  <c r="S261" i="53" l="1"/>
  <c r="S262" i="53"/>
  <c r="S263" i="53"/>
  <c r="S260" i="53"/>
  <c r="F50" i="59" l="1"/>
  <c r="F54" i="59" s="1"/>
  <c r="F49" i="59"/>
  <c r="F53" i="59" s="1"/>
  <c r="F48" i="59"/>
  <c r="H21" i="49"/>
  <c r="F55" i="59" l="1"/>
  <c r="F58" i="59" s="1"/>
  <c r="W59" i="53"/>
  <c r="X59" i="53"/>
  <c r="W60" i="53"/>
  <c r="X60" i="53"/>
  <c r="W61" i="53"/>
  <c r="X61" i="53"/>
  <c r="W62" i="53"/>
  <c r="X62" i="53"/>
  <c r="W63" i="53"/>
  <c r="X63" i="53"/>
  <c r="W64" i="53"/>
  <c r="X64" i="53"/>
  <c r="W65" i="53"/>
  <c r="X65" i="53"/>
  <c r="W66" i="53"/>
  <c r="X66" i="53"/>
  <c r="W67" i="53"/>
  <c r="X67" i="53"/>
  <c r="W68" i="53"/>
  <c r="X68" i="53"/>
  <c r="W69" i="53"/>
  <c r="X69" i="53"/>
  <c r="W70" i="53"/>
  <c r="X70" i="53"/>
  <c r="W71" i="53"/>
  <c r="X71" i="53"/>
  <c r="W72" i="53"/>
  <c r="X72" i="53"/>
  <c r="W73" i="53"/>
  <c r="X73" i="53"/>
  <c r="W74" i="53"/>
  <c r="X74" i="53"/>
  <c r="W75" i="53"/>
  <c r="X75" i="53"/>
  <c r="W76" i="53"/>
  <c r="X76" i="53"/>
  <c r="W77" i="53"/>
  <c r="X77" i="53"/>
  <c r="W78" i="53"/>
  <c r="X78" i="53"/>
  <c r="W79" i="53"/>
  <c r="X79" i="53"/>
  <c r="W80" i="53"/>
  <c r="X80" i="53"/>
  <c r="W81" i="53"/>
  <c r="X81" i="53"/>
  <c r="W82" i="53"/>
  <c r="X82" i="53"/>
  <c r="W83" i="53"/>
  <c r="X83" i="53"/>
  <c r="W84" i="53"/>
  <c r="X84" i="53"/>
  <c r="W85" i="53"/>
  <c r="X85" i="53"/>
  <c r="W86" i="53"/>
  <c r="X86" i="53"/>
  <c r="W87" i="53"/>
  <c r="X87" i="53"/>
  <c r="W88" i="53"/>
  <c r="X88" i="53"/>
  <c r="W89" i="53"/>
  <c r="X89" i="53"/>
  <c r="W90" i="53"/>
  <c r="X90" i="53"/>
  <c r="W91" i="53"/>
  <c r="X91" i="53"/>
  <c r="W92" i="53"/>
  <c r="X92" i="53"/>
  <c r="W93" i="53"/>
  <c r="X93" i="53"/>
  <c r="W94" i="53"/>
  <c r="X94" i="53"/>
  <c r="W95" i="53"/>
  <c r="X95" i="53"/>
  <c r="W96" i="53"/>
  <c r="X96" i="53"/>
  <c r="W97" i="53"/>
  <c r="X97" i="53"/>
  <c r="W98" i="53"/>
  <c r="X98" i="53"/>
  <c r="W99" i="53"/>
  <c r="X99" i="53"/>
  <c r="W100" i="53"/>
  <c r="X100" i="53"/>
  <c r="W101" i="53"/>
  <c r="X101" i="53"/>
  <c r="W102" i="53"/>
  <c r="X102" i="53"/>
  <c r="W103" i="53"/>
  <c r="X103" i="53"/>
  <c r="W104" i="53"/>
  <c r="X104" i="53"/>
  <c r="W105" i="53"/>
  <c r="X105" i="53"/>
  <c r="W106" i="53"/>
  <c r="X106" i="53"/>
  <c r="W107" i="53"/>
  <c r="X107" i="53"/>
  <c r="W108" i="53"/>
  <c r="X108" i="53"/>
  <c r="W109" i="53"/>
  <c r="X109" i="53"/>
  <c r="W110" i="53"/>
  <c r="X110" i="53"/>
  <c r="W111" i="53"/>
  <c r="X111" i="53"/>
  <c r="W112" i="53"/>
  <c r="X112" i="53"/>
  <c r="W113" i="53"/>
  <c r="X113" i="53"/>
  <c r="W114" i="53"/>
  <c r="X114" i="53"/>
  <c r="W115" i="53"/>
  <c r="X115" i="53"/>
  <c r="W116" i="53"/>
  <c r="X116" i="53"/>
  <c r="W117" i="53"/>
  <c r="X117" i="53"/>
  <c r="W118" i="53"/>
  <c r="X118" i="53"/>
  <c r="W119" i="53"/>
  <c r="X119" i="53"/>
  <c r="W120" i="53"/>
  <c r="X120" i="53"/>
  <c r="W121" i="53"/>
  <c r="X121" i="53"/>
  <c r="W122" i="53"/>
  <c r="X122" i="53"/>
  <c r="W123" i="53"/>
  <c r="X123" i="53"/>
  <c r="W124" i="53"/>
  <c r="X124" i="53"/>
  <c r="W125" i="53"/>
  <c r="X125" i="53"/>
  <c r="W126" i="53"/>
  <c r="X126" i="53"/>
  <c r="W127" i="53"/>
  <c r="X127" i="53"/>
  <c r="W128" i="53"/>
  <c r="X128" i="53"/>
  <c r="W129" i="53"/>
  <c r="X129" i="53"/>
  <c r="W130" i="53"/>
  <c r="X130" i="53"/>
  <c r="W131" i="53"/>
  <c r="X131" i="53"/>
  <c r="W132" i="53"/>
  <c r="X132" i="53"/>
  <c r="W133" i="53"/>
  <c r="X133" i="53"/>
  <c r="W134" i="53"/>
  <c r="X134" i="53"/>
  <c r="W135" i="53"/>
  <c r="X135" i="53"/>
  <c r="W136" i="53"/>
  <c r="X136" i="53"/>
  <c r="W137" i="53"/>
  <c r="X137" i="53"/>
  <c r="W138" i="53"/>
  <c r="X138" i="53"/>
  <c r="W139" i="53"/>
  <c r="X139" i="53"/>
  <c r="W140" i="53"/>
  <c r="X140" i="53"/>
  <c r="W141" i="53"/>
  <c r="X141" i="53"/>
  <c r="W142" i="53"/>
  <c r="X142" i="53"/>
  <c r="W143" i="53"/>
  <c r="X143" i="53"/>
  <c r="W144" i="53"/>
  <c r="X144" i="53"/>
  <c r="W145" i="53"/>
  <c r="X145" i="53"/>
  <c r="W146" i="53"/>
  <c r="X146" i="53"/>
  <c r="W147" i="53"/>
  <c r="X147" i="53"/>
  <c r="W148" i="53"/>
  <c r="X148" i="53"/>
  <c r="W149" i="53"/>
  <c r="X149" i="53"/>
  <c r="W150" i="53"/>
  <c r="X150" i="53"/>
  <c r="W151" i="53"/>
  <c r="X151" i="53"/>
  <c r="W152" i="53"/>
  <c r="X152" i="53"/>
  <c r="W153" i="53"/>
  <c r="X153" i="53"/>
  <c r="W154" i="53"/>
  <c r="X154" i="53"/>
  <c r="W155" i="53"/>
  <c r="X155" i="53"/>
  <c r="W156" i="53"/>
  <c r="X156" i="53"/>
  <c r="W157" i="53"/>
  <c r="X157" i="53"/>
  <c r="W158" i="53"/>
  <c r="X158" i="53"/>
  <c r="W159" i="53"/>
  <c r="X159" i="53"/>
  <c r="W160" i="53"/>
  <c r="X160" i="53"/>
  <c r="W161" i="53"/>
  <c r="X161" i="53"/>
  <c r="W162" i="53"/>
  <c r="X162" i="53"/>
  <c r="W163" i="53"/>
  <c r="X163" i="53"/>
  <c r="W164" i="53"/>
  <c r="X164" i="53"/>
  <c r="W165" i="53"/>
  <c r="X165" i="53"/>
  <c r="W166" i="53"/>
  <c r="X166" i="53"/>
  <c r="W167" i="53"/>
  <c r="X167" i="53"/>
  <c r="W168" i="53"/>
  <c r="X168" i="53"/>
  <c r="W169" i="53"/>
  <c r="X169" i="53"/>
  <c r="W170" i="53"/>
  <c r="X170" i="53"/>
  <c r="W171" i="53"/>
  <c r="X171" i="53"/>
  <c r="W172" i="53"/>
  <c r="X172" i="53"/>
  <c r="W173" i="53"/>
  <c r="X173" i="53"/>
  <c r="W174" i="53"/>
  <c r="X174" i="53"/>
  <c r="W175" i="53"/>
  <c r="X175" i="53"/>
  <c r="W176" i="53"/>
  <c r="X176" i="53"/>
  <c r="W177" i="53"/>
  <c r="X177" i="53"/>
  <c r="W178" i="53"/>
  <c r="X178" i="53"/>
  <c r="W179" i="53"/>
  <c r="X179" i="53"/>
  <c r="W180" i="53"/>
  <c r="X180" i="53"/>
  <c r="W181" i="53"/>
  <c r="X181" i="53"/>
  <c r="W182" i="53"/>
  <c r="X182" i="53"/>
  <c r="W183" i="53"/>
  <c r="X183" i="53"/>
  <c r="W184" i="53"/>
  <c r="X184" i="53"/>
  <c r="W185" i="53"/>
  <c r="X185" i="53"/>
  <c r="W186" i="53"/>
  <c r="X186" i="53"/>
  <c r="W187" i="53"/>
  <c r="X187" i="53"/>
  <c r="W188" i="53"/>
  <c r="X188" i="53"/>
  <c r="W189" i="53"/>
  <c r="X189" i="53"/>
  <c r="W190" i="53"/>
  <c r="X190" i="53"/>
  <c r="W191" i="53"/>
  <c r="X191" i="53"/>
  <c r="W192" i="53"/>
  <c r="X192" i="53"/>
  <c r="W193" i="53"/>
  <c r="X193" i="53"/>
  <c r="W194" i="53"/>
  <c r="X194" i="53"/>
  <c r="W195" i="53"/>
  <c r="X195" i="53"/>
  <c r="W196" i="53"/>
  <c r="X196" i="53"/>
  <c r="W197" i="53"/>
  <c r="X197" i="53"/>
  <c r="W198" i="53"/>
  <c r="X198" i="53"/>
  <c r="W199" i="53"/>
  <c r="X199" i="53"/>
  <c r="W200" i="53"/>
  <c r="X200" i="53"/>
  <c r="W201" i="53"/>
  <c r="X201" i="53"/>
  <c r="W202" i="53"/>
  <c r="X202" i="53"/>
  <c r="W203" i="53"/>
  <c r="X203" i="53"/>
  <c r="W204" i="53"/>
  <c r="X204" i="53"/>
  <c r="W205" i="53"/>
  <c r="X205" i="53"/>
  <c r="W206" i="53"/>
  <c r="X206" i="53"/>
  <c r="W207" i="53"/>
  <c r="X207" i="53"/>
  <c r="W208" i="53"/>
  <c r="X208" i="53"/>
  <c r="W209" i="53"/>
  <c r="X209" i="53"/>
  <c r="W210" i="53"/>
  <c r="X210" i="53"/>
  <c r="W211" i="53"/>
  <c r="X211" i="53"/>
  <c r="W212" i="53"/>
  <c r="X212" i="53"/>
  <c r="W213" i="53"/>
  <c r="X213" i="53"/>
  <c r="W214" i="53"/>
  <c r="X214" i="53"/>
  <c r="W215" i="53"/>
  <c r="X215" i="53"/>
  <c r="W216" i="53"/>
  <c r="X216" i="53"/>
  <c r="W217" i="53"/>
  <c r="X217" i="53"/>
  <c r="W218" i="53"/>
  <c r="X218" i="53"/>
  <c r="W219" i="53"/>
  <c r="X219" i="53"/>
  <c r="W220" i="53"/>
  <c r="X220" i="53"/>
  <c r="W221" i="53"/>
  <c r="X221" i="53"/>
  <c r="W222" i="53"/>
  <c r="X222" i="53"/>
  <c r="W223" i="53"/>
  <c r="X223" i="53"/>
  <c r="W224" i="53"/>
  <c r="X224" i="53"/>
  <c r="W225" i="53"/>
  <c r="X225" i="53"/>
  <c r="W226" i="53"/>
  <c r="X226" i="53"/>
  <c r="W227" i="53"/>
  <c r="X227" i="53"/>
  <c r="W228" i="53"/>
  <c r="X228" i="53"/>
  <c r="W229" i="53"/>
  <c r="X229" i="53"/>
  <c r="W230" i="53"/>
  <c r="X230" i="53"/>
  <c r="W231" i="53"/>
  <c r="X231" i="53"/>
  <c r="W232" i="53"/>
  <c r="X232" i="53"/>
  <c r="W233" i="53"/>
  <c r="X233" i="53"/>
  <c r="W234" i="53"/>
  <c r="X234" i="53"/>
  <c r="W235" i="53"/>
  <c r="X235" i="53"/>
  <c r="W236" i="53"/>
  <c r="X236" i="53"/>
  <c r="W237" i="53"/>
  <c r="X237" i="53"/>
  <c r="W238" i="53"/>
  <c r="X238" i="53"/>
  <c r="W239" i="53"/>
  <c r="X239" i="53"/>
  <c r="W240" i="53"/>
  <c r="X240" i="53"/>
  <c r="W241" i="53"/>
  <c r="X241" i="53"/>
  <c r="W242" i="53"/>
  <c r="X242" i="53"/>
  <c r="W243" i="53"/>
  <c r="X243" i="53"/>
  <c r="W244" i="53"/>
  <c r="X244" i="53"/>
  <c r="W245" i="53"/>
  <c r="X245" i="53"/>
  <c r="W246" i="53"/>
  <c r="X246" i="53"/>
  <c r="G48" i="53"/>
  <c r="G49" i="53"/>
  <c r="G50" i="53"/>
  <c r="G51" i="53"/>
  <c r="G52" i="53"/>
  <c r="G53" i="53"/>
  <c r="G54" i="53"/>
  <c r="G55" i="53"/>
  <c r="G56" i="53"/>
  <c r="G57" i="53"/>
  <c r="G58" i="53"/>
  <c r="G59" i="53"/>
  <c r="G60" i="53"/>
  <c r="G61" i="53"/>
  <c r="G62" i="53"/>
  <c r="G63" i="53"/>
  <c r="G64" i="53"/>
  <c r="G65" i="53"/>
  <c r="G66" i="53"/>
  <c r="G67" i="53"/>
  <c r="G68" i="53"/>
  <c r="G69" i="53"/>
  <c r="G70" i="53"/>
  <c r="G71" i="53"/>
  <c r="G72" i="53"/>
  <c r="G73" i="53"/>
  <c r="G74" i="53"/>
  <c r="G75" i="53"/>
  <c r="G76" i="53"/>
  <c r="G77" i="53"/>
  <c r="G78" i="53"/>
  <c r="G79" i="53"/>
  <c r="G80" i="53"/>
  <c r="G81" i="53"/>
  <c r="G82" i="53"/>
  <c r="G83" i="53"/>
  <c r="G84" i="53"/>
  <c r="G85" i="53"/>
  <c r="G86" i="53"/>
  <c r="G87" i="53"/>
  <c r="G88" i="53"/>
  <c r="G89" i="53"/>
  <c r="G90" i="53"/>
  <c r="G91" i="53"/>
  <c r="G92" i="53"/>
  <c r="G93" i="53"/>
  <c r="G94" i="53"/>
  <c r="G95" i="53"/>
  <c r="G96" i="53"/>
  <c r="G97" i="53"/>
  <c r="G98" i="53"/>
  <c r="G99" i="53"/>
  <c r="G100" i="53"/>
  <c r="G101" i="53"/>
  <c r="G102" i="53"/>
  <c r="G103" i="53"/>
  <c r="G104" i="53"/>
  <c r="G105" i="53"/>
  <c r="G106" i="53"/>
  <c r="G107" i="53"/>
  <c r="G108" i="53"/>
  <c r="G109" i="53"/>
  <c r="G110" i="53"/>
  <c r="G111" i="53"/>
  <c r="G112" i="53"/>
  <c r="G113" i="53"/>
  <c r="G114" i="53"/>
  <c r="G115" i="53"/>
  <c r="G116" i="53"/>
  <c r="G117" i="53"/>
  <c r="G118" i="53"/>
  <c r="G119" i="53"/>
  <c r="G120" i="53"/>
  <c r="G121" i="53"/>
  <c r="G122" i="53"/>
  <c r="G123" i="53"/>
  <c r="G124" i="53"/>
  <c r="G125" i="53"/>
  <c r="G126" i="53"/>
  <c r="G127" i="53"/>
  <c r="G128" i="53"/>
  <c r="G129" i="53"/>
  <c r="G130" i="53"/>
  <c r="G131" i="53"/>
  <c r="G132" i="53"/>
  <c r="G133" i="53"/>
  <c r="G134" i="53"/>
  <c r="G135" i="53"/>
  <c r="G136" i="53"/>
  <c r="G137" i="53"/>
  <c r="G138" i="53"/>
  <c r="G139" i="53"/>
  <c r="G140" i="53"/>
  <c r="G141" i="53"/>
  <c r="G142" i="53"/>
  <c r="G143" i="53"/>
  <c r="G144" i="53"/>
  <c r="G145" i="53"/>
  <c r="G146" i="53"/>
  <c r="G147" i="53"/>
  <c r="G148" i="53"/>
  <c r="G149" i="53"/>
  <c r="G150" i="53"/>
  <c r="G151" i="53"/>
  <c r="G152" i="53"/>
  <c r="G153" i="53"/>
  <c r="G154" i="53"/>
  <c r="G155" i="53"/>
  <c r="G156" i="53"/>
  <c r="G157" i="53"/>
  <c r="G158" i="53"/>
  <c r="G159" i="53"/>
  <c r="G160" i="53"/>
  <c r="G161" i="53"/>
  <c r="G162" i="53"/>
  <c r="G163" i="53"/>
  <c r="G164" i="53"/>
  <c r="G165" i="53"/>
  <c r="G166" i="53"/>
  <c r="G167" i="53"/>
  <c r="G168" i="53"/>
  <c r="G169" i="53"/>
  <c r="G170" i="53"/>
  <c r="G171" i="53"/>
  <c r="G172" i="53"/>
  <c r="G173" i="53"/>
  <c r="G174" i="53"/>
  <c r="G175" i="53"/>
  <c r="G176" i="53"/>
  <c r="G177" i="53"/>
  <c r="G178" i="53"/>
  <c r="G179" i="53"/>
  <c r="G180" i="53"/>
  <c r="G181" i="53"/>
  <c r="G182" i="53"/>
  <c r="G183" i="53"/>
  <c r="G184" i="53"/>
  <c r="G185" i="53"/>
  <c r="G186" i="53"/>
  <c r="G187" i="53"/>
  <c r="G188" i="53"/>
  <c r="G189" i="53"/>
  <c r="G190" i="53"/>
  <c r="G191" i="53"/>
  <c r="G192" i="53"/>
  <c r="G193" i="53"/>
  <c r="G194" i="53"/>
  <c r="G195" i="53"/>
  <c r="G196" i="53"/>
  <c r="G197" i="53"/>
  <c r="G198" i="53"/>
  <c r="G199" i="53"/>
  <c r="G200" i="53"/>
  <c r="G201" i="53"/>
  <c r="G202" i="53"/>
  <c r="G203" i="53"/>
  <c r="G204" i="53"/>
  <c r="G205" i="53"/>
  <c r="G206" i="53"/>
  <c r="G207" i="53"/>
  <c r="G208" i="53"/>
  <c r="G209" i="53"/>
  <c r="G210" i="53"/>
  <c r="G211" i="53"/>
  <c r="G212" i="53"/>
  <c r="G213" i="53"/>
  <c r="G214" i="53"/>
  <c r="G215" i="53"/>
  <c r="G216" i="53"/>
  <c r="G217" i="53"/>
  <c r="G218" i="53"/>
  <c r="G219" i="53"/>
  <c r="G220" i="53"/>
  <c r="G221" i="53"/>
  <c r="G222" i="53"/>
  <c r="G223" i="53"/>
  <c r="G224" i="53"/>
  <c r="G225" i="53"/>
  <c r="G226" i="53"/>
  <c r="G227" i="53"/>
  <c r="G228" i="53"/>
  <c r="G229" i="53"/>
  <c r="G230" i="53"/>
  <c r="G231" i="53"/>
  <c r="G232" i="53"/>
  <c r="G233" i="53"/>
  <c r="G234" i="53"/>
  <c r="G235" i="53"/>
  <c r="G236" i="53"/>
  <c r="G237" i="53"/>
  <c r="G238" i="53"/>
  <c r="G239" i="53"/>
  <c r="G240" i="53"/>
  <c r="G241" i="53"/>
  <c r="G242" i="53"/>
  <c r="G243" i="53"/>
  <c r="G244" i="53"/>
  <c r="G245" i="53"/>
  <c r="G246" i="53"/>
  <c r="G47" i="53"/>
  <c r="F29" i="49"/>
  <c r="F91" i="51"/>
  <c r="F92" i="51" s="1"/>
  <c r="F93" i="51" s="1"/>
  <c r="F94" i="51" s="1"/>
  <c r="F95" i="51" s="1"/>
  <c r="F96" i="51" s="1"/>
  <c r="F97" i="51" s="1"/>
  <c r="F98" i="51" s="1"/>
  <c r="F99" i="51" s="1"/>
  <c r="E91" i="51"/>
  <c r="E92" i="51" s="1"/>
  <c r="E93" i="51" s="1"/>
  <c r="E94" i="51" s="1"/>
  <c r="E95" i="51" s="1"/>
  <c r="E96" i="51" s="1"/>
  <c r="E97" i="51" s="1"/>
  <c r="E98" i="51" s="1"/>
  <c r="E99" i="51" s="1"/>
  <c r="D91" i="51"/>
  <c r="D92" i="51" s="1"/>
  <c r="D93" i="51" s="1"/>
  <c r="D94" i="51" s="1"/>
  <c r="D95" i="51" s="1"/>
  <c r="D96" i="51" s="1"/>
  <c r="D97" i="51" s="1"/>
  <c r="D98" i="51" s="1"/>
  <c r="D99" i="51" s="1"/>
  <c r="D100" i="51" s="1"/>
  <c r="D101" i="51" s="1"/>
  <c r="D102" i="51" s="1"/>
  <c r="D103" i="51" s="1"/>
  <c r="D104" i="51" s="1"/>
  <c r="D105" i="51" s="1"/>
  <c r="D106" i="51" s="1"/>
  <c r="D107" i="51" s="1"/>
  <c r="D108" i="51" s="1"/>
  <c r="D109" i="51" s="1"/>
  <c r="D110" i="51" s="1"/>
  <c r="D111" i="51" s="1"/>
  <c r="D112" i="51" s="1"/>
  <c r="D113" i="51" s="1"/>
  <c r="D114" i="51" s="1"/>
  <c r="D115" i="51" s="1"/>
  <c r="D116" i="51" s="1"/>
  <c r="D117" i="51" s="1"/>
  <c r="D118" i="51" s="1"/>
  <c r="D119" i="51" s="1"/>
  <c r="D120" i="51" s="1"/>
  <c r="C91" i="51"/>
  <c r="C92" i="51" s="1"/>
  <c r="C93" i="51" s="1"/>
  <c r="C94" i="51" s="1"/>
  <c r="C95" i="51" s="1"/>
  <c r="C96" i="51" s="1"/>
  <c r="C97" i="51" s="1"/>
  <c r="C98" i="51" s="1"/>
  <c r="C99" i="51" s="1"/>
  <c r="C100" i="51" s="1"/>
  <c r="C101" i="51" s="1"/>
  <c r="C102" i="51" s="1"/>
  <c r="C103" i="51" s="1"/>
  <c r="C104" i="51" s="1"/>
  <c r="C105" i="51" s="1"/>
  <c r="C106" i="51" s="1"/>
  <c r="C107" i="51" s="1"/>
  <c r="C108" i="51" s="1"/>
  <c r="C109" i="51" s="1"/>
  <c r="C110" i="51" s="1"/>
  <c r="C111" i="51" s="1"/>
  <c r="C112" i="51" s="1"/>
  <c r="C113" i="51" s="1"/>
  <c r="H20" i="49" l="1"/>
  <c r="C1" i="50"/>
  <c r="I15" i="53" l="1"/>
  <c r="I16" i="53"/>
  <c r="I17" i="53"/>
  <c r="I18" i="53"/>
  <c r="L15" i="53"/>
  <c r="L16" i="53"/>
  <c r="L17" i="53"/>
  <c r="L18" i="53"/>
  <c r="X268" i="53" l="1"/>
  <c r="W268" i="53"/>
  <c r="X262" i="53"/>
  <c r="X270" i="53" s="1"/>
  <c r="X263" i="53"/>
  <c r="X271" i="53" s="1"/>
  <c r="X261" i="53"/>
  <c r="X269" i="53" s="1"/>
  <c r="W262" i="53"/>
  <c r="W270" i="53" s="1"/>
  <c r="W263" i="53"/>
  <c r="W271" i="53" s="1"/>
  <c r="W261" i="53"/>
  <c r="W269" i="53" s="1"/>
  <c r="W49" i="53"/>
  <c r="X49" i="53"/>
  <c r="W50" i="53"/>
  <c r="X50" i="53"/>
  <c r="W51" i="53"/>
  <c r="X51" i="53"/>
  <c r="W52" i="53"/>
  <c r="X52" i="53"/>
  <c r="W53" i="53"/>
  <c r="X53" i="53"/>
  <c r="W54" i="53"/>
  <c r="X54" i="53"/>
  <c r="W55" i="53"/>
  <c r="X55" i="53"/>
  <c r="W56" i="53"/>
  <c r="X56" i="53"/>
  <c r="W57" i="53"/>
  <c r="X57" i="53"/>
  <c r="W58" i="53"/>
  <c r="X58" i="53"/>
  <c r="X48" i="53"/>
  <c r="W48" i="53"/>
  <c r="W13" i="53"/>
  <c r="X13" i="53"/>
  <c r="W14" i="53"/>
  <c r="X14" i="53"/>
  <c r="W15" i="53"/>
  <c r="X15" i="53"/>
  <c r="W16" i="53"/>
  <c r="X16" i="53"/>
  <c r="W17" i="53"/>
  <c r="X17" i="53"/>
  <c r="W18" i="53"/>
  <c r="X18" i="53"/>
  <c r="W19" i="53"/>
  <c r="X19" i="53"/>
  <c r="W20" i="53"/>
  <c r="X20" i="53"/>
  <c r="W21" i="53"/>
  <c r="X21" i="53"/>
  <c r="W22" i="53"/>
  <c r="X22" i="53"/>
  <c r="W23" i="53"/>
  <c r="X23" i="53"/>
  <c r="W24" i="53"/>
  <c r="X24" i="53"/>
  <c r="W25" i="53"/>
  <c r="X25" i="53"/>
  <c r="W26" i="53"/>
  <c r="X26" i="53"/>
  <c r="W27" i="53"/>
  <c r="X27" i="53"/>
  <c r="W28" i="53"/>
  <c r="X28" i="53"/>
  <c r="W29" i="53"/>
  <c r="X29" i="53"/>
  <c r="W30" i="53"/>
  <c r="X30" i="53"/>
  <c r="W31" i="53"/>
  <c r="X31" i="53"/>
  <c r="W32" i="53"/>
  <c r="X32" i="53"/>
  <c r="W33" i="53"/>
  <c r="X33" i="53"/>
  <c r="W34" i="53"/>
  <c r="X34" i="53"/>
  <c r="W35" i="53"/>
  <c r="X35" i="53"/>
  <c r="W36" i="53"/>
  <c r="X36" i="53"/>
  <c r="W37" i="53"/>
  <c r="X37" i="53"/>
  <c r="W38" i="53"/>
  <c r="X38" i="53"/>
  <c r="W39" i="53"/>
  <c r="X39" i="53"/>
  <c r="W40" i="53"/>
  <c r="X40" i="53"/>
  <c r="W41" i="53"/>
  <c r="X41" i="53"/>
  <c r="W42" i="53"/>
  <c r="X42" i="53"/>
  <c r="X12" i="53"/>
  <c r="W12" i="53"/>
  <c r="H71" i="49" l="1"/>
  <c r="H48" i="49"/>
  <c r="H49" i="49"/>
  <c r="H47" i="49"/>
  <c r="H43" i="49"/>
  <c r="H44" i="49"/>
  <c r="H42" i="49"/>
  <c r="H78" i="49" l="1"/>
  <c r="I77" i="49"/>
  <c r="H79" i="49" l="1"/>
  <c r="H77" i="49"/>
  <c r="C21" i="58"/>
  <c r="C20" i="58"/>
  <c r="C11" i="58"/>
  <c r="C10" i="58"/>
  <c r="C6" i="58"/>
  <c r="C5" i="58"/>
  <c r="C7" i="58" l="1"/>
  <c r="C37" i="58" s="1"/>
  <c r="C12" i="58"/>
  <c r="C49" i="58" s="1"/>
  <c r="C221" i="55"/>
  <c r="E208" i="55"/>
  <c r="E207" i="55"/>
  <c r="E206" i="55"/>
  <c r="E205" i="55"/>
  <c r="C205" i="55" a="1"/>
  <c r="C208" i="55" s="1"/>
  <c r="E202" i="55"/>
  <c r="C202" i="55"/>
  <c r="E201" i="55"/>
  <c r="C201" i="55"/>
  <c r="E200" i="55"/>
  <c r="C200" i="55"/>
  <c r="E199" i="55"/>
  <c r="C199" i="55"/>
  <c r="E198" i="55"/>
  <c r="C198" i="55"/>
  <c r="E197" i="55"/>
  <c r="C197" i="55"/>
  <c r="E196" i="55"/>
  <c r="C196" i="55"/>
  <c r="E195" i="55"/>
  <c r="C195" i="55"/>
  <c r="E194" i="55"/>
  <c r="C194" i="55"/>
  <c r="E193" i="55"/>
  <c r="E189" i="55"/>
  <c r="E188" i="55"/>
  <c r="E187" i="55"/>
  <c r="E186" i="55"/>
  <c r="C186" i="55" a="1"/>
  <c r="C189" i="55" s="1"/>
  <c r="E183" i="55"/>
  <c r="C183" i="55"/>
  <c r="E182" i="55"/>
  <c r="C182" i="55"/>
  <c r="E181" i="55"/>
  <c r="C181" i="55"/>
  <c r="E180" i="55"/>
  <c r="C180" i="55"/>
  <c r="E179" i="55"/>
  <c r="C179" i="55"/>
  <c r="E178" i="55"/>
  <c r="C178" i="55"/>
  <c r="E177" i="55"/>
  <c r="C177" i="55"/>
  <c r="E176" i="55"/>
  <c r="C176" i="55"/>
  <c r="E175" i="55"/>
  <c r="C175" i="55"/>
  <c r="E174" i="55"/>
  <c r="E170" i="55"/>
  <c r="E169" i="55"/>
  <c r="E168" i="55"/>
  <c r="E167" i="55"/>
  <c r="C167" i="55" a="1"/>
  <c r="C170" i="55" s="1"/>
  <c r="E164" i="55"/>
  <c r="C164" i="55"/>
  <c r="E163" i="55"/>
  <c r="C163" i="55"/>
  <c r="E162" i="55"/>
  <c r="C162" i="55"/>
  <c r="E161" i="55"/>
  <c r="C161" i="55"/>
  <c r="E160" i="55"/>
  <c r="C160" i="55"/>
  <c r="E159" i="55"/>
  <c r="C159" i="55"/>
  <c r="E158" i="55"/>
  <c r="C158" i="55"/>
  <c r="E157" i="55"/>
  <c r="C157" i="55"/>
  <c r="E156" i="55"/>
  <c r="C156" i="55"/>
  <c r="E155" i="55"/>
  <c r="E149" i="55"/>
  <c r="E150" i="55"/>
  <c r="E151" i="55"/>
  <c r="E148" i="55"/>
  <c r="C148" i="55" a="1"/>
  <c r="C151" i="55" s="1"/>
  <c r="E132" i="55"/>
  <c r="C132" i="55"/>
  <c r="E138" i="55"/>
  <c r="E139" i="55"/>
  <c r="E140" i="55"/>
  <c r="E141" i="55"/>
  <c r="E142" i="55"/>
  <c r="E143" i="55"/>
  <c r="E144" i="55"/>
  <c r="E145" i="55"/>
  <c r="E136" i="55"/>
  <c r="E137" i="55"/>
  <c r="C145" i="55"/>
  <c r="C144" i="55"/>
  <c r="C143" i="55"/>
  <c r="C142" i="55"/>
  <c r="C141" i="55"/>
  <c r="C140" i="55"/>
  <c r="C139" i="55"/>
  <c r="C138" i="55"/>
  <c r="C137" i="55"/>
  <c r="G112" i="55"/>
  <c r="C119" i="55"/>
  <c r="C118" i="55"/>
  <c r="C117" i="55"/>
  <c r="C116" i="55"/>
  <c r="C115" i="55"/>
  <c r="C114" i="55"/>
  <c r="C113" i="55"/>
  <c r="C112" i="55"/>
  <c r="D111" i="55"/>
  <c r="D110" i="55"/>
  <c r="D109" i="55"/>
  <c r="D108" i="55"/>
  <c r="D107" i="55"/>
  <c r="D106" i="55"/>
  <c r="D105" i="55"/>
  <c r="C104" i="55"/>
  <c r="H94" i="55"/>
  <c r="C96" i="55"/>
  <c r="C93" i="55"/>
  <c r="C94" i="55"/>
  <c r="I71" i="55"/>
  <c r="H71" i="55"/>
  <c r="C124" i="58"/>
  <c r="C118" i="58"/>
  <c r="D119" i="58"/>
  <c r="D120" i="58"/>
  <c r="D121" i="58"/>
  <c r="D122" i="58"/>
  <c r="D115" i="58"/>
  <c r="D114" i="58"/>
  <c r="D113" i="58"/>
  <c r="D112" i="58"/>
  <c r="D111" i="58"/>
  <c r="D104" i="58"/>
  <c r="D108" i="58"/>
  <c r="D107" i="58"/>
  <c r="D106" i="58"/>
  <c r="D105" i="58"/>
  <c r="C97" i="58"/>
  <c r="D98" i="58"/>
  <c r="D99" i="58"/>
  <c r="D100" i="58"/>
  <c r="D101" i="58"/>
  <c r="I64" i="55"/>
  <c r="H64" i="55"/>
  <c r="C206" i="55" l="1"/>
  <c r="C205" i="55"/>
  <c r="C207" i="55"/>
  <c r="C187" i="55"/>
  <c r="C186" i="55"/>
  <c r="C188" i="55"/>
  <c r="C167" i="55"/>
  <c r="C168" i="55"/>
  <c r="C169" i="55"/>
  <c r="C148" i="55"/>
  <c r="C149" i="55"/>
  <c r="C150" i="55"/>
  <c r="C78" i="55"/>
  <c r="C77" i="55"/>
  <c r="C76" i="55"/>
  <c r="C75" i="55"/>
  <c r="C74" i="55"/>
  <c r="C73" i="55"/>
  <c r="C72" i="55"/>
  <c r="C71" i="55"/>
  <c r="D70" i="55"/>
  <c r="D69" i="55"/>
  <c r="D68" i="55"/>
  <c r="D67" i="55"/>
  <c r="D66" i="55"/>
  <c r="D65" i="55"/>
  <c r="D64" i="55"/>
  <c r="C63" i="55"/>
  <c r="I54" i="55"/>
  <c r="C58" i="55"/>
  <c r="O30" i="55"/>
  <c r="N30" i="55"/>
  <c r="M30" i="55"/>
  <c r="E30" i="55"/>
  <c r="C30" i="55"/>
  <c r="D16" i="55"/>
  <c r="D38" i="54"/>
  <c r="F234" i="52"/>
  <c r="K69" i="55" s="1"/>
  <c r="F233" i="52"/>
  <c r="J69" i="55" s="1"/>
  <c r="I69" i="55"/>
  <c r="F224" i="52"/>
  <c r="H69" i="55" s="1"/>
  <c r="F218" i="52"/>
  <c r="F227" i="52"/>
  <c r="F217" i="52"/>
  <c r="D30" i="54"/>
  <c r="D26" i="54"/>
  <c r="B28" i="54"/>
  <c r="P276" i="53"/>
  <c r="Q269" i="53"/>
  <c r="T269" i="53"/>
  <c r="Q270" i="53"/>
  <c r="T270" i="53"/>
  <c r="Q271" i="53"/>
  <c r="T271" i="53"/>
  <c r="T268" i="53"/>
  <c r="Q268" i="53"/>
  <c r="P269" i="53"/>
  <c r="P270" i="53"/>
  <c r="P271" i="53"/>
  <c r="P268" i="53"/>
  <c r="J269" i="53"/>
  <c r="J270" i="53"/>
  <c r="J271" i="53"/>
  <c r="J268" i="53"/>
  <c r="I269" i="53"/>
  <c r="I270" i="53"/>
  <c r="I271" i="53"/>
  <c r="I268" i="53"/>
  <c r="G271" i="53"/>
  <c r="G270" i="53"/>
  <c r="G269" i="53"/>
  <c r="C269" i="53"/>
  <c r="C270" i="53" s="1"/>
  <c r="C271" i="53" s="1"/>
  <c r="G268" i="53"/>
  <c r="B274" i="53"/>
  <c r="Q15" i="53"/>
  <c r="S15" i="53"/>
  <c r="T15" i="53"/>
  <c r="Q16" i="53"/>
  <c r="S16" i="53"/>
  <c r="T16" i="53"/>
  <c r="Q17" i="53"/>
  <c r="S17" i="53"/>
  <c r="T17" i="53"/>
  <c r="Q18" i="53"/>
  <c r="S18" i="53"/>
  <c r="T18" i="53"/>
  <c r="P16" i="53"/>
  <c r="P17" i="53"/>
  <c r="P18" i="53"/>
  <c r="P15" i="53"/>
  <c r="J15" i="53"/>
  <c r="M15" i="53"/>
  <c r="J16" i="53"/>
  <c r="M16" i="53"/>
  <c r="J17" i="53"/>
  <c r="M17" i="53"/>
  <c r="J18" i="53"/>
  <c r="M18" i="53"/>
  <c r="B170" i="52"/>
  <c r="F160" i="51"/>
  <c r="C172" i="51"/>
  <c r="C171" i="51"/>
  <c r="C170" i="51"/>
  <c r="C169" i="51"/>
  <c r="C168" i="51"/>
  <c r="C167" i="51"/>
  <c r="C166" i="51"/>
  <c r="C165" i="51"/>
  <c r="C164" i="51"/>
  <c r="C163" i="51"/>
  <c r="C162" i="51"/>
  <c r="F81" i="49"/>
  <c r="F223" i="52" l="1"/>
  <c r="G68" i="55"/>
  <c r="G69" i="55"/>
  <c r="F228" i="52"/>
  <c r="F229" i="52"/>
  <c r="F238" i="52"/>
  <c r="L69" i="55" l="1"/>
  <c r="G90" i="55"/>
  <c r="F237" i="52"/>
  <c r="H90" i="55" l="1"/>
  <c r="G110" i="55"/>
  <c r="I90" i="55"/>
  <c r="K90" i="55"/>
  <c r="J90" i="55"/>
  <c r="H50" i="55"/>
  <c r="H49" i="55"/>
  <c r="H48" i="55"/>
  <c r="G6" i="55" a="1"/>
  <c r="G6" i="55" s="1"/>
  <c r="F61" i="49"/>
  <c r="I49" i="55"/>
  <c r="I48" i="55"/>
  <c r="I47" i="55"/>
  <c r="I50" i="55"/>
  <c r="E112" i="49"/>
  <c r="J58" i="55" s="1"/>
  <c r="K57" i="55"/>
  <c r="J57" i="55"/>
  <c r="I57" i="55"/>
  <c r="I51" i="55"/>
  <c r="I74" i="49"/>
  <c r="I73" i="49"/>
  <c r="D15" i="55"/>
  <c r="D14" i="55"/>
  <c r="D13" i="55"/>
  <c r="D12" i="55"/>
  <c r="D11" i="55"/>
  <c r="D10" i="55"/>
  <c r="D9" i="55"/>
  <c r="D8" i="55"/>
  <c r="E36" i="55"/>
  <c r="E35" i="55"/>
  <c r="E34" i="55"/>
  <c r="E33" i="55"/>
  <c r="C36" i="55"/>
  <c r="C35" i="55"/>
  <c r="C34" i="55"/>
  <c r="C33" i="55"/>
  <c r="H110" i="55" l="1"/>
  <c r="K110" i="55"/>
  <c r="I110" i="55"/>
  <c r="J110" i="55"/>
  <c r="J6" i="55"/>
  <c r="I6" i="55"/>
  <c r="H6" i="55"/>
  <c r="K58" i="55"/>
  <c r="I58" i="55"/>
  <c r="L110" i="55" l="1"/>
  <c r="C76" i="51" l="1"/>
  <c r="F9" i="52" l="1"/>
  <c r="F104" i="52"/>
  <c r="F111" i="52" s="1"/>
  <c r="K97" i="55" s="1"/>
  <c r="F103" i="52"/>
  <c r="F110" i="52" s="1"/>
  <c r="J97" i="55" s="1"/>
  <c r="F102" i="52"/>
  <c r="F109" i="52" s="1"/>
  <c r="F101" i="52"/>
  <c r="F108" i="52" s="1"/>
  <c r="H97" i="55" s="1"/>
  <c r="F100" i="52"/>
  <c r="F23" i="52"/>
  <c r="F19" i="52"/>
  <c r="C196" i="51"/>
  <c r="C195" i="51"/>
  <c r="G10" i="49"/>
  <c r="H10" i="49"/>
  <c r="F10" i="49"/>
  <c r="E12" i="49"/>
  <c r="E13" i="49"/>
  <c r="E14" i="49"/>
  <c r="E11" i="49"/>
  <c r="D10" i="49"/>
  <c r="C224" i="55" a="1"/>
  <c r="C227" i="55" s="1"/>
  <c r="D14" i="49" s="1"/>
  <c r="P162" i="51"/>
  <c r="P161" i="51"/>
  <c r="O154" i="51"/>
  <c r="O155" i="51" s="1"/>
  <c r="O156" i="51" s="1"/>
  <c r="O157" i="51" s="1"/>
  <c r="O158" i="51" s="1"/>
  <c r="O159" i="51" s="1"/>
  <c r="O160" i="51" s="1"/>
  <c r="O161" i="51" s="1"/>
  <c r="O162" i="51" s="1"/>
  <c r="D15" i="52" l="1" a="1"/>
  <c r="D17" i="52" s="1"/>
  <c r="I97" i="55"/>
  <c r="F107" i="52"/>
  <c r="G89" i="55"/>
  <c r="G109" i="55" s="1"/>
  <c r="C226" i="55"/>
  <c r="D13" i="49" s="1"/>
  <c r="C224" i="55"/>
  <c r="D11" i="49" s="1"/>
  <c r="C225" i="55"/>
  <c r="D12" i="49" s="1"/>
  <c r="C99" i="55"/>
  <c r="C98" i="55"/>
  <c r="C97" i="55"/>
  <c r="C95" i="55"/>
  <c r="C92" i="55"/>
  <c r="D91" i="55"/>
  <c r="D90" i="55"/>
  <c r="D89" i="55"/>
  <c r="D88" i="55"/>
  <c r="D87" i="55"/>
  <c r="D86" i="55"/>
  <c r="D85" i="55"/>
  <c r="C84" i="55"/>
  <c r="F112" i="59"/>
  <c r="C220" i="55"/>
  <c r="C219" i="55"/>
  <c r="C218" i="55"/>
  <c r="C217" i="55"/>
  <c r="C216" i="55"/>
  <c r="C215" i="55"/>
  <c r="C214" i="55"/>
  <c r="C213" i="55"/>
  <c r="D26" i="52" l="1"/>
  <c r="D15" i="52"/>
  <c r="D21" i="52"/>
  <c r="D27" i="52"/>
  <c r="D25" i="52"/>
  <c r="D16" i="52"/>
  <c r="D18" i="52"/>
  <c r="D19" i="52"/>
  <c r="D20" i="52"/>
  <c r="D22" i="52"/>
  <c r="D23" i="52"/>
  <c r="D24" i="52"/>
  <c r="L76" i="55"/>
  <c r="G96" i="55"/>
  <c r="G116" i="55" s="1"/>
  <c r="E131" i="55"/>
  <c r="C131" i="55"/>
  <c r="E130" i="55"/>
  <c r="C130" i="55"/>
  <c r="E129" i="55"/>
  <c r="C129" i="55"/>
  <c r="E128" i="55"/>
  <c r="C128" i="55"/>
  <c r="E127" i="55"/>
  <c r="C127" i="55"/>
  <c r="E126" i="55"/>
  <c r="C126" i="55"/>
  <c r="E125" i="55"/>
  <c r="C125" i="55"/>
  <c r="E124" i="55"/>
  <c r="C124" i="55"/>
  <c r="G97" i="55" l="1"/>
  <c r="G117" i="55" s="1"/>
  <c r="H117" i="55" s="1"/>
  <c r="I44" i="55"/>
  <c r="H68" i="49"/>
  <c r="H67" i="49"/>
  <c r="I72" i="49"/>
  <c r="C57" i="55"/>
  <c r="C56" i="55"/>
  <c r="C55" i="55"/>
  <c r="C54" i="55"/>
  <c r="C53" i="55"/>
  <c r="C52" i="55"/>
  <c r="C51" i="55"/>
  <c r="D50" i="55"/>
  <c r="D49" i="55"/>
  <c r="D48" i="55"/>
  <c r="D47" i="55"/>
  <c r="D46" i="55"/>
  <c r="D45" i="55"/>
  <c r="D44" i="55"/>
  <c r="C43" i="55"/>
  <c r="L158" i="51"/>
  <c r="O23" i="55"/>
  <c r="O24" i="55"/>
  <c r="O25" i="55"/>
  <c r="O26" i="55"/>
  <c r="O27" i="55"/>
  <c r="O28" i="55"/>
  <c r="O29" i="55"/>
  <c r="O22" i="55"/>
  <c r="N23" i="55"/>
  <c r="N24" i="55"/>
  <c r="N25" i="55"/>
  <c r="N26" i="55"/>
  <c r="N27" i="55"/>
  <c r="N28" i="55"/>
  <c r="N29" i="55"/>
  <c r="L125" i="49" l="1"/>
  <c r="F130" i="52"/>
  <c r="L126" i="49"/>
  <c r="F137" i="52"/>
  <c r="F206" i="52" s="1"/>
  <c r="H58" i="49"/>
  <c r="F25" i="52" s="1"/>
  <c r="H59" i="49"/>
  <c r="H57" i="49"/>
  <c r="F21" i="52" s="1"/>
  <c r="H53" i="49"/>
  <c r="F24" i="52" s="1"/>
  <c r="H54" i="49"/>
  <c r="H52" i="49"/>
  <c r="F20" i="52" s="1"/>
  <c r="I78" i="49"/>
  <c r="I79" i="49"/>
  <c r="K96" i="55"/>
  <c r="K116" i="55" s="1"/>
  <c r="K68" i="55"/>
  <c r="K89" i="55" s="1"/>
  <c r="K109" i="55" s="1"/>
  <c r="I68" i="55"/>
  <c r="I89" i="55" s="1"/>
  <c r="I109" i="55" s="1"/>
  <c r="H68" i="55"/>
  <c r="H89" i="55" s="1"/>
  <c r="H109" i="55" s="1"/>
  <c r="J96" i="55"/>
  <c r="J116" i="55" s="1"/>
  <c r="J68" i="55"/>
  <c r="J89" i="55" s="1"/>
  <c r="J109" i="55" s="1"/>
  <c r="I96" i="55"/>
  <c r="I116" i="55" s="1"/>
  <c r="H96" i="55"/>
  <c r="H116" i="55" s="1"/>
  <c r="J117" i="55"/>
  <c r="I117" i="55"/>
  <c r="K117" i="55"/>
  <c r="J54" i="55"/>
  <c r="K54" i="55"/>
  <c r="K48" i="55"/>
  <c r="K50" i="55"/>
  <c r="K47" i="55"/>
  <c r="K49" i="55"/>
  <c r="K46" i="55"/>
  <c r="K51" i="55"/>
  <c r="K53" i="55"/>
  <c r="K52" i="55"/>
  <c r="I45" i="55"/>
  <c r="I46" i="55"/>
  <c r="I53" i="55"/>
  <c r="I52" i="55"/>
  <c r="J47" i="55"/>
  <c r="J48" i="55"/>
  <c r="J51" i="55"/>
  <c r="J50" i="55"/>
  <c r="J49" i="55"/>
  <c r="J46" i="55"/>
  <c r="J52" i="55"/>
  <c r="J53" i="55"/>
  <c r="J44" i="55"/>
  <c r="K45" i="55"/>
  <c r="K44" i="55"/>
  <c r="J45" i="55"/>
  <c r="N22" i="55"/>
  <c r="M23" i="55"/>
  <c r="M24" i="55"/>
  <c r="M25" i="55"/>
  <c r="M26" i="55"/>
  <c r="M27" i="55"/>
  <c r="M28" i="55"/>
  <c r="M29" i="55"/>
  <c r="M22" i="55"/>
  <c r="K154" i="51"/>
  <c r="K155" i="51" s="1"/>
  <c r="K156" i="51" s="1"/>
  <c r="K157" i="51" s="1"/>
  <c r="K158" i="51" s="1"/>
  <c r="H154" i="51"/>
  <c r="H155" i="51" s="1"/>
  <c r="H156" i="51" s="1"/>
  <c r="H157" i="51" s="1"/>
  <c r="H158" i="51" s="1"/>
  <c r="F162" i="51"/>
  <c r="F161" i="51"/>
  <c r="E154" i="51"/>
  <c r="E155" i="51" s="1"/>
  <c r="E156" i="51" s="1"/>
  <c r="E157" i="51" s="1"/>
  <c r="E158" i="51" s="1"/>
  <c r="E159" i="51" s="1"/>
  <c r="E160" i="51" s="1"/>
  <c r="E161" i="51" s="1"/>
  <c r="E162" i="51" s="1"/>
  <c r="K71" i="55" l="1"/>
  <c r="K64" i="55"/>
  <c r="J71" i="55"/>
  <c r="J64" i="55"/>
  <c r="H76" i="49"/>
  <c r="L117" i="55"/>
  <c r="L116" i="55"/>
  <c r="L109" i="55"/>
  <c r="L75" i="55"/>
  <c r="L68" i="55"/>
  <c r="L89" i="55"/>
  <c r="G64" i="55" l="1"/>
  <c r="L64" i="55" s="1"/>
  <c r="G71" i="55"/>
  <c r="J92" i="55" s="1"/>
  <c r="J112" i="55" s="1"/>
  <c r="H92" i="55" l="1"/>
  <c r="I92" i="55"/>
  <c r="I112" i="55" s="1"/>
  <c r="K92" i="55"/>
  <c r="K112" i="55" s="1"/>
  <c r="L71" i="55"/>
  <c r="P286" i="53"/>
  <c r="E23" i="55"/>
  <c r="E24" i="55"/>
  <c r="E25" i="55"/>
  <c r="E26" i="55"/>
  <c r="E27" i="55"/>
  <c r="E28" i="55"/>
  <c r="E29" i="55"/>
  <c r="E22" i="55"/>
  <c r="C23" i="55"/>
  <c r="C24" i="55"/>
  <c r="C25" i="55"/>
  <c r="C26" i="55"/>
  <c r="C27" i="55"/>
  <c r="C28" i="55"/>
  <c r="C29" i="55"/>
  <c r="C22" i="55"/>
  <c r="E47" i="54"/>
  <c r="D47" i="54"/>
  <c r="P292" i="53"/>
  <c r="H112" i="55" l="1"/>
  <c r="L112" i="55" s="1"/>
  <c r="L92" i="55"/>
  <c r="B113" i="52"/>
  <c r="D34" i="54"/>
  <c r="B290" i="53"/>
  <c r="B284" i="53"/>
  <c r="B45" i="54"/>
  <c r="B41" i="54"/>
  <c r="B266" i="53"/>
  <c r="D22" i="54"/>
  <c r="G261" i="53"/>
  <c r="G262" i="53"/>
  <c r="G263" i="53"/>
  <c r="G260" i="53"/>
  <c r="B24" i="54"/>
  <c r="E12" i="54" l="1"/>
  <c r="G12" i="53"/>
  <c r="G13" i="53"/>
  <c r="G14" i="53"/>
  <c r="G15" i="53"/>
  <c r="G16" i="53"/>
  <c r="G17" i="53"/>
  <c r="G18" i="53"/>
  <c r="G19" i="53"/>
  <c r="G20" i="53"/>
  <c r="G21" i="53"/>
  <c r="G22" i="53"/>
  <c r="G23" i="53"/>
  <c r="G24" i="53"/>
  <c r="G25" i="53"/>
  <c r="G26" i="53"/>
  <c r="G27" i="53"/>
  <c r="G28" i="53"/>
  <c r="G29" i="53"/>
  <c r="G30" i="53"/>
  <c r="G31" i="53"/>
  <c r="G32" i="53"/>
  <c r="G33" i="53"/>
  <c r="G34" i="53"/>
  <c r="G35" i="53"/>
  <c r="G36" i="53"/>
  <c r="G37" i="53"/>
  <c r="G38" i="53"/>
  <c r="G39" i="53"/>
  <c r="G40" i="53"/>
  <c r="G41" i="53"/>
  <c r="G42" i="53"/>
  <c r="G11" i="53"/>
  <c r="D16" i="54"/>
  <c r="F28" i="49"/>
  <c r="D12" i="54" s="1"/>
  <c r="P281" i="53"/>
  <c r="P297" i="53"/>
  <c r="S269" i="53"/>
  <c r="S270" i="53"/>
  <c r="S271" i="53"/>
  <c r="S268" i="53"/>
  <c r="F22" i="52" l="1"/>
  <c r="F18" i="52"/>
  <c r="L124" i="49" l="1"/>
  <c r="H278" i="52"/>
  <c r="J277" i="52"/>
  <c r="H259" i="52"/>
  <c r="J258" i="52"/>
  <c r="H268" i="52"/>
  <c r="J267" i="52"/>
  <c r="F279" i="52" l="1"/>
  <c r="F269" i="52"/>
  <c r="F260" i="52"/>
  <c r="C88" i="58"/>
  <c r="C84" i="58"/>
  <c r="C80" i="58"/>
  <c r="C92" i="58"/>
  <c r="C76" i="58"/>
  <c r="C72" i="58"/>
  <c r="F280" i="52" l="1"/>
  <c r="C45" i="58"/>
  <c r="C65" i="58"/>
  <c r="F124" i="52"/>
  <c r="F138" i="52"/>
  <c r="F131" i="52"/>
  <c r="F123" i="52"/>
  <c r="F72" i="52"/>
  <c r="F71" i="52"/>
  <c r="F66" i="52"/>
  <c r="F65" i="52"/>
  <c r="F60" i="52"/>
  <c r="F59" i="52"/>
  <c r="F132" i="52" l="1"/>
  <c r="F127" i="52"/>
  <c r="F134" i="52"/>
  <c r="F125" i="52"/>
  <c r="F139" i="52" l="1"/>
  <c r="F117" i="52" s="1"/>
  <c r="F26" i="54" s="1"/>
  <c r="F74" i="52"/>
  <c r="F68" i="52"/>
  <c r="C60" i="51"/>
  <c r="C61" i="51" s="1"/>
  <c r="C62" i="51" s="1"/>
  <c r="F39" i="59"/>
  <c r="F21" i="59"/>
  <c r="F55" i="52" s="1"/>
  <c r="C53" i="58"/>
  <c r="F62" i="52" l="1"/>
  <c r="F80" i="52" s="1"/>
  <c r="F61" i="52"/>
  <c r="F73" i="52"/>
  <c r="F67" i="52"/>
  <c r="F272" i="52"/>
  <c r="F205" i="52" s="1"/>
  <c r="F146" i="52"/>
  <c r="F154" i="52"/>
  <c r="F167" i="52" s="1"/>
  <c r="F263" i="52"/>
  <c r="F282" i="52"/>
  <c r="F35" i="52"/>
  <c r="F270" i="52"/>
  <c r="C33" i="58"/>
  <c r="C57" i="58"/>
  <c r="C61" i="58"/>
  <c r="C41" i="58"/>
  <c r="C29" i="58"/>
  <c r="F150" i="52"/>
  <c r="D21" i="58"/>
  <c r="D20" i="58"/>
  <c r="E16" i="58"/>
  <c r="F32" i="59"/>
  <c r="F33" i="59"/>
  <c r="F16" i="59"/>
  <c r="F15" i="59"/>
  <c r="F34" i="59"/>
  <c r="F9" i="59"/>
  <c r="F14" i="59" s="1"/>
  <c r="F290" i="52"/>
  <c r="F209" i="52" l="1"/>
  <c r="F88" i="52"/>
  <c r="F204" i="52"/>
  <c r="I106" i="58"/>
  <c r="F147" i="52"/>
  <c r="F160" i="52" s="1"/>
  <c r="F159" i="52"/>
  <c r="J107" i="58"/>
  <c r="H107" i="58" s="1"/>
  <c r="H114" i="58" s="1"/>
  <c r="F151" i="52"/>
  <c r="F164" i="52" s="1"/>
  <c r="K108" i="58"/>
  <c r="H108" i="58" s="1"/>
  <c r="H115" i="58" s="1"/>
  <c r="F155" i="52"/>
  <c r="F168" i="52" s="1"/>
  <c r="F163" i="52"/>
  <c r="F89" i="52"/>
  <c r="G122" i="58" s="1"/>
  <c r="F87" i="52"/>
  <c r="G120" i="58" s="1"/>
  <c r="F286" i="52"/>
  <c r="F261" i="52"/>
  <c r="F77" i="52"/>
  <c r="C24" i="58"/>
  <c r="F291" i="52"/>
  <c r="F294" i="52" s="1"/>
  <c r="F34" i="52"/>
  <c r="F140" i="52" s="1"/>
  <c r="F36" i="52"/>
  <c r="B29" i="52"/>
  <c r="C38" i="51"/>
  <c r="C39" i="51" s="1"/>
  <c r="C40" i="51" s="1"/>
  <c r="C41" i="51" s="1"/>
  <c r="C42" i="51" s="1"/>
  <c r="C43" i="51" s="1"/>
  <c r="C44" i="51" s="1"/>
  <c r="C45" i="51" s="1"/>
  <c r="C46" i="51" s="1"/>
  <c r="C47" i="51" s="1"/>
  <c r="C48" i="51" s="1"/>
  <c r="C49" i="51" s="1"/>
  <c r="C50" i="51" s="1"/>
  <c r="C51" i="51" s="1"/>
  <c r="C52" i="51" s="1"/>
  <c r="C53" i="51" s="1"/>
  <c r="C54" i="51" s="1"/>
  <c r="C55" i="51" s="1"/>
  <c r="B38" i="51"/>
  <c r="B39" i="51" s="1"/>
  <c r="B40" i="51" s="1"/>
  <c r="B41" i="51" s="1"/>
  <c r="B42" i="51" s="1"/>
  <c r="B43" i="51" s="1"/>
  <c r="B44" i="51" s="1"/>
  <c r="B45" i="51" s="1"/>
  <c r="B46" i="51" s="1"/>
  <c r="B47" i="51" s="1"/>
  <c r="B48" i="51" s="1"/>
  <c r="B49" i="51" s="1"/>
  <c r="B50" i="51" s="1"/>
  <c r="B51" i="51" s="1"/>
  <c r="B52" i="51" s="1"/>
  <c r="B53" i="51" s="1"/>
  <c r="B54" i="51" s="1"/>
  <c r="B55" i="51" s="1"/>
  <c r="F16" i="52"/>
  <c r="F17" i="52" s="1"/>
  <c r="F15" i="52"/>
  <c r="F293" i="52"/>
  <c r="F292" i="52"/>
  <c r="C25" i="58" l="1"/>
  <c r="C50" i="58" s="1"/>
  <c r="F120" i="49" s="1"/>
  <c r="F246" i="52" s="1"/>
  <c r="F43" i="54" s="1"/>
  <c r="I100" i="58"/>
  <c r="J100" i="58" s="1"/>
  <c r="H106" i="58"/>
  <c r="H113" i="58" s="1"/>
  <c r="F94" i="52"/>
  <c r="J65" i="55" s="1"/>
  <c r="G121" i="58"/>
  <c r="F208" i="52"/>
  <c r="I99" i="58"/>
  <c r="F126" i="52"/>
  <c r="F133" i="52"/>
  <c r="I101" i="58"/>
  <c r="F210" i="52"/>
  <c r="F95" i="52"/>
  <c r="K65" i="55" s="1"/>
  <c r="F93" i="52"/>
  <c r="I65" i="55" s="1"/>
  <c r="F189" i="52"/>
  <c r="G99" i="55"/>
  <c r="F285" i="52"/>
  <c r="B288" i="52"/>
  <c r="B241" i="52"/>
  <c r="C38" i="58" l="1"/>
  <c r="F118" i="49" s="1"/>
  <c r="G85" i="55"/>
  <c r="G105" i="55" s="1"/>
  <c r="F10" i="52"/>
  <c r="G119" i="55"/>
  <c r="F192" i="52"/>
  <c r="I97" i="58"/>
  <c r="J101" i="58"/>
  <c r="K101" i="58" s="1"/>
  <c r="F118" i="52"/>
  <c r="G97" i="58" s="1"/>
  <c r="L97" i="55"/>
  <c r="L96" i="55"/>
  <c r="F295" i="52"/>
  <c r="F47" i="54"/>
  <c r="C87" i="58"/>
  <c r="C91" i="58"/>
  <c r="C58" i="58"/>
  <c r="C62" i="58"/>
  <c r="C79" i="58"/>
  <c r="C83" i="58"/>
  <c r="C46" i="58"/>
  <c r="C34" i="58"/>
  <c r="C54" i="58"/>
  <c r="C66" i="58"/>
  <c r="C75" i="58"/>
  <c r="C71" i="58"/>
  <c r="C42" i="58"/>
  <c r="C30" i="58"/>
  <c r="H85" i="55" l="1"/>
  <c r="H105" i="55" s="1"/>
  <c r="I85" i="55"/>
  <c r="I105" i="55" s="1"/>
  <c r="K85" i="55"/>
  <c r="K105" i="55" s="1"/>
  <c r="J85" i="55"/>
  <c r="J105" i="55" s="1"/>
  <c r="K97" i="58"/>
  <c r="K66" i="55" s="1"/>
  <c r="J97" i="58"/>
  <c r="I66" i="55"/>
  <c r="I73" i="55"/>
  <c r="I94" i="55" s="1"/>
  <c r="L90" i="55"/>
  <c r="G87" i="55"/>
  <c r="G107" i="55" s="1"/>
  <c r="L85" i="55" l="1"/>
  <c r="L105" i="55"/>
  <c r="K73" i="55"/>
  <c r="K94" i="55" s="1"/>
  <c r="H107" i="55"/>
  <c r="L97" i="58"/>
  <c r="J66" i="55"/>
  <c r="G66" i="55" s="1"/>
  <c r="J73" i="55"/>
  <c r="G104" i="58"/>
  <c r="B36" i="54"/>
  <c r="B32" i="54"/>
  <c r="B20" i="54"/>
  <c r="B14" i="54"/>
  <c r="B10" i="54"/>
  <c r="R6" i="54"/>
  <c r="B295" i="53"/>
  <c r="B279" i="53"/>
  <c r="C261" i="53"/>
  <c r="C262" i="53" s="1"/>
  <c r="C263" i="53" s="1"/>
  <c r="B258" i="53"/>
  <c r="B45" i="53"/>
  <c r="C12" i="53"/>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1" i="53" s="1"/>
  <c r="C42" i="53" s="1"/>
  <c r="C4" i="53"/>
  <c r="C5" i="53" s="1"/>
  <c r="B8" i="53"/>
  <c r="K250" i="53" l="1"/>
  <c r="K251" i="53"/>
  <c r="K252" i="53"/>
  <c r="R254" i="53"/>
  <c r="W17" i="54" s="1"/>
  <c r="X17" i="54" s="1"/>
  <c r="AA17" i="54" s="1"/>
  <c r="K253" i="53"/>
  <c r="K254" i="53"/>
  <c r="J17" i="54" s="1"/>
  <c r="M17" i="54" s="1"/>
  <c r="N47" i="53"/>
  <c r="N50" i="53"/>
  <c r="N58" i="53"/>
  <c r="N66" i="53"/>
  <c r="N74" i="53"/>
  <c r="N82" i="53"/>
  <c r="N90" i="53"/>
  <c r="N98" i="53"/>
  <c r="N106" i="53"/>
  <c r="N114" i="53"/>
  <c r="N122" i="53"/>
  <c r="N130" i="53"/>
  <c r="N138" i="53"/>
  <c r="N146" i="53"/>
  <c r="N154" i="53"/>
  <c r="N162" i="53"/>
  <c r="N170" i="53"/>
  <c r="N178" i="53"/>
  <c r="N186" i="53"/>
  <c r="N192" i="53"/>
  <c r="N198" i="53"/>
  <c r="N218" i="53"/>
  <c r="N220" i="53"/>
  <c r="N222" i="53"/>
  <c r="N224" i="53"/>
  <c r="N226" i="53"/>
  <c r="N228" i="53"/>
  <c r="N230" i="53"/>
  <c r="N232" i="53"/>
  <c r="N234" i="53"/>
  <c r="N236" i="53"/>
  <c r="N238" i="53"/>
  <c r="N240" i="53"/>
  <c r="N242" i="53"/>
  <c r="N244" i="53"/>
  <c r="N246" i="53"/>
  <c r="N92" i="53"/>
  <c r="N116" i="53"/>
  <c r="N124" i="53"/>
  <c r="N156" i="53"/>
  <c r="N48" i="53"/>
  <c r="N56" i="53"/>
  <c r="N64" i="53"/>
  <c r="N72" i="53"/>
  <c r="N80" i="53"/>
  <c r="N88" i="53"/>
  <c r="N96" i="53"/>
  <c r="N104" i="53"/>
  <c r="N112" i="53"/>
  <c r="N120" i="53"/>
  <c r="N128" i="53"/>
  <c r="N136" i="53"/>
  <c r="N144" i="53"/>
  <c r="N152" i="53"/>
  <c r="N160" i="53"/>
  <c r="N168" i="53"/>
  <c r="N176" i="53"/>
  <c r="N184" i="53"/>
  <c r="N190" i="53"/>
  <c r="N210" i="53"/>
  <c r="N216" i="53"/>
  <c r="N60" i="53"/>
  <c r="N68" i="53"/>
  <c r="N84" i="53"/>
  <c r="N148" i="53"/>
  <c r="N172" i="53"/>
  <c r="N180" i="53"/>
  <c r="N200" i="53"/>
  <c r="N54" i="53"/>
  <c r="N62" i="53"/>
  <c r="N70" i="53"/>
  <c r="N78" i="53"/>
  <c r="N86" i="53"/>
  <c r="N94" i="53"/>
  <c r="N102" i="53"/>
  <c r="N110" i="53"/>
  <c r="N118" i="53"/>
  <c r="N126" i="53"/>
  <c r="N134" i="53"/>
  <c r="N142" i="53"/>
  <c r="N150" i="53"/>
  <c r="N158" i="53"/>
  <c r="N166" i="53"/>
  <c r="N174" i="53"/>
  <c r="N182" i="53"/>
  <c r="N202" i="53"/>
  <c r="N208" i="53"/>
  <c r="N214" i="53"/>
  <c r="N219" i="53"/>
  <c r="N221" i="53"/>
  <c r="N223" i="53"/>
  <c r="N225" i="53"/>
  <c r="N227" i="53"/>
  <c r="N229" i="53"/>
  <c r="N231" i="53"/>
  <c r="N233" i="53"/>
  <c r="N235" i="53"/>
  <c r="N237" i="53"/>
  <c r="N239" i="53"/>
  <c r="N241" i="53"/>
  <c r="N243" i="53"/>
  <c r="N245" i="53"/>
  <c r="N52" i="53"/>
  <c r="N76" i="53"/>
  <c r="N100" i="53"/>
  <c r="N108" i="53"/>
  <c r="N132" i="53"/>
  <c r="N140" i="53"/>
  <c r="N164" i="53"/>
  <c r="N194" i="53"/>
  <c r="N206" i="53"/>
  <c r="N175" i="53"/>
  <c r="N63" i="53"/>
  <c r="N191" i="53"/>
  <c r="N169" i="53"/>
  <c r="N137" i="53"/>
  <c r="N105" i="53"/>
  <c r="N73" i="53"/>
  <c r="N209" i="53"/>
  <c r="N95" i="53"/>
  <c r="N196" i="53"/>
  <c r="N171" i="53"/>
  <c r="N139" i="53"/>
  <c r="N107" i="53"/>
  <c r="N75" i="53"/>
  <c r="N215" i="53"/>
  <c r="N183" i="53"/>
  <c r="N103" i="53"/>
  <c r="N207" i="53"/>
  <c r="N181" i="53"/>
  <c r="N149" i="53"/>
  <c r="N117" i="53"/>
  <c r="N85" i="53"/>
  <c r="N53" i="53"/>
  <c r="N77" i="53"/>
  <c r="N69" i="53"/>
  <c r="N197" i="53"/>
  <c r="N145" i="53"/>
  <c r="N113" i="53"/>
  <c r="N49" i="53"/>
  <c r="N199" i="53"/>
  <c r="N147" i="53"/>
  <c r="N83" i="53"/>
  <c r="N51" i="53"/>
  <c r="N135" i="53"/>
  <c r="N195" i="53"/>
  <c r="N125" i="53"/>
  <c r="N93" i="53"/>
  <c r="N151" i="53"/>
  <c r="N217" i="53"/>
  <c r="N188" i="53"/>
  <c r="N161" i="53"/>
  <c r="N129" i="53"/>
  <c r="N97" i="53"/>
  <c r="N65" i="53"/>
  <c r="N159" i="53"/>
  <c r="N71" i="53"/>
  <c r="N193" i="53"/>
  <c r="N163" i="53"/>
  <c r="N131" i="53"/>
  <c r="N99" i="53"/>
  <c r="N67" i="53"/>
  <c r="N212" i="53"/>
  <c r="N167" i="53"/>
  <c r="N79" i="53"/>
  <c r="N204" i="53"/>
  <c r="N173" i="53"/>
  <c r="N141" i="53"/>
  <c r="N109" i="53"/>
  <c r="N119" i="53"/>
  <c r="N211" i="53"/>
  <c r="N185" i="53"/>
  <c r="N153" i="53"/>
  <c r="N121" i="53"/>
  <c r="N89" i="53"/>
  <c r="N57" i="53"/>
  <c r="N127" i="53"/>
  <c r="N205" i="53"/>
  <c r="N187" i="53"/>
  <c r="N155" i="53"/>
  <c r="N123" i="53"/>
  <c r="N91" i="53"/>
  <c r="N59" i="53"/>
  <c r="N203" i="53"/>
  <c r="N143" i="53"/>
  <c r="N55" i="53"/>
  <c r="N201" i="53"/>
  <c r="N165" i="53"/>
  <c r="N133" i="53"/>
  <c r="N101" i="53"/>
  <c r="N87" i="53"/>
  <c r="N177" i="53"/>
  <c r="N81" i="53"/>
  <c r="N111" i="53"/>
  <c r="N179" i="53"/>
  <c r="N115" i="53"/>
  <c r="N189" i="53"/>
  <c r="N213" i="53"/>
  <c r="N157" i="53"/>
  <c r="N61" i="53"/>
  <c r="S300" i="53"/>
  <c r="U47" i="54" s="1"/>
  <c r="S83" i="53"/>
  <c r="S84" i="53"/>
  <c r="S85" i="53"/>
  <c r="S86" i="53"/>
  <c r="S90" i="53"/>
  <c r="S92" i="53"/>
  <c r="S93" i="53"/>
  <c r="S95" i="53"/>
  <c r="S99" i="53"/>
  <c r="S100" i="53"/>
  <c r="S101" i="53"/>
  <c r="S102" i="53"/>
  <c r="S115" i="53"/>
  <c r="S116" i="53"/>
  <c r="S117" i="53"/>
  <c r="S118" i="53"/>
  <c r="S131" i="53"/>
  <c r="S132" i="53"/>
  <c r="S133" i="53"/>
  <c r="S134" i="53"/>
  <c r="S146" i="53"/>
  <c r="S147" i="53"/>
  <c r="S154" i="53"/>
  <c r="S155" i="53"/>
  <c r="S162" i="53"/>
  <c r="S163" i="53"/>
  <c r="S170" i="53"/>
  <c r="S171" i="53"/>
  <c r="S178" i="53"/>
  <c r="S179" i="53"/>
  <c r="S186" i="53"/>
  <c r="S187" i="53"/>
  <c r="S194" i="53"/>
  <c r="S195" i="53"/>
  <c r="S202" i="53"/>
  <c r="S203" i="53"/>
  <c r="S210" i="53"/>
  <c r="S211" i="53"/>
  <c r="S218" i="53"/>
  <c r="S62" i="53"/>
  <c r="S64" i="53"/>
  <c r="S65" i="53"/>
  <c r="S66" i="53"/>
  <c r="S70" i="53"/>
  <c r="S72" i="53"/>
  <c r="S73" i="53"/>
  <c r="S74" i="53"/>
  <c r="S87" i="53"/>
  <c r="S88" i="53"/>
  <c r="S89" i="53"/>
  <c r="S91" i="53"/>
  <c r="S103" i="53"/>
  <c r="S104" i="53"/>
  <c r="S105" i="53"/>
  <c r="S106" i="53"/>
  <c r="S119" i="53"/>
  <c r="S120" i="53"/>
  <c r="S121" i="53"/>
  <c r="S122" i="53"/>
  <c r="S135" i="53"/>
  <c r="S136" i="53"/>
  <c r="S137" i="53"/>
  <c r="S138" i="53"/>
  <c r="S148" i="53"/>
  <c r="S149" i="53"/>
  <c r="S156" i="53"/>
  <c r="S157" i="53"/>
  <c r="S164" i="53"/>
  <c r="S165" i="53"/>
  <c r="S172" i="53"/>
  <c r="S173" i="53"/>
  <c r="S180" i="53"/>
  <c r="S181" i="53"/>
  <c r="S188" i="53"/>
  <c r="S189" i="53"/>
  <c r="S196" i="53"/>
  <c r="S197" i="53"/>
  <c r="S204" i="53"/>
  <c r="S205" i="53"/>
  <c r="S212" i="53"/>
  <c r="S213" i="53"/>
  <c r="S220" i="53"/>
  <c r="S63" i="53"/>
  <c r="S71" i="53"/>
  <c r="S79" i="53"/>
  <c r="S113" i="53"/>
  <c r="S127" i="53"/>
  <c r="S145" i="53"/>
  <c r="S150" i="53"/>
  <c r="S151" i="53"/>
  <c r="S161" i="53"/>
  <c r="S166" i="53"/>
  <c r="S167" i="53"/>
  <c r="S177" i="53"/>
  <c r="S182" i="53"/>
  <c r="S183" i="53"/>
  <c r="S193" i="53"/>
  <c r="S198" i="53"/>
  <c r="S199" i="53"/>
  <c r="S209" i="53"/>
  <c r="S214" i="53"/>
  <c r="S215" i="53"/>
  <c r="S222" i="53"/>
  <c r="S223" i="53"/>
  <c r="S230" i="53"/>
  <c r="S231" i="53"/>
  <c r="S238" i="53"/>
  <c r="S239" i="53"/>
  <c r="K61" i="53"/>
  <c r="K65" i="53"/>
  <c r="K69" i="53"/>
  <c r="K73" i="53"/>
  <c r="K77" i="53"/>
  <c r="K81" i="53"/>
  <c r="K85" i="53"/>
  <c r="K89" i="53"/>
  <c r="K93" i="53"/>
  <c r="K97" i="53"/>
  <c r="K101" i="53"/>
  <c r="K105" i="53"/>
  <c r="K109" i="53"/>
  <c r="K113" i="53"/>
  <c r="K117" i="53"/>
  <c r="K121" i="53"/>
  <c r="K125" i="53"/>
  <c r="K129" i="53"/>
  <c r="K133" i="53"/>
  <c r="K137" i="53"/>
  <c r="K141" i="53"/>
  <c r="K145" i="53"/>
  <c r="K149" i="53"/>
  <c r="K153" i="53"/>
  <c r="K157" i="53"/>
  <c r="S80" i="53"/>
  <c r="S96" i="53"/>
  <c r="S107" i="53"/>
  <c r="S108" i="53"/>
  <c r="S109" i="53"/>
  <c r="S110" i="53"/>
  <c r="S114" i="53"/>
  <c r="S128" i="53"/>
  <c r="S139" i="53"/>
  <c r="S140" i="53"/>
  <c r="S141" i="53"/>
  <c r="S142" i="53"/>
  <c r="S152" i="53"/>
  <c r="S168" i="53"/>
  <c r="S184" i="53"/>
  <c r="S200" i="53"/>
  <c r="S216" i="53"/>
  <c r="S219" i="53"/>
  <c r="S224" i="53"/>
  <c r="S225" i="53"/>
  <c r="S232" i="53"/>
  <c r="S233" i="53"/>
  <c r="S240" i="53"/>
  <c r="S241" i="53"/>
  <c r="K60" i="53"/>
  <c r="K64" i="53"/>
  <c r="K68" i="53"/>
  <c r="K72" i="53"/>
  <c r="K76" i="53"/>
  <c r="K80" i="53"/>
  <c r="K84" i="53"/>
  <c r="K88" i="53"/>
  <c r="K92" i="53"/>
  <c r="K96" i="53"/>
  <c r="K100" i="53"/>
  <c r="K104" i="53"/>
  <c r="K108" i="53"/>
  <c r="K112" i="53"/>
  <c r="K116" i="53"/>
  <c r="K120" i="53"/>
  <c r="K124" i="53"/>
  <c r="K128" i="53"/>
  <c r="K132" i="53"/>
  <c r="K136" i="53"/>
  <c r="K140" i="53"/>
  <c r="K144" i="53"/>
  <c r="K148" i="53"/>
  <c r="K152" i="53"/>
  <c r="K156" i="53"/>
  <c r="K160" i="53"/>
  <c r="K164" i="53"/>
  <c r="K168" i="53"/>
  <c r="K172" i="53"/>
  <c r="K176" i="53"/>
  <c r="K180" i="53"/>
  <c r="K184" i="53"/>
  <c r="K188" i="53"/>
  <c r="K192" i="53"/>
  <c r="K196" i="53"/>
  <c r="K200" i="53"/>
  <c r="K204" i="53"/>
  <c r="K208" i="53"/>
  <c r="K212" i="53"/>
  <c r="K216" i="53"/>
  <c r="K220" i="53"/>
  <c r="K224" i="53"/>
  <c r="K228" i="53"/>
  <c r="K232" i="53"/>
  <c r="K236" i="53"/>
  <c r="K240" i="53"/>
  <c r="K244" i="53"/>
  <c r="S60" i="53"/>
  <c r="S69" i="53"/>
  <c r="S78" i="53"/>
  <c r="S98" i="53"/>
  <c r="S111" i="53"/>
  <c r="S126" i="53"/>
  <c r="S158" i="53"/>
  <c r="S159" i="53"/>
  <c r="S190" i="53"/>
  <c r="S191" i="53"/>
  <c r="S229" i="53"/>
  <c r="S234" i="53"/>
  <c r="S235" i="53"/>
  <c r="S246" i="53"/>
  <c r="K59" i="53"/>
  <c r="K67" i="53"/>
  <c r="K75" i="53"/>
  <c r="K83" i="53"/>
  <c r="K91" i="53"/>
  <c r="K107" i="53"/>
  <c r="K115" i="53"/>
  <c r="K123" i="53"/>
  <c r="K139" i="53"/>
  <c r="K162" i="53"/>
  <c r="K178" i="53"/>
  <c r="K194" i="53"/>
  <c r="K205" i="53"/>
  <c r="K221" i="53"/>
  <c r="K237" i="53"/>
  <c r="S59" i="53"/>
  <c r="S68" i="53"/>
  <c r="S77" i="53"/>
  <c r="S97" i="53"/>
  <c r="S125" i="53"/>
  <c r="S144" i="53"/>
  <c r="S153" i="53"/>
  <c r="S176" i="53"/>
  <c r="S185" i="53"/>
  <c r="S228" i="53"/>
  <c r="S244" i="53"/>
  <c r="K62" i="53"/>
  <c r="K78" i="53"/>
  <c r="K94" i="53"/>
  <c r="K110" i="53"/>
  <c r="K126" i="53"/>
  <c r="K142" i="53"/>
  <c r="K158" i="53"/>
  <c r="K174" i="53"/>
  <c r="K185" i="53"/>
  <c r="K195" i="53"/>
  <c r="K201" i="53"/>
  <c r="K211" i="53"/>
  <c r="K217" i="53"/>
  <c r="K227" i="53"/>
  <c r="K238" i="53"/>
  <c r="S124" i="53"/>
  <c r="S175" i="53"/>
  <c r="S207" i="53"/>
  <c r="S237" i="53"/>
  <c r="S243" i="53"/>
  <c r="K71" i="53"/>
  <c r="K87" i="53"/>
  <c r="K103" i="53"/>
  <c r="K127" i="53"/>
  <c r="K143" i="53"/>
  <c r="K159" i="53"/>
  <c r="K170" i="53"/>
  <c r="K181" i="53"/>
  <c r="K191" i="53"/>
  <c r="K202" i="53"/>
  <c r="K213" i="53"/>
  <c r="K223" i="53"/>
  <c r="K234" i="53"/>
  <c r="S61" i="53"/>
  <c r="S75" i="53"/>
  <c r="S81" i="53"/>
  <c r="S112" i="53"/>
  <c r="S123" i="53"/>
  <c r="S129" i="53"/>
  <c r="S160" i="53"/>
  <c r="S169" i="53"/>
  <c r="S192" i="53"/>
  <c r="S201" i="53"/>
  <c r="S236" i="53"/>
  <c r="K66" i="53"/>
  <c r="K74" i="53"/>
  <c r="K82" i="53"/>
  <c r="K90" i="53"/>
  <c r="K98" i="53"/>
  <c r="K106" i="53"/>
  <c r="K114" i="53"/>
  <c r="K122" i="53"/>
  <c r="K130" i="53"/>
  <c r="K138" i="53"/>
  <c r="K146" i="53"/>
  <c r="K154" i="53"/>
  <c r="K161" i="53"/>
  <c r="K166" i="53"/>
  <c r="K171" i="53"/>
  <c r="K177" i="53"/>
  <c r="K182" i="53"/>
  <c r="K187" i="53"/>
  <c r="K193" i="53"/>
  <c r="K198" i="53"/>
  <c r="K203" i="53"/>
  <c r="K209" i="53"/>
  <c r="K214" i="53"/>
  <c r="K219" i="53"/>
  <c r="K225" i="53"/>
  <c r="K230" i="53"/>
  <c r="K235" i="53"/>
  <c r="K241" i="53"/>
  <c r="K246" i="53"/>
  <c r="K99" i="53"/>
  <c r="K131" i="53"/>
  <c r="K147" i="53"/>
  <c r="K155" i="53"/>
  <c r="K167" i="53"/>
  <c r="K173" i="53"/>
  <c r="K183" i="53"/>
  <c r="K189" i="53"/>
  <c r="K199" i="53"/>
  <c r="K210" i="53"/>
  <c r="K215" i="53"/>
  <c r="K226" i="53"/>
  <c r="K231" i="53"/>
  <c r="K242" i="53"/>
  <c r="S208" i="53"/>
  <c r="S217" i="53"/>
  <c r="S245" i="53"/>
  <c r="K70" i="53"/>
  <c r="K86" i="53"/>
  <c r="K102" i="53"/>
  <c r="K118" i="53"/>
  <c r="K134" i="53"/>
  <c r="K150" i="53"/>
  <c r="K163" i="53"/>
  <c r="K169" i="53"/>
  <c r="K179" i="53"/>
  <c r="K190" i="53"/>
  <c r="K206" i="53"/>
  <c r="K222" i="53"/>
  <c r="K233" i="53"/>
  <c r="K243" i="53"/>
  <c r="S67" i="53"/>
  <c r="S76" i="53"/>
  <c r="S82" i="53"/>
  <c r="S94" i="53"/>
  <c r="S130" i="53"/>
  <c r="S143" i="53"/>
  <c r="S174" i="53"/>
  <c r="S206" i="53"/>
  <c r="S221" i="53"/>
  <c r="S226" i="53"/>
  <c r="S227" i="53"/>
  <c r="S242" i="53"/>
  <c r="K63" i="53"/>
  <c r="K79" i="53"/>
  <c r="K95" i="53"/>
  <c r="K111" i="53"/>
  <c r="K119" i="53"/>
  <c r="K135" i="53"/>
  <c r="K151" i="53"/>
  <c r="K165" i="53"/>
  <c r="K175" i="53"/>
  <c r="K186" i="53"/>
  <c r="K197" i="53"/>
  <c r="K207" i="53"/>
  <c r="K218" i="53"/>
  <c r="K229" i="53"/>
  <c r="K239" i="53"/>
  <c r="K245" i="53"/>
  <c r="R263" i="53"/>
  <c r="R271" i="53" s="1"/>
  <c r="S297" i="53"/>
  <c r="W47" i="54" s="1"/>
  <c r="S276" i="53"/>
  <c r="S55" i="53"/>
  <c r="S51" i="53"/>
  <c r="S47" i="53"/>
  <c r="U39" i="53"/>
  <c r="U35" i="53"/>
  <c r="U31" i="53"/>
  <c r="U27" i="53"/>
  <c r="U23" i="53"/>
  <c r="U19" i="53"/>
  <c r="U11" i="53"/>
  <c r="R39" i="53"/>
  <c r="R35" i="53"/>
  <c r="R27" i="53"/>
  <c r="R23" i="53"/>
  <c r="R19" i="53"/>
  <c r="R11" i="53"/>
  <c r="K281" i="53"/>
  <c r="J34" i="54" s="1"/>
  <c r="M34" i="54" s="1"/>
  <c r="K261" i="53"/>
  <c r="K56" i="53"/>
  <c r="K52" i="53"/>
  <c r="K48" i="53"/>
  <c r="N40" i="53"/>
  <c r="N36" i="53"/>
  <c r="N28" i="53"/>
  <c r="N24" i="53"/>
  <c r="N20" i="53"/>
  <c r="N12" i="53"/>
  <c r="K40" i="53"/>
  <c r="K36" i="53"/>
  <c r="K32" i="53"/>
  <c r="K28" i="53"/>
  <c r="K24" i="53"/>
  <c r="K20" i="53"/>
  <c r="K12" i="53"/>
  <c r="S286" i="53"/>
  <c r="W38" i="54" s="1"/>
  <c r="X38" i="54" s="1"/>
  <c r="AA38" i="54" s="1"/>
  <c r="S57" i="53"/>
  <c r="S49" i="53"/>
  <c r="U41" i="53"/>
  <c r="U33" i="53"/>
  <c r="U25" i="53"/>
  <c r="R41" i="53"/>
  <c r="R25" i="53"/>
  <c r="K292" i="53"/>
  <c r="J43" i="54" s="1"/>
  <c r="K58" i="53"/>
  <c r="K50" i="53"/>
  <c r="N26" i="53"/>
  <c r="K42" i="53"/>
  <c r="K34" i="53"/>
  <c r="K26" i="53"/>
  <c r="U260" i="53"/>
  <c r="S281" i="53"/>
  <c r="W34" i="54" s="1"/>
  <c r="X34" i="54" s="1"/>
  <c r="AA34" i="54" s="1"/>
  <c r="H27" i="55" s="1"/>
  <c r="U40" i="53"/>
  <c r="U32" i="53"/>
  <c r="U24" i="53"/>
  <c r="R40" i="53"/>
  <c r="R24" i="53"/>
  <c r="R12" i="53"/>
  <c r="K262" i="53"/>
  <c r="K53" i="53"/>
  <c r="N41" i="53"/>
  <c r="N25" i="53"/>
  <c r="K41" i="53"/>
  <c r="K33" i="53"/>
  <c r="R262" i="53"/>
  <c r="S292" i="53"/>
  <c r="W43" i="54" s="1"/>
  <c r="X43" i="54" s="1"/>
  <c r="S58" i="53"/>
  <c r="S54" i="53"/>
  <c r="S50" i="53"/>
  <c r="U42" i="53"/>
  <c r="U38" i="53"/>
  <c r="U34" i="53"/>
  <c r="U30" i="53"/>
  <c r="U26" i="53"/>
  <c r="U22" i="53"/>
  <c r="U14" i="53"/>
  <c r="R42" i="53"/>
  <c r="R38" i="53"/>
  <c r="R30" i="53"/>
  <c r="R26" i="53"/>
  <c r="R22" i="53"/>
  <c r="R14" i="53"/>
  <c r="K297" i="53"/>
  <c r="J47" i="54" s="1"/>
  <c r="M47" i="54" s="1"/>
  <c r="K276" i="53"/>
  <c r="K260" i="53"/>
  <c r="K55" i="53"/>
  <c r="K51" i="53"/>
  <c r="K47" i="53"/>
  <c r="N39" i="53"/>
  <c r="N35" i="53"/>
  <c r="N27" i="53"/>
  <c r="N23" i="53"/>
  <c r="N19" i="53"/>
  <c r="N11" i="53"/>
  <c r="K39" i="53"/>
  <c r="K35" i="53"/>
  <c r="K31" i="53"/>
  <c r="K27" i="53"/>
  <c r="K23" i="53"/>
  <c r="K19" i="53"/>
  <c r="K11" i="53"/>
  <c r="R261" i="53"/>
  <c r="R269" i="53" s="1"/>
  <c r="S53" i="53"/>
  <c r="U37" i="53"/>
  <c r="U29" i="53"/>
  <c r="U21" i="53"/>
  <c r="U13" i="53"/>
  <c r="R37" i="53"/>
  <c r="R29" i="53"/>
  <c r="R21" i="53"/>
  <c r="R13" i="53"/>
  <c r="K263" i="53"/>
  <c r="K54" i="53"/>
  <c r="N42" i="53"/>
  <c r="N38" i="53"/>
  <c r="N30" i="53"/>
  <c r="N22" i="53"/>
  <c r="N14" i="53"/>
  <c r="K38" i="53"/>
  <c r="K30" i="53"/>
  <c r="K22" i="53"/>
  <c r="K14" i="53"/>
  <c r="R260" i="53"/>
  <c r="S56" i="53"/>
  <c r="S52" i="53"/>
  <c r="S48" i="53"/>
  <c r="U36" i="53"/>
  <c r="U28" i="53"/>
  <c r="U20" i="53"/>
  <c r="U12" i="53"/>
  <c r="R36" i="53"/>
  <c r="R28" i="53"/>
  <c r="R20" i="53"/>
  <c r="K286" i="53"/>
  <c r="J38" i="54" s="1"/>
  <c r="M38" i="54" s="1"/>
  <c r="K57" i="53"/>
  <c r="K49" i="53"/>
  <c r="N37" i="53"/>
  <c r="N29" i="53"/>
  <c r="N21" i="53"/>
  <c r="N13" i="53"/>
  <c r="K37" i="53"/>
  <c r="K29" i="53"/>
  <c r="K13" i="53"/>
  <c r="K25" i="53"/>
  <c r="K21" i="53"/>
  <c r="U261" i="53"/>
  <c r="U269" i="53" s="1"/>
  <c r="U262" i="53"/>
  <c r="U270" i="53" s="1"/>
  <c r="U263" i="53"/>
  <c r="U271" i="53" s="1"/>
  <c r="R18" i="53"/>
  <c r="N17" i="53"/>
  <c r="U17" i="53"/>
  <c r="R17" i="53"/>
  <c r="R16" i="53"/>
  <c r="U18" i="53"/>
  <c r="K16" i="53"/>
  <c r="U15" i="53"/>
  <c r="U16" i="53"/>
  <c r="N18" i="53"/>
  <c r="K17" i="53"/>
  <c r="R15" i="53"/>
  <c r="N16" i="53"/>
  <c r="N15" i="53"/>
  <c r="K15" i="53"/>
  <c r="K18" i="53"/>
  <c r="G73" i="55"/>
  <c r="J94" i="55"/>
  <c r="L66" i="55"/>
  <c r="J87" i="55"/>
  <c r="J107" i="55" s="1"/>
  <c r="I87" i="55"/>
  <c r="I107" i="55" s="1"/>
  <c r="K87" i="55"/>
  <c r="K107" i="55" s="1"/>
  <c r="G77" i="55"/>
  <c r="J30" i="54"/>
  <c r="W30" i="54"/>
  <c r="K270" i="53"/>
  <c r="K271" i="53"/>
  <c r="K269" i="53"/>
  <c r="R270" i="53"/>
  <c r="K268" i="53"/>
  <c r="F247" i="52"/>
  <c r="G111" i="58" s="1"/>
  <c r="L12" i="54" l="1"/>
  <c r="U12" i="54"/>
  <c r="W12" i="54"/>
  <c r="J12" i="54"/>
  <c r="L16" i="54"/>
  <c r="X47" i="54"/>
  <c r="AA47" i="54" s="1"/>
  <c r="H30" i="55" s="1"/>
  <c r="R30" i="55" s="1"/>
  <c r="H132" i="55" s="1"/>
  <c r="H221" i="55" s="1"/>
  <c r="H227" i="55" s="1"/>
  <c r="J26" i="54"/>
  <c r="M26" i="54" s="1"/>
  <c r="W16" i="54"/>
  <c r="X16" i="54" s="1"/>
  <c r="AA16" i="54" s="1"/>
  <c r="AA18" i="54" s="1"/>
  <c r="J16" i="54"/>
  <c r="L107" i="55"/>
  <c r="L73" i="55"/>
  <c r="G94" i="55"/>
  <c r="G114" i="55" s="1"/>
  <c r="L87" i="55"/>
  <c r="R27" i="55"/>
  <c r="H129" i="55" s="1"/>
  <c r="H28" i="55"/>
  <c r="U22" i="54"/>
  <c r="R268" i="53"/>
  <c r="U26" i="54" s="1"/>
  <c r="W22" i="54"/>
  <c r="U268" i="53"/>
  <c r="W26" i="54" s="1"/>
  <c r="G98" i="55"/>
  <c r="G118" i="55" s="1"/>
  <c r="AA43" i="54"/>
  <c r="J22" i="54"/>
  <c r="B220" i="52"/>
  <c r="M16" i="54" l="1"/>
  <c r="X26" i="54"/>
  <c r="AA26" i="54" s="1"/>
  <c r="H25" i="55" s="1"/>
  <c r="R25" i="55" s="1"/>
  <c r="H127" i="55" s="1"/>
  <c r="H216" i="55" s="1"/>
  <c r="H218" i="55"/>
  <c r="H161" i="55"/>
  <c r="H180" i="55"/>
  <c r="H199" i="55"/>
  <c r="H142" i="55"/>
  <c r="H114" i="55"/>
  <c r="I114" i="55"/>
  <c r="J114" i="55"/>
  <c r="K114" i="55"/>
  <c r="L94" i="55"/>
  <c r="H23" i="55"/>
  <c r="R23" i="55" s="1"/>
  <c r="R28" i="55"/>
  <c r="H130" i="55" s="1"/>
  <c r="H29" i="55"/>
  <c r="R29" i="55" s="1"/>
  <c r="M43" i="54"/>
  <c r="B215" i="52"/>
  <c r="B201" i="51"/>
  <c r="B202" i="51" s="1"/>
  <c r="B203" i="51" s="1"/>
  <c r="B204" i="51" s="1"/>
  <c r="C204" i="51"/>
  <c r="B185" i="51"/>
  <c r="B186" i="51" s="1"/>
  <c r="B187" i="51" s="1"/>
  <c r="B188" i="51" s="1"/>
  <c r="B189" i="51" s="1"/>
  <c r="B190" i="51" s="1"/>
  <c r="B191" i="51" s="1"/>
  <c r="B192" i="51" s="1"/>
  <c r="B193" i="51" s="1"/>
  <c r="B194" i="51" s="1"/>
  <c r="B195" i="51" s="1"/>
  <c r="B196" i="51" s="1"/>
  <c r="B13" i="52"/>
  <c r="B177" i="51"/>
  <c r="B178" i="51" s="1"/>
  <c r="B179" i="51" s="1"/>
  <c r="B180" i="51" s="1"/>
  <c r="C180" i="51"/>
  <c r="C179" i="51"/>
  <c r="B6" i="52"/>
  <c r="B154" i="51"/>
  <c r="B155" i="51" s="1"/>
  <c r="B156" i="51" s="1"/>
  <c r="B157" i="51" s="1"/>
  <c r="B158" i="51" s="1"/>
  <c r="B159" i="51" s="1"/>
  <c r="B160" i="51" s="1"/>
  <c r="B161" i="51" s="1"/>
  <c r="B162" i="51" s="1"/>
  <c r="B163" i="51" s="1"/>
  <c r="B164" i="51" s="1"/>
  <c r="B165" i="51" s="1"/>
  <c r="B166" i="51" s="1"/>
  <c r="B167" i="51" s="1"/>
  <c r="B168" i="51" s="1"/>
  <c r="B169" i="51" s="1"/>
  <c r="B170" i="51" s="1"/>
  <c r="B171" i="51" s="1"/>
  <c r="B172" i="51" s="1"/>
  <c r="F98" i="49"/>
  <c r="F97" i="49"/>
  <c r="F96" i="49"/>
  <c r="C86" i="51"/>
  <c r="C78" i="51"/>
  <c r="C77" i="51"/>
  <c r="C70" i="51"/>
  <c r="C25" i="51"/>
  <c r="C26" i="51" s="1"/>
  <c r="C27" i="51" s="1"/>
  <c r="C28" i="51" s="1"/>
  <c r="C29" i="51" s="1"/>
  <c r="C30" i="51" s="1"/>
  <c r="C31" i="51" s="1"/>
  <c r="C32" i="51" s="1"/>
  <c r="C33" i="51" s="1"/>
  <c r="B25" i="51"/>
  <c r="B26" i="51" s="1"/>
  <c r="B27" i="51" s="1"/>
  <c r="B28" i="51" s="1"/>
  <c r="B29" i="51" s="1"/>
  <c r="B30" i="51" s="1"/>
  <c r="B31" i="51" s="1"/>
  <c r="B32" i="51" s="1"/>
  <c r="B33" i="51" s="1"/>
  <c r="D98" i="49"/>
  <c r="D97" i="49"/>
  <c r="D96" i="49"/>
  <c r="F122" i="47"/>
  <c r="F125" i="47" s="1"/>
  <c r="G122" i="47"/>
  <c r="E129" i="47" s="1" a="1"/>
  <c r="F123" i="47"/>
  <c r="G123" i="47"/>
  <c r="F124" i="47"/>
  <c r="G124" i="47"/>
  <c r="E125" i="47"/>
  <c r="H125" i="47"/>
  <c r="G130" i="47" l="1"/>
  <c r="F131" i="47"/>
  <c r="E129" i="47"/>
  <c r="G129" i="47"/>
  <c r="E130" i="47"/>
  <c r="F129" i="47"/>
  <c r="H130" i="47"/>
  <c r="H138" i="47" s="1"/>
  <c r="H131" i="47"/>
  <c r="H139" i="47" s="1"/>
  <c r="H129" i="47"/>
  <c r="G131" i="47"/>
  <c r="G139" i="47" s="1"/>
  <c r="F130" i="47"/>
  <c r="F138" i="47" s="1"/>
  <c r="E131" i="47"/>
  <c r="G125" i="47"/>
  <c r="Z59" i="53"/>
  <c r="AA59" i="53" s="1"/>
  <c r="Z79" i="53"/>
  <c r="AA79" i="53" s="1"/>
  <c r="Z80" i="53"/>
  <c r="AA80" i="53" s="1"/>
  <c r="Z81" i="53"/>
  <c r="AA81" i="53" s="1"/>
  <c r="Z96" i="53"/>
  <c r="AA96" i="53" s="1"/>
  <c r="Z97" i="53"/>
  <c r="AA97" i="53" s="1"/>
  <c r="Z111" i="53"/>
  <c r="AA111" i="53" s="1"/>
  <c r="Z112" i="53"/>
  <c r="AA112" i="53" s="1"/>
  <c r="Z113" i="53"/>
  <c r="AA113" i="53" s="1"/>
  <c r="Z127" i="53"/>
  <c r="AA127" i="53" s="1"/>
  <c r="Z128" i="53"/>
  <c r="AA128" i="53" s="1"/>
  <c r="Z129" i="53"/>
  <c r="AA129" i="53" s="1"/>
  <c r="Z143" i="53"/>
  <c r="AA143" i="53" s="1"/>
  <c r="Z144" i="53"/>
  <c r="AA144" i="53" s="1"/>
  <c r="Z152" i="53"/>
  <c r="AA152" i="53" s="1"/>
  <c r="Z160" i="53"/>
  <c r="AA160" i="53" s="1"/>
  <c r="Z168" i="53"/>
  <c r="AA168" i="53" s="1"/>
  <c r="Z176" i="53"/>
  <c r="AA176" i="53" s="1"/>
  <c r="Z184" i="53"/>
  <c r="AA184" i="53" s="1"/>
  <c r="Z192" i="53"/>
  <c r="AA192" i="53" s="1"/>
  <c r="Z200" i="53"/>
  <c r="AA200" i="53" s="1"/>
  <c r="Z208" i="53"/>
  <c r="AA208" i="53" s="1"/>
  <c r="Z216" i="53"/>
  <c r="AA216" i="53" s="1"/>
  <c r="Z83" i="53"/>
  <c r="AA83" i="53" s="1"/>
  <c r="Z84" i="53"/>
  <c r="AA84" i="53" s="1"/>
  <c r="Z85" i="53"/>
  <c r="AA85" i="53" s="1"/>
  <c r="Z92" i="53"/>
  <c r="AA92" i="53" s="1"/>
  <c r="Z93" i="53"/>
  <c r="AA93" i="53" s="1"/>
  <c r="Z95" i="53"/>
  <c r="AA95" i="53" s="1"/>
  <c r="Z99" i="53"/>
  <c r="AA99" i="53" s="1"/>
  <c r="Z100" i="53"/>
  <c r="AA100" i="53" s="1"/>
  <c r="Z101" i="53"/>
  <c r="AA101" i="53" s="1"/>
  <c r="Z115" i="53"/>
  <c r="AA115" i="53" s="1"/>
  <c r="Z116" i="53"/>
  <c r="AA116" i="53" s="1"/>
  <c r="Z117" i="53"/>
  <c r="AA117" i="53" s="1"/>
  <c r="Z131" i="53"/>
  <c r="AA131" i="53" s="1"/>
  <c r="Z132" i="53"/>
  <c r="AA132" i="53" s="1"/>
  <c r="Z133" i="53"/>
  <c r="AA133" i="53" s="1"/>
  <c r="Z146" i="53"/>
  <c r="AA146" i="53" s="1"/>
  <c r="Z154" i="53"/>
  <c r="AA154" i="53" s="1"/>
  <c r="Z162" i="53"/>
  <c r="AA162" i="53" s="1"/>
  <c r="Z170" i="53"/>
  <c r="AA170" i="53" s="1"/>
  <c r="Z178" i="53"/>
  <c r="AA178" i="53" s="1"/>
  <c r="Z186" i="53"/>
  <c r="AA186" i="53" s="1"/>
  <c r="Z194" i="53"/>
  <c r="AA194" i="53" s="1"/>
  <c r="Z202" i="53"/>
  <c r="AA202" i="53" s="1"/>
  <c r="Z210" i="53"/>
  <c r="AA210" i="53" s="1"/>
  <c r="Z218" i="53"/>
  <c r="AA218" i="53" s="1"/>
  <c r="Z60" i="53"/>
  <c r="AA60" i="53" s="1"/>
  <c r="Z61" i="53"/>
  <c r="AA61" i="53" s="1"/>
  <c r="Z67" i="53"/>
  <c r="AA67" i="53" s="1"/>
  <c r="Z68" i="53"/>
  <c r="AA68" i="53" s="1"/>
  <c r="Z69" i="53"/>
  <c r="AA69" i="53" s="1"/>
  <c r="Z75" i="53"/>
  <c r="AA75" i="53" s="1"/>
  <c r="Z76" i="53"/>
  <c r="AA76" i="53" s="1"/>
  <c r="Z77" i="53"/>
  <c r="AA77" i="53" s="1"/>
  <c r="Z89" i="53"/>
  <c r="AA89" i="53" s="1"/>
  <c r="Z105" i="53"/>
  <c r="AA105" i="53" s="1"/>
  <c r="Z119" i="53"/>
  <c r="AA119" i="53" s="1"/>
  <c r="Z123" i="53"/>
  <c r="AA123" i="53" s="1"/>
  <c r="Z124" i="53"/>
  <c r="AA124" i="53" s="1"/>
  <c r="Z125" i="53"/>
  <c r="AA125" i="53" s="1"/>
  <c r="Z137" i="53"/>
  <c r="AA137" i="53" s="1"/>
  <c r="Z220" i="53"/>
  <c r="AA220" i="53" s="1"/>
  <c r="Z228" i="53"/>
  <c r="AA228" i="53" s="1"/>
  <c r="Z236" i="53"/>
  <c r="AA236" i="53" s="1"/>
  <c r="Z244" i="53"/>
  <c r="AA244" i="53" s="1"/>
  <c r="Z246" i="53"/>
  <c r="AA246" i="53" s="1"/>
  <c r="Z63" i="53"/>
  <c r="AA63" i="53" s="1"/>
  <c r="Z64" i="53"/>
  <c r="AA64" i="53" s="1"/>
  <c r="Z71" i="53"/>
  <c r="AA71" i="53" s="1"/>
  <c r="Z72" i="53"/>
  <c r="AA72" i="53" s="1"/>
  <c r="Z120" i="53"/>
  <c r="AA120" i="53" s="1"/>
  <c r="Z150" i="53"/>
  <c r="AA150" i="53" s="1"/>
  <c r="Z156" i="53"/>
  <c r="AA156" i="53" s="1"/>
  <c r="Z166" i="53"/>
  <c r="AA166" i="53" s="1"/>
  <c r="Z172" i="53"/>
  <c r="AA172" i="53" s="1"/>
  <c r="Z182" i="53"/>
  <c r="AA182" i="53" s="1"/>
  <c r="Z188" i="53"/>
  <c r="AA188" i="53" s="1"/>
  <c r="Z198" i="53"/>
  <c r="AA198" i="53" s="1"/>
  <c r="Z204" i="53"/>
  <c r="AA204" i="53" s="1"/>
  <c r="Z214" i="53"/>
  <c r="AA214" i="53" s="1"/>
  <c r="Z222" i="53"/>
  <c r="AA222" i="53" s="1"/>
  <c r="Z230" i="53"/>
  <c r="AA230" i="53" s="1"/>
  <c r="Z238" i="53"/>
  <c r="AA238" i="53" s="1"/>
  <c r="Z73" i="53"/>
  <c r="AA73" i="53" s="1"/>
  <c r="Z104" i="53"/>
  <c r="AA104" i="53" s="1"/>
  <c r="Z121" i="53"/>
  <c r="AA121" i="53" s="1"/>
  <c r="Z140" i="53"/>
  <c r="AA140" i="53" s="1"/>
  <c r="Z148" i="53"/>
  <c r="AA148" i="53" s="1"/>
  <c r="Z180" i="53"/>
  <c r="AA180" i="53" s="1"/>
  <c r="Z212" i="53"/>
  <c r="AA212" i="53" s="1"/>
  <c r="Z91" i="53"/>
  <c r="AA91" i="53" s="1"/>
  <c r="Z103" i="53"/>
  <c r="AA103" i="53" s="1"/>
  <c r="Z109" i="53"/>
  <c r="AA109" i="53" s="1"/>
  <c r="Z139" i="53"/>
  <c r="AA139" i="53" s="1"/>
  <c r="Z206" i="53"/>
  <c r="AA206" i="53" s="1"/>
  <c r="Z164" i="53"/>
  <c r="AA164" i="53" s="1"/>
  <c r="Z65" i="53"/>
  <c r="AA65" i="53" s="1"/>
  <c r="Z87" i="53"/>
  <c r="AA87" i="53" s="1"/>
  <c r="Z107" i="53"/>
  <c r="AA107" i="53" s="1"/>
  <c r="Z135" i="53"/>
  <c r="AA135" i="53" s="1"/>
  <c r="Z141" i="53"/>
  <c r="AA141" i="53" s="1"/>
  <c r="Z158" i="53"/>
  <c r="AA158" i="53" s="1"/>
  <c r="Z190" i="53"/>
  <c r="AA190" i="53" s="1"/>
  <c r="Z224" i="53"/>
  <c r="AA224" i="53" s="1"/>
  <c r="Z234" i="53"/>
  <c r="AA234" i="53" s="1"/>
  <c r="Z240" i="53"/>
  <c r="AA240" i="53" s="1"/>
  <c r="Z174" i="53"/>
  <c r="AA174" i="53" s="1"/>
  <c r="Z226" i="53"/>
  <c r="AA226" i="53" s="1"/>
  <c r="Z232" i="53"/>
  <c r="AA232" i="53" s="1"/>
  <c r="Z242" i="53"/>
  <c r="AA242" i="53" s="1"/>
  <c r="Z88" i="53"/>
  <c r="AA88" i="53" s="1"/>
  <c r="Z108" i="53"/>
  <c r="AA108" i="53" s="1"/>
  <c r="Z136" i="53"/>
  <c r="AA136" i="53" s="1"/>
  <c r="Z196" i="53"/>
  <c r="AA196" i="53" s="1"/>
  <c r="Z231" i="53"/>
  <c r="AA231" i="53" s="1"/>
  <c r="Z237" i="53"/>
  <c r="AA237" i="53" s="1"/>
  <c r="Z155" i="53"/>
  <c r="AA155" i="53" s="1"/>
  <c r="Z153" i="53"/>
  <c r="AA153" i="53" s="1"/>
  <c r="Z175" i="53"/>
  <c r="AA175" i="53" s="1"/>
  <c r="Z233" i="53"/>
  <c r="AA233" i="53" s="1"/>
  <c r="Z225" i="53"/>
  <c r="AA225" i="53" s="1"/>
  <c r="Z229" i="53"/>
  <c r="AA229" i="53" s="1"/>
  <c r="Z102" i="53"/>
  <c r="AA102" i="53" s="1"/>
  <c r="Z203" i="53"/>
  <c r="AA203" i="53" s="1"/>
  <c r="Z209" i="53"/>
  <c r="AA209" i="53" s="1"/>
  <c r="Z145" i="53"/>
  <c r="AA145" i="53" s="1"/>
  <c r="Z199" i="53"/>
  <c r="AA199" i="53" s="1"/>
  <c r="Z126" i="53"/>
  <c r="AA126" i="53" s="1"/>
  <c r="Z219" i="53"/>
  <c r="AA219" i="53" s="1"/>
  <c r="Z211" i="53"/>
  <c r="AA211" i="53" s="1"/>
  <c r="Z221" i="53"/>
  <c r="AA221" i="53" s="1"/>
  <c r="Z86" i="53"/>
  <c r="AA86" i="53" s="1"/>
  <c r="Z187" i="53"/>
  <c r="AA187" i="53" s="1"/>
  <c r="Z201" i="53"/>
  <c r="AA201" i="53" s="1"/>
  <c r="Z130" i="53"/>
  <c r="AA130" i="53" s="1"/>
  <c r="Z191" i="53"/>
  <c r="AA191" i="53" s="1"/>
  <c r="Z110" i="53"/>
  <c r="AA110" i="53" s="1"/>
  <c r="Z179" i="53"/>
  <c r="AA179" i="53" s="1"/>
  <c r="Z195" i="53"/>
  <c r="AA195" i="53" s="1"/>
  <c r="Z138" i="53"/>
  <c r="AA138" i="53" s="1"/>
  <c r="Z173" i="53"/>
  <c r="AA173" i="53" s="1"/>
  <c r="Z106" i="53"/>
  <c r="AA106" i="53" s="1"/>
  <c r="Z213" i="53"/>
  <c r="AA213" i="53" s="1"/>
  <c r="Z149" i="53"/>
  <c r="AA149" i="53" s="1"/>
  <c r="Z70" i="53"/>
  <c r="AA70" i="53" s="1"/>
  <c r="Z235" i="53"/>
  <c r="AA235" i="53" s="1"/>
  <c r="Z171" i="53"/>
  <c r="AA171" i="53" s="1"/>
  <c r="Z66" i="53"/>
  <c r="AA66" i="53" s="1"/>
  <c r="Z193" i="53"/>
  <c r="AA193" i="53" s="1"/>
  <c r="Z161" i="53"/>
  <c r="AA161" i="53" s="1"/>
  <c r="Z114" i="53"/>
  <c r="AA114" i="53" s="1"/>
  <c r="Z215" i="53"/>
  <c r="AA215" i="53" s="1"/>
  <c r="Z183" i="53"/>
  <c r="AA183" i="53" s="1"/>
  <c r="Z151" i="53"/>
  <c r="AA151" i="53" s="1"/>
  <c r="Z78" i="53"/>
  <c r="AA78" i="53" s="1"/>
  <c r="Z147" i="53"/>
  <c r="AA147" i="53" s="1"/>
  <c r="Z189" i="53"/>
  <c r="AA189" i="53" s="1"/>
  <c r="Z241" i="53"/>
  <c r="AA241" i="53" s="1"/>
  <c r="Z118" i="53"/>
  <c r="AA118" i="53" s="1"/>
  <c r="Z197" i="53"/>
  <c r="AA197" i="53" s="1"/>
  <c r="Z134" i="53"/>
  <c r="AA134" i="53" s="1"/>
  <c r="Z62" i="53"/>
  <c r="AA62" i="53" s="1"/>
  <c r="Z227" i="53"/>
  <c r="AA227" i="53" s="1"/>
  <c r="Z217" i="53"/>
  <c r="AA217" i="53" s="1"/>
  <c r="Z185" i="53"/>
  <c r="AA185" i="53" s="1"/>
  <c r="Z98" i="53"/>
  <c r="AA98" i="53" s="1"/>
  <c r="Z207" i="53"/>
  <c r="AA207" i="53" s="1"/>
  <c r="Z142" i="53"/>
  <c r="AA142" i="53" s="1"/>
  <c r="Z90" i="53"/>
  <c r="AA90" i="53" s="1"/>
  <c r="Z163" i="53"/>
  <c r="AA163" i="53" s="1"/>
  <c r="Z239" i="53"/>
  <c r="AA239" i="53" s="1"/>
  <c r="Z181" i="53"/>
  <c r="AA181" i="53" s="1"/>
  <c r="Z245" i="53"/>
  <c r="AA245" i="53" s="1"/>
  <c r="Z122" i="53"/>
  <c r="AA122" i="53" s="1"/>
  <c r="Z177" i="53"/>
  <c r="AA177" i="53" s="1"/>
  <c r="Z94" i="53"/>
  <c r="AA94" i="53" s="1"/>
  <c r="Z167" i="53"/>
  <c r="AA167" i="53" s="1"/>
  <c r="Z205" i="53"/>
  <c r="AA205" i="53" s="1"/>
  <c r="Z157" i="53"/>
  <c r="AA157" i="53" s="1"/>
  <c r="Z223" i="53"/>
  <c r="AA223" i="53" s="1"/>
  <c r="Z165" i="53"/>
  <c r="AA165" i="53" s="1"/>
  <c r="Z243" i="53"/>
  <c r="AA243" i="53" s="1"/>
  <c r="Z74" i="53"/>
  <c r="AA74" i="53" s="1"/>
  <c r="Z169" i="53"/>
  <c r="AA169" i="53" s="1"/>
  <c r="Z82" i="53"/>
  <c r="AA82" i="53" s="1"/>
  <c r="Z159" i="53"/>
  <c r="AA159" i="53" s="1"/>
  <c r="Z297" i="53"/>
  <c r="Z276" i="53"/>
  <c r="Z268" i="53"/>
  <c r="Z260" i="53"/>
  <c r="Z55" i="53"/>
  <c r="Z51" i="53"/>
  <c r="Z47" i="53"/>
  <c r="Z254" i="53" s="1"/>
  <c r="N17" i="54" s="1"/>
  <c r="Z15" i="53"/>
  <c r="Z19" i="53"/>
  <c r="Z23" i="53"/>
  <c r="Z27" i="53"/>
  <c r="Z31" i="53"/>
  <c r="Z35" i="53"/>
  <c r="Z39" i="53"/>
  <c r="Z11" i="53"/>
  <c r="Z270" i="53"/>
  <c r="Z57" i="53"/>
  <c r="Z53" i="53"/>
  <c r="Z13" i="53"/>
  <c r="Z21" i="53"/>
  <c r="Z29" i="53"/>
  <c r="Z37" i="53"/>
  <c r="Z281" i="53"/>
  <c r="Z261" i="53"/>
  <c r="Z52" i="53"/>
  <c r="Z14" i="53"/>
  <c r="Z22" i="53"/>
  <c r="Z30" i="53"/>
  <c r="Z38" i="53"/>
  <c r="Z292" i="53"/>
  <c r="Z271" i="53"/>
  <c r="Z263" i="53"/>
  <c r="Z58" i="53"/>
  <c r="Z54" i="53"/>
  <c r="Z50" i="53"/>
  <c r="Z12" i="53"/>
  <c r="Z16" i="53"/>
  <c r="Z20" i="53"/>
  <c r="Z24" i="53"/>
  <c r="Z28" i="53"/>
  <c r="Z32" i="53"/>
  <c r="Z36" i="53"/>
  <c r="Z40" i="53"/>
  <c r="Z286" i="53"/>
  <c r="Z262" i="53"/>
  <c r="Z49" i="53"/>
  <c r="Z17" i="53"/>
  <c r="Z25" i="53"/>
  <c r="Z33" i="53"/>
  <c r="Z41" i="53"/>
  <c r="Z269" i="53"/>
  <c r="Z56" i="53"/>
  <c r="Z48" i="53"/>
  <c r="Z18" i="53"/>
  <c r="Z26" i="53"/>
  <c r="Z34" i="53"/>
  <c r="Z42" i="53"/>
  <c r="H159" i="55"/>
  <c r="H219" i="55"/>
  <c r="H162" i="55"/>
  <c r="H143" i="55"/>
  <c r="H200" i="55"/>
  <c r="H181" i="55"/>
  <c r="H197" i="55"/>
  <c r="H178" i="55"/>
  <c r="H140" i="55"/>
  <c r="L114" i="55"/>
  <c r="H125" i="55"/>
  <c r="H131" i="55"/>
  <c r="P17" i="54" l="1"/>
  <c r="R17" i="54" s="1"/>
  <c r="Z17" i="54" s="1"/>
  <c r="AB17" i="54" s="1"/>
  <c r="F132" i="47"/>
  <c r="F137" i="47"/>
  <c r="F139" i="47"/>
  <c r="G137" i="47"/>
  <c r="G140" i="47" s="1"/>
  <c r="G132" i="47"/>
  <c r="E132" i="47"/>
  <c r="H137" i="47"/>
  <c r="H140" i="47" s="1"/>
  <c r="H132" i="47"/>
  <c r="G138" i="47"/>
  <c r="AA50" i="53"/>
  <c r="AA47" i="53"/>
  <c r="AA254" i="53" s="1"/>
  <c r="O17" i="54" s="1"/>
  <c r="Q17" i="54" s="1"/>
  <c r="AA57" i="53"/>
  <c r="AA52" i="53"/>
  <c r="AA58" i="53"/>
  <c r="AA53" i="53"/>
  <c r="AA48" i="53"/>
  <c r="AA55" i="53"/>
  <c r="AA56" i="53"/>
  <c r="AA51" i="53"/>
  <c r="AA54" i="53"/>
  <c r="AA292" i="53"/>
  <c r="O43" i="54" s="1"/>
  <c r="N43" i="54"/>
  <c r="AA297" i="53"/>
  <c r="O47" i="54" s="1"/>
  <c r="N47" i="54"/>
  <c r="AA276" i="53"/>
  <c r="O30" i="54" s="1"/>
  <c r="N30" i="54"/>
  <c r="AA11" i="53"/>
  <c r="AA14" i="53"/>
  <c r="AA18" i="53"/>
  <c r="AA22" i="53"/>
  <c r="AA26" i="53"/>
  <c r="AA30" i="53"/>
  <c r="AA34" i="53"/>
  <c r="AA38" i="53"/>
  <c r="AA42" i="53"/>
  <c r="AA28" i="53"/>
  <c r="AA40" i="53"/>
  <c r="AA21" i="53"/>
  <c r="AA25" i="53"/>
  <c r="AA37" i="53"/>
  <c r="AA15" i="53"/>
  <c r="AA19" i="53"/>
  <c r="AA23" i="53"/>
  <c r="AA27" i="53"/>
  <c r="AA31" i="53"/>
  <c r="AA35" i="53"/>
  <c r="AA39" i="53"/>
  <c r="AA12" i="53"/>
  <c r="AA33" i="53"/>
  <c r="AA16" i="53"/>
  <c r="AA20" i="53"/>
  <c r="AA24" i="53"/>
  <c r="AA32" i="53"/>
  <c r="AA36" i="53"/>
  <c r="AA17" i="53"/>
  <c r="AA29" i="53"/>
  <c r="AA41" i="53"/>
  <c r="AA286" i="53"/>
  <c r="O38" i="54" s="1"/>
  <c r="N38" i="54"/>
  <c r="AA260" i="53"/>
  <c r="AA268" i="53" s="1"/>
  <c r="AA281" i="53"/>
  <c r="O34" i="54" s="1"/>
  <c r="N34" i="54"/>
  <c r="P34" i="54" s="1"/>
  <c r="R34" i="54" s="1"/>
  <c r="Z34" i="54" s="1"/>
  <c r="G27" i="55" s="1"/>
  <c r="H214" i="55"/>
  <c r="H225" i="55" s="1"/>
  <c r="G12" i="49" s="1"/>
  <c r="H157" i="55"/>
  <c r="H220" i="55"/>
  <c r="H226" i="55" s="1"/>
  <c r="G13" i="49" s="1"/>
  <c r="H195" i="55"/>
  <c r="H206" i="55" s="1"/>
  <c r="H176" i="55"/>
  <c r="H138" i="55"/>
  <c r="G14" i="49"/>
  <c r="F140" i="47" l="1"/>
  <c r="AA263" i="53"/>
  <c r="AA271" i="53" s="1"/>
  <c r="P47" i="54"/>
  <c r="R47" i="54" s="1"/>
  <c r="Z47" i="54" s="1"/>
  <c r="AB47" i="54" s="1"/>
  <c r="Q47" i="54"/>
  <c r="Q38" i="54"/>
  <c r="P38" i="54"/>
  <c r="R38" i="54" s="1"/>
  <c r="Z38" i="54" s="1"/>
  <c r="G28" i="55" s="1"/>
  <c r="AA49" i="53"/>
  <c r="O16" i="54" s="1"/>
  <c r="N16" i="54"/>
  <c r="Q34" i="54"/>
  <c r="AA13" i="53"/>
  <c r="O12" i="54" s="1"/>
  <c r="N12" i="54"/>
  <c r="P43" i="54"/>
  <c r="R43" i="54" s="1"/>
  <c r="Z43" i="54" s="1"/>
  <c r="G29" i="55" s="1"/>
  <c r="Q29" i="55" s="1"/>
  <c r="Q43" i="54"/>
  <c r="AA262" i="53"/>
  <c r="N26" i="54"/>
  <c r="N22" i="54"/>
  <c r="AA261" i="53"/>
  <c r="AA269" i="53" s="1"/>
  <c r="H168" i="55"/>
  <c r="H149" i="55"/>
  <c r="AB34" i="54"/>
  <c r="G30" i="55" l="1"/>
  <c r="Q30" i="55" s="1"/>
  <c r="AB38" i="54"/>
  <c r="P26" i="54"/>
  <c r="R26" i="54" s="1"/>
  <c r="Z26" i="54" s="1"/>
  <c r="O22" i="54"/>
  <c r="AA270" i="53"/>
  <c r="O26" i="54" s="1"/>
  <c r="Q26" i="54" s="1"/>
  <c r="AB43" i="54"/>
  <c r="I29" i="55"/>
  <c r="S29" i="55" s="1"/>
  <c r="P16" i="54"/>
  <c r="R16" i="54" s="1"/>
  <c r="Z16" i="54" s="1"/>
  <c r="Z18" i="54" s="1"/>
  <c r="Q16" i="54"/>
  <c r="G131" i="55"/>
  <c r="I28" i="55"/>
  <c r="Q28" i="55"/>
  <c r="I27" i="55"/>
  <c r="J27" i="55" s="1"/>
  <c r="Q27" i="55"/>
  <c r="G129" i="55" s="1"/>
  <c r="I30" i="55" l="1"/>
  <c r="J30" i="55" s="1"/>
  <c r="J29" i="55"/>
  <c r="J28" i="55"/>
  <c r="G23" i="55"/>
  <c r="AB16" i="54"/>
  <c r="AB18" i="54" s="1"/>
  <c r="G25" i="55"/>
  <c r="AB26" i="54"/>
  <c r="G220" i="55"/>
  <c r="G226" i="55" s="1"/>
  <c r="G218" i="55"/>
  <c r="G161" i="55"/>
  <c r="G180" i="55"/>
  <c r="G199" i="55"/>
  <c r="G142" i="55"/>
  <c r="G132" i="55"/>
  <c r="G221" i="55" s="1"/>
  <c r="G227" i="55" s="1"/>
  <c r="G130" i="55"/>
  <c r="T29" i="55"/>
  <c r="I131" i="55"/>
  <c r="S27" i="55"/>
  <c r="S28" i="55"/>
  <c r="S30" i="55" l="1"/>
  <c r="T30" i="55" s="1"/>
  <c r="I25" i="55"/>
  <c r="Q25" i="55"/>
  <c r="G127" i="55" s="1"/>
  <c r="I23" i="55"/>
  <c r="Q23" i="55"/>
  <c r="G125" i="55" s="1"/>
  <c r="G195" i="55" s="1"/>
  <c r="I220" i="55"/>
  <c r="I226" i="55" s="1"/>
  <c r="H13" i="49" s="1"/>
  <c r="G219" i="55"/>
  <c r="G162" i="55"/>
  <c r="G200" i="55"/>
  <c r="G181" i="55"/>
  <c r="G143" i="55"/>
  <c r="F14" i="49"/>
  <c r="I130" i="55"/>
  <c r="T28" i="55"/>
  <c r="T27" i="55"/>
  <c r="I129" i="55"/>
  <c r="I132" i="55" l="1"/>
  <c r="I221" i="55" s="1"/>
  <c r="I227" i="55" s="1"/>
  <c r="H14" i="49" s="1"/>
  <c r="G176" i="55"/>
  <c r="G157" i="55"/>
  <c r="G168" i="55" s="1"/>
  <c r="J23" i="55"/>
  <c r="S23" i="55"/>
  <c r="G138" i="55"/>
  <c r="G149" i="55" s="1"/>
  <c r="G214" i="55"/>
  <c r="G225" i="55" s="1"/>
  <c r="F12" i="49" s="1"/>
  <c r="G178" i="55"/>
  <c r="G216" i="55"/>
  <c r="G159" i="55"/>
  <c r="G140" i="55"/>
  <c r="G197" i="55"/>
  <c r="J25" i="55"/>
  <c r="S25" i="55"/>
  <c r="I218" i="55"/>
  <c r="I161" i="55"/>
  <c r="I219" i="55"/>
  <c r="I162" i="55"/>
  <c r="I199" i="55"/>
  <c r="I180" i="55"/>
  <c r="I181" i="55"/>
  <c r="I200" i="55"/>
  <c r="G206" i="55"/>
  <c r="I143" i="55"/>
  <c r="I142" i="55"/>
  <c r="F13" i="49"/>
  <c r="I125" i="55" l="1"/>
  <c r="T23" i="55"/>
  <c r="T25" i="55"/>
  <c r="I127" i="55"/>
  <c r="I216" i="55" l="1"/>
  <c r="I140" i="55"/>
  <c r="I159" i="55"/>
  <c r="I178" i="55"/>
  <c r="I197" i="55"/>
  <c r="I214" i="55"/>
  <c r="I225" i="55" s="1"/>
  <c r="H12" i="49" s="1"/>
  <c r="I195" i="55"/>
  <c r="I206" i="55" s="1"/>
  <c r="I157" i="55"/>
  <c r="I176" i="55"/>
  <c r="I138" i="55"/>
  <c r="H187" i="55"/>
  <c r="I168" i="55" l="1"/>
  <c r="I149" i="55"/>
  <c r="G187" i="55"/>
  <c r="I187" i="55" l="1"/>
  <c r="H52" i="55" l="1"/>
  <c r="H54" i="55"/>
  <c r="H45" i="55"/>
  <c r="H47" i="55"/>
  <c r="F56" i="52"/>
  <c r="F81" i="52" s="1"/>
  <c r="E124" i="49"/>
  <c r="F111" i="49"/>
  <c r="H58" i="55" s="1"/>
  <c r="E125" i="49"/>
  <c r="E126" i="49"/>
  <c r="F254" i="52"/>
  <c r="H105" i="58" s="1"/>
  <c r="F48" i="52"/>
  <c r="F22" i="54" s="1"/>
  <c r="F54" i="52"/>
  <c r="F179" i="52" l="1"/>
  <c r="F180" i="52" s="1"/>
  <c r="G124" i="58"/>
  <c r="F86" i="52"/>
  <c r="G119" i="58" s="1"/>
  <c r="F78" i="52"/>
  <c r="F49" i="52"/>
  <c r="H112" i="49"/>
  <c r="G78" i="55"/>
  <c r="M22" i="54"/>
  <c r="X22" i="54"/>
  <c r="AA22" i="54" s="1"/>
  <c r="H24" i="55" s="1"/>
  <c r="R24" i="55" s="1"/>
  <c r="H126" i="55" s="1"/>
  <c r="F92" i="52" l="1"/>
  <c r="H65" i="55" s="1"/>
  <c r="G65" i="55" s="1"/>
  <c r="L65" i="55" s="1"/>
  <c r="G86" i="55"/>
  <c r="G106" i="55" s="1"/>
  <c r="G118" i="58"/>
  <c r="J118" i="58" s="1"/>
  <c r="Q22" i="54"/>
  <c r="P22" i="54"/>
  <c r="R22" i="54" s="1"/>
  <c r="Z22" i="54" s="1"/>
  <c r="I118" i="58" l="1"/>
  <c r="I78" i="55" s="1"/>
  <c r="I99" i="55" s="1"/>
  <c r="I119" i="55" s="1"/>
  <c r="K118" i="58"/>
  <c r="K78" i="55" s="1"/>
  <c r="K99" i="55" s="1"/>
  <c r="K119" i="55" s="1"/>
  <c r="G24" i="55"/>
  <c r="AB22" i="54"/>
  <c r="J86" i="55"/>
  <c r="J106" i="55" s="1"/>
  <c r="H86" i="55"/>
  <c r="H106" i="55" s="1"/>
  <c r="K86" i="55"/>
  <c r="K106" i="55" s="1"/>
  <c r="I86" i="55"/>
  <c r="I106" i="55" s="1"/>
  <c r="H118" i="58"/>
  <c r="J78" i="55"/>
  <c r="J99" i="55" s="1"/>
  <c r="J119" i="55" s="1"/>
  <c r="H98" i="55"/>
  <c r="H183" i="55" l="1"/>
  <c r="H189" i="55" s="1"/>
  <c r="G183" i="55"/>
  <c r="G189" i="55" s="1"/>
  <c r="I183" i="55"/>
  <c r="I189" i="55" s="1"/>
  <c r="H202" i="55"/>
  <c r="H208" i="55" s="1"/>
  <c r="G202" i="55"/>
  <c r="G208" i="55" s="1"/>
  <c r="I202" i="55"/>
  <c r="I208" i="55" s="1"/>
  <c r="H164" i="55"/>
  <c r="H170" i="55" s="1"/>
  <c r="G164" i="55"/>
  <c r="G170" i="55" s="1"/>
  <c r="I164" i="55"/>
  <c r="I170" i="55" s="1"/>
  <c r="L106" i="55"/>
  <c r="H118" i="55"/>
  <c r="L118" i="58"/>
  <c r="H78" i="55"/>
  <c r="F84" i="49"/>
  <c r="J124" i="58"/>
  <c r="J72" i="55" s="1"/>
  <c r="J93" i="55" s="1"/>
  <c r="L86" i="55"/>
  <c r="H124" i="58"/>
  <c r="I124" i="58"/>
  <c r="I72" i="55" s="1"/>
  <c r="I93" i="55" s="1"/>
  <c r="K124" i="58"/>
  <c r="K72" i="55" s="1"/>
  <c r="K93" i="55" s="1"/>
  <c r="Q24" i="55"/>
  <c r="G126" i="55" s="1"/>
  <c r="I24" i="55"/>
  <c r="I144" i="55" l="1"/>
  <c r="I150" i="55" s="1"/>
  <c r="G144" i="55"/>
  <c r="G150" i="55" s="1"/>
  <c r="H144" i="55"/>
  <c r="H150" i="55" s="1"/>
  <c r="L78" i="55"/>
  <c r="H99" i="55"/>
  <c r="J24" i="55"/>
  <c r="S24" i="55"/>
  <c r="I126" i="55" s="1"/>
  <c r="H72" i="55"/>
  <c r="L124" i="58"/>
  <c r="L99" i="55" l="1"/>
  <c r="H119" i="55"/>
  <c r="T24" i="55"/>
  <c r="G72" i="55"/>
  <c r="G93" i="55" s="1"/>
  <c r="G113" i="55" s="1"/>
  <c r="H93" i="55"/>
  <c r="H145" i="55" l="1"/>
  <c r="H151" i="55" s="1"/>
  <c r="L119" i="55"/>
  <c r="G145" i="55"/>
  <c r="G151" i="55" s="1"/>
  <c r="I145" i="55"/>
  <c r="I151" i="55" s="1"/>
  <c r="J113" i="55"/>
  <c r="H113" i="55"/>
  <c r="K113" i="55"/>
  <c r="I113" i="55"/>
  <c r="I215" i="55"/>
  <c r="H215" i="55"/>
  <c r="G215" i="55"/>
  <c r="L72" i="55"/>
  <c r="L93" i="55"/>
  <c r="I196" i="55" l="1"/>
  <c r="H196" i="55"/>
  <c r="G196" i="55"/>
  <c r="I139" i="55"/>
  <c r="H139" i="55"/>
  <c r="G139" i="55"/>
  <c r="I177" i="55"/>
  <c r="H177" i="55"/>
  <c r="G177" i="55"/>
  <c r="H158" i="55"/>
  <c r="G158" i="55"/>
  <c r="I158" i="55"/>
  <c r="L113" i="55"/>
  <c r="I98" i="55" l="1"/>
  <c r="J98" i="55"/>
  <c r="K98" i="55"/>
  <c r="I118" i="55"/>
  <c r="I163" i="55" s="1"/>
  <c r="I169" i="55" s="1"/>
  <c r="H104" i="58"/>
  <c r="H77" i="55" s="1"/>
  <c r="I104" i="58"/>
  <c r="I77" i="55" s="1"/>
  <c r="J104" i="58"/>
  <c r="J77" i="55" s="1"/>
  <c r="K104" i="58"/>
  <c r="K77" i="55" s="1"/>
  <c r="J118" i="55"/>
  <c r="K118" i="55"/>
  <c r="H201" i="55" s="1"/>
  <c r="H207" i="55" s="1"/>
  <c r="F39" i="52"/>
  <c r="F175" i="52"/>
  <c r="F176" i="52"/>
  <c r="H74" i="55" s="1"/>
  <c r="F244" i="52"/>
  <c r="H112" i="58" s="1"/>
  <c r="F183" i="52" l="1"/>
  <c r="H163" i="55"/>
  <c r="H169" i="55" s="1"/>
  <c r="G163" i="55"/>
  <c r="G169" i="55" s="1"/>
  <c r="G201" i="55"/>
  <c r="G207" i="55" s="1"/>
  <c r="L118" i="55"/>
  <c r="L104" i="58"/>
  <c r="L77" i="55"/>
  <c r="H182" i="55"/>
  <c r="H188" i="55" s="1"/>
  <c r="I201" i="55"/>
  <c r="I207" i="55" s="1"/>
  <c r="I182" i="55"/>
  <c r="I188" i="55" s="1"/>
  <c r="L98" i="55"/>
  <c r="G182" i="55"/>
  <c r="G188" i="55" s="1"/>
  <c r="J111" i="58"/>
  <c r="I111" i="58"/>
  <c r="K111" i="58"/>
  <c r="H111" i="58"/>
  <c r="H95" i="55"/>
  <c r="F248" i="52"/>
  <c r="F250" i="52" s="1"/>
  <c r="H67" i="55"/>
  <c r="F124" i="49" l="1"/>
  <c r="F251" i="52"/>
  <c r="F125" i="49" l="1"/>
  <c r="F252" i="52"/>
  <c r="F126" i="49" l="1"/>
  <c r="F40" i="52"/>
  <c r="F199" i="52"/>
  <c r="I74" i="55" s="1"/>
  <c r="F257" i="52"/>
  <c r="F259" i="52" s="1"/>
  <c r="I259" i="52" s="1"/>
  <c r="I124" i="49" s="1"/>
  <c r="F195" i="52"/>
  <c r="I95" i="55" l="1"/>
  <c r="I67" i="55"/>
  <c r="F41" i="52"/>
  <c r="F266" i="52"/>
  <c r="F268" i="52" s="1"/>
  <c r="I268" i="52" s="1"/>
  <c r="I125" i="49" s="1"/>
  <c r="F200" i="52"/>
  <c r="J74" i="55" s="1"/>
  <c r="F196" i="52"/>
  <c r="J95" i="55" l="1"/>
  <c r="J67" i="55"/>
  <c r="F42" i="52"/>
  <c r="F43" i="52" s="1"/>
  <c r="F201" i="52"/>
  <c r="F191" i="52" s="1"/>
  <c r="F197" i="52"/>
  <c r="F188" i="52" s="1"/>
  <c r="F213" i="52" s="1"/>
  <c r="F30" i="54" s="1"/>
  <c r="F276" i="52"/>
  <c r="F278" i="52" s="1"/>
  <c r="I278" i="52" s="1"/>
  <c r="I126" i="49" s="1"/>
  <c r="E5" i="49" s="1"/>
  <c r="F5" i="49" s="1"/>
  <c r="K67" i="55" l="1"/>
  <c r="G67" i="55" s="1"/>
  <c r="L67" i="55" s="1"/>
  <c r="K74" i="55"/>
  <c r="G74" i="55" s="1"/>
  <c r="G95" i="55" s="1"/>
  <c r="G115" i="55" s="1"/>
  <c r="I115" i="55" s="1"/>
  <c r="F8" i="52"/>
  <c r="F11" i="52" s="1"/>
  <c r="G88" i="55"/>
  <c r="G108" i="55" s="1"/>
  <c r="M30" i="54"/>
  <c r="X30" i="54"/>
  <c r="AA30" i="54" s="1"/>
  <c r="H26" i="55" s="1"/>
  <c r="R26" i="55" s="1"/>
  <c r="H128" i="55" s="1"/>
  <c r="H217" i="55" l="1"/>
  <c r="K95" i="55"/>
  <c r="L95" i="55" s="1"/>
  <c r="H115" i="55"/>
  <c r="H141" i="55" s="1"/>
  <c r="J115" i="55"/>
  <c r="H179" i="55" s="1"/>
  <c r="L74" i="55"/>
  <c r="H88" i="55"/>
  <c r="H108" i="55" s="1"/>
  <c r="I88" i="55"/>
  <c r="I108" i="55" s="1"/>
  <c r="K88" i="55"/>
  <c r="K108" i="55" s="1"/>
  <c r="H160" i="55"/>
  <c r="P30" i="54"/>
  <c r="R30" i="54" s="1"/>
  <c r="Z30" i="54" s="1"/>
  <c r="Q30" i="54"/>
  <c r="J88" i="55"/>
  <c r="G91" i="55"/>
  <c r="G111" i="55" s="1"/>
  <c r="G84" i="55"/>
  <c r="G104" i="55" s="1"/>
  <c r="F12" i="54"/>
  <c r="K115" i="55" l="1"/>
  <c r="H198" i="55" s="1"/>
  <c r="X12" i="54"/>
  <c r="AA12" i="54" s="1"/>
  <c r="H22" i="55" s="1"/>
  <c r="M12" i="54"/>
  <c r="L88" i="55"/>
  <c r="I91" i="55"/>
  <c r="I84" i="55" s="1"/>
  <c r="I104" i="55" s="1"/>
  <c r="J108" i="55"/>
  <c r="L108" i="55" s="1"/>
  <c r="J91" i="55"/>
  <c r="J84" i="55" s="1"/>
  <c r="J104" i="55" s="1"/>
  <c r="AB30" i="54"/>
  <c r="G26" i="55"/>
  <c r="K91" i="55"/>
  <c r="K111" i="55" s="1"/>
  <c r="H91" i="55"/>
  <c r="H111" i="55" s="1"/>
  <c r="L115" i="55" l="1"/>
  <c r="J111" i="55"/>
  <c r="I111" i="55"/>
  <c r="K84" i="55"/>
  <c r="K104" i="55" s="1"/>
  <c r="Q12" i="54"/>
  <c r="P12" i="54"/>
  <c r="R12" i="54" s="1"/>
  <c r="Z12" i="54" s="1"/>
  <c r="H21" i="55"/>
  <c r="R22" i="55"/>
  <c r="I26" i="55"/>
  <c r="Q26" i="55"/>
  <c r="G128" i="55" s="1"/>
  <c r="L91" i="55"/>
  <c r="H84" i="55"/>
  <c r="L111" i="55" l="1"/>
  <c r="J26" i="55"/>
  <c r="S26" i="55"/>
  <c r="I128" i="55" s="1"/>
  <c r="G217" i="55"/>
  <c r="G141" i="55"/>
  <c r="G160" i="55"/>
  <c r="G179" i="55"/>
  <c r="G198" i="55"/>
  <c r="H36" i="55"/>
  <c r="H33" i="55"/>
  <c r="H35" i="55"/>
  <c r="H124" i="55"/>
  <c r="H194" i="55" s="1"/>
  <c r="H34" i="55"/>
  <c r="R21" i="55"/>
  <c r="H123" i="55" s="1"/>
  <c r="L84" i="55"/>
  <c r="H104" i="55"/>
  <c r="AB12" i="54"/>
  <c r="G22" i="55"/>
  <c r="H213" i="55" l="1"/>
  <c r="H224" i="55" s="1"/>
  <c r="G11" i="49" s="1"/>
  <c r="H175" i="55"/>
  <c r="H156" i="55"/>
  <c r="H137" i="55"/>
  <c r="L104" i="55"/>
  <c r="I217" i="55"/>
  <c r="I179" i="55"/>
  <c r="I160" i="55"/>
  <c r="I141" i="55"/>
  <c r="I198" i="55"/>
  <c r="T26" i="55"/>
  <c r="Q22" i="55"/>
  <c r="I22" i="55"/>
  <c r="G21" i="55"/>
  <c r="H205" i="55"/>
  <c r="H193" i="55"/>
  <c r="I21" i="55" l="1"/>
  <c r="S22" i="55"/>
  <c r="J22" i="55"/>
  <c r="J21" i="55" s="1"/>
  <c r="H148" i="55"/>
  <c r="H136" i="55"/>
  <c r="G34" i="55"/>
  <c r="G124" i="55"/>
  <c r="Q21" i="55"/>
  <c r="G123" i="55" s="1"/>
  <c r="G36" i="55"/>
  <c r="G33" i="55"/>
  <c r="G35" i="55"/>
  <c r="H167" i="55"/>
  <c r="H155" i="55"/>
  <c r="H186" i="55"/>
  <c r="H174" i="55"/>
  <c r="K122" i="55" l="1"/>
  <c r="G213" i="55"/>
  <c r="G224" i="55" s="1"/>
  <c r="F11" i="49" s="1"/>
  <c r="G175" i="55"/>
  <c r="G156" i="55"/>
  <c r="G194" i="55"/>
  <c r="G137" i="55"/>
  <c r="I35" i="55"/>
  <c r="S21" i="55"/>
  <c r="I123" i="55" s="1"/>
  <c r="I36" i="55"/>
  <c r="I124" i="55"/>
  <c r="I33" i="55"/>
  <c r="I34" i="55"/>
  <c r="T22" i="55"/>
  <c r="T21" i="55" s="1"/>
  <c r="G205" i="55" l="1"/>
  <c r="G193" i="55"/>
  <c r="G155" i="55"/>
  <c r="G167" i="55"/>
  <c r="G174" i="55"/>
  <c r="G186" i="55"/>
  <c r="I213" i="55"/>
  <c r="I224" i="55" s="1"/>
  <c r="H11" i="49" s="1"/>
  <c r="I175" i="55"/>
  <c r="I156" i="55"/>
  <c r="I194" i="55"/>
  <c r="I137" i="55"/>
  <c r="G136" i="55"/>
  <c r="G148" i="55"/>
  <c r="J122" i="55" l="1"/>
  <c r="I148" i="55"/>
  <c r="I136" i="55"/>
  <c r="I205" i="55"/>
  <c r="I193" i="55"/>
  <c r="I155" i="55"/>
  <c r="I167" i="55"/>
  <c r="I186" i="55"/>
  <c r="I174" i="55"/>
  <c r="L122" i="55" l="1"/>
  <c r="H103" i="49"/>
  <c r="P32" i="53" l="1"/>
  <c r="R32" i="53" s="1"/>
  <c r="P31" i="53"/>
  <c r="R31" i="53" s="1"/>
  <c r="P33" i="53"/>
  <c r="R33" i="53" s="1"/>
  <c r="P34" i="53"/>
  <c r="R34" i="53" s="1"/>
  <c r="H102" i="49"/>
  <c r="L31" i="53" l="1"/>
  <c r="N31" i="53" s="1"/>
  <c r="L34" i="53"/>
  <c r="N34" i="53" s="1"/>
  <c r="L32" i="53"/>
  <c r="N32" i="53" s="1"/>
  <c r="L33" i="53"/>
  <c r="N33" i="53" s="1"/>
</calcChain>
</file>

<file path=xl/sharedStrings.xml><?xml version="1.0" encoding="utf-8"?>
<sst xmlns="http://schemas.openxmlformats.org/spreadsheetml/2006/main" count="2492" uniqueCount="1038">
  <si>
    <t>Status</t>
  </si>
  <si>
    <t>Notes</t>
  </si>
  <si>
    <t>unlocked</t>
  </si>
  <si>
    <t>locked</t>
  </si>
  <si>
    <t>Calculation</t>
  </si>
  <si>
    <t>Output</t>
  </si>
  <si>
    <t>Highlight</t>
  </si>
  <si>
    <t>A cell that is special in some way</t>
  </si>
  <si>
    <t>Text</t>
  </si>
  <si>
    <t>Number</t>
  </si>
  <si>
    <t>Currency</t>
  </si>
  <si>
    <t>Percentage</t>
  </si>
  <si>
    <t>Percentage (2dp)</t>
  </si>
  <si>
    <t>Date</t>
  </si>
  <si>
    <t>A key result from this part of the model (in particular one that will be used elsewhere in the model)</t>
  </si>
  <si>
    <t>Comma</t>
  </si>
  <si>
    <t>Percent</t>
  </si>
  <si>
    <t>Number
(2dp)</t>
  </si>
  <si>
    <t>Currency
(2dp)</t>
  </si>
  <si>
    <t>Currency Dollar (2dp)</t>
  </si>
  <si>
    <t>Currency Dollar</t>
  </si>
  <si>
    <t>Currency Pound (2dp)</t>
  </si>
  <si>
    <t>Currency Pound</t>
  </si>
  <si>
    <t>Input Parameter</t>
  </si>
  <si>
    <t>Input Data</t>
  </si>
  <si>
    <t>Input Calculation</t>
  </si>
  <si>
    <t>Input Link</t>
  </si>
  <si>
    <t>Row label</t>
  </si>
  <si>
    <t>Row label (indent)</t>
  </si>
  <si>
    <t>Total row</t>
  </si>
  <si>
    <t>Sub-total row</t>
  </si>
  <si>
    <t>(Table finish row)</t>
  </si>
  <si>
    <t>Style Guidelines</t>
  </si>
  <si>
    <t>Name</t>
  </si>
  <si>
    <t>Note</t>
  </si>
  <si>
    <t>H1</t>
  </si>
  <si>
    <t>H2</t>
  </si>
  <si>
    <t>H3</t>
  </si>
  <si>
    <t>H4</t>
  </si>
  <si>
    <t>Heading level 1</t>
  </si>
  <si>
    <t>Heading level 2</t>
  </si>
  <si>
    <t>Heading level 3</t>
  </si>
  <si>
    <t>Heading level 4</t>
  </si>
  <si>
    <t>NB These styles change most aspects of a cells formatting (all except Number and Alignment)</t>
  </si>
  <si>
    <t>NB These styles change only the font used in a cell</t>
  </si>
  <si>
    <t>Number styles</t>
  </si>
  <si>
    <t>Table styles</t>
  </si>
  <si>
    <t>Title</t>
  </si>
  <si>
    <t>(Table shading)</t>
  </si>
  <si>
    <t>NB These styles change a variety of different aspects of cell formatting (as appropriate to the context)</t>
  </si>
  <si>
    <t>Examples of use</t>
  </si>
  <si>
    <t>Use these styles to consistently format numbers (and dates)</t>
  </si>
  <si>
    <t>Use these styles to consistently format tables</t>
  </si>
  <si>
    <t>A calculation of the model</t>
  </si>
  <si>
    <t>A piece of real data (only change if you have better data)</t>
  </si>
  <si>
    <t>An input to the model that it is expected the user will change (change at will)</t>
  </si>
  <si>
    <t>A side calculation intended solely to cross check a result (and which therefore should not be referenced anywhere else in the model)</t>
  </si>
  <si>
    <t>A total (use if not part of a "Sub-total row" or a "Total row" in a table - see below)</t>
  </si>
  <si>
    <t>An input to the model that has, none the less, been calculated from other inputs (e.g. interpolated input values)</t>
  </si>
  <si>
    <t>Positive</t>
  </si>
  <si>
    <t>Negative</t>
  </si>
  <si>
    <t>Zero</t>
  </si>
  <si>
    <r>
      <t xml:space="preserve">An Excel Name applying to one or more adjacent cells (use </t>
    </r>
    <r>
      <rPr>
        <u/>
        <sz val="9"/>
        <rFont val="Arial"/>
        <family val="2"/>
      </rPr>
      <t>I</t>
    </r>
    <r>
      <rPr>
        <sz val="9"/>
        <rFont val="Arial"/>
        <family val="2"/>
      </rPr>
      <t xml:space="preserve">nsert </t>
    </r>
    <r>
      <rPr>
        <u/>
        <sz val="9"/>
        <rFont val="Arial"/>
        <family val="2"/>
      </rPr>
      <t>N</t>
    </r>
    <r>
      <rPr>
        <sz val="9"/>
        <rFont val="Arial"/>
        <family val="2"/>
      </rPr>
      <t xml:space="preserve">ame </t>
    </r>
    <r>
      <rPr>
        <u/>
        <sz val="9"/>
        <rFont val="Arial"/>
        <family val="2"/>
      </rPr>
      <t>C</t>
    </r>
    <r>
      <rPr>
        <sz val="9"/>
        <rFont val="Arial"/>
        <family val="2"/>
      </rPr>
      <t>reate to actually create the Excel Names)</t>
    </r>
  </si>
  <si>
    <t>Currency
Euro</t>
  </si>
  <si>
    <t>Currency
Euro (2dp)</t>
  </si>
  <si>
    <t>Currency
EUR</t>
  </si>
  <si>
    <t>Currency
EUR (2dp)</t>
  </si>
  <si>
    <t>Currency
USD</t>
  </si>
  <si>
    <t>Currency
USD (2dp)</t>
  </si>
  <si>
    <t>Currency
GBP</t>
  </si>
  <si>
    <t>Currency
GBP (2dp)</t>
  </si>
  <si>
    <t>Date
(Month)</t>
  </si>
  <si>
    <t>Date
(Year)</t>
  </si>
  <si>
    <r>
      <t xml:space="preserve">Consider using </t>
    </r>
    <r>
      <rPr>
        <u/>
        <sz val="9"/>
        <rFont val="Arial"/>
        <family val="2"/>
      </rPr>
      <t>D</t>
    </r>
    <r>
      <rPr>
        <sz val="9"/>
        <rFont val="Arial"/>
        <family val="2"/>
      </rPr>
      <t xml:space="preserve">ata </t>
    </r>
    <r>
      <rPr>
        <sz val="9"/>
        <rFont val="Arial"/>
        <family val="2"/>
      </rPr>
      <t>V</t>
    </r>
    <r>
      <rPr>
        <sz val="9"/>
        <rFont val="Arial"/>
        <family val="2"/>
      </rPr>
      <t>a</t>
    </r>
    <r>
      <rPr>
        <u/>
        <sz val="9"/>
        <rFont val="Arial"/>
        <family val="2"/>
      </rPr>
      <t>l</t>
    </r>
    <r>
      <rPr>
        <sz val="9"/>
        <rFont val="Arial"/>
        <family val="2"/>
      </rPr>
      <t>idation to ensure that only acceptable values are entered</t>
    </r>
  </si>
  <si>
    <t>Acceptable values</t>
  </si>
  <si>
    <t>Minimum</t>
  </si>
  <si>
    <t>Maximum</t>
  </si>
  <si>
    <r>
      <t xml:space="preserve">If a parameter can take only one of a small number of values, consider using </t>
    </r>
    <r>
      <rPr>
        <u/>
        <sz val="9"/>
        <rFont val="Arial"/>
        <family val="2"/>
      </rPr>
      <t>D</t>
    </r>
    <r>
      <rPr>
        <sz val="9"/>
        <rFont val="Arial"/>
        <family val="2"/>
      </rPr>
      <t>ata Va</t>
    </r>
    <r>
      <rPr>
        <u/>
        <sz val="9"/>
        <rFont val="Arial"/>
        <family val="2"/>
      </rPr>
      <t>l</t>
    </r>
    <r>
      <rPr>
        <sz val="9"/>
        <rFont val="Arial"/>
        <family val="2"/>
      </rPr>
      <t xml:space="preserve">idation </t>
    </r>
    <r>
      <rPr>
        <u/>
        <sz val="9"/>
        <rFont val="Arial"/>
        <family val="2"/>
      </rPr>
      <t>A</t>
    </r>
    <r>
      <rPr>
        <sz val="9"/>
        <rFont val="Arial"/>
        <family val="2"/>
      </rPr>
      <t xml:space="preserve">llow </t>
    </r>
    <r>
      <rPr>
        <u/>
        <sz val="9"/>
        <rFont val="Arial"/>
        <family val="2"/>
      </rPr>
      <t>L</t>
    </r>
    <r>
      <rPr>
        <sz val="9"/>
        <rFont val="Arial"/>
        <family val="2"/>
      </rPr>
      <t xml:space="preserve">ist with </t>
    </r>
    <r>
      <rPr>
        <u/>
        <sz val="9"/>
        <rFont val="Arial"/>
        <family val="2"/>
      </rPr>
      <t>I</t>
    </r>
    <r>
      <rPr>
        <sz val="9"/>
        <rFont val="Arial"/>
        <family val="2"/>
      </rPr>
      <t>n-cell dropdown selected</t>
    </r>
  </si>
  <si>
    <t>Unhighlight</t>
  </si>
  <si>
    <t>And one that isn't anymore</t>
  </si>
  <si>
    <t>NB All number styles use the decimal symbol and digit grouping symbol (thousands separator) defined under Regional Options in Control Panel. So if you want to change them do it there, and not here in Excel !</t>
  </si>
  <si>
    <t>(Table unshading)</t>
  </si>
  <si>
    <t>NB Most number styles leave space for a ')' to the right of the number, but only the Currency styles actually use '(…)' for negatives</t>
  </si>
  <si>
    <t>Input Estimate</t>
  </si>
  <si>
    <t>An estimate used in the absence of real data (only change if you have a better estimate, or real data )</t>
  </si>
  <si>
    <t>Use these styles to format headings</t>
  </si>
  <si>
    <t>Heading styles</t>
  </si>
  <si>
    <r>
      <t>Consider using F</t>
    </r>
    <r>
      <rPr>
        <u/>
        <sz val="9"/>
        <rFont val="Arial"/>
        <family val="2"/>
      </rPr>
      <t>o</t>
    </r>
    <r>
      <rPr>
        <sz val="9"/>
        <rFont val="Arial"/>
        <family val="2"/>
      </rPr>
      <t>rmat Con</t>
    </r>
    <r>
      <rPr>
        <u/>
        <sz val="9"/>
        <rFont val="Arial"/>
        <family val="2"/>
      </rPr>
      <t>d</t>
    </r>
    <r>
      <rPr>
        <sz val="9"/>
        <rFont val="Arial"/>
        <family val="2"/>
      </rPr>
      <t>itional Formatting to highlight unacceptable results of cross check calculations (e.g. non-zero)</t>
    </r>
  </si>
  <si>
    <t>Input cell styles</t>
  </si>
  <si>
    <t>Use these styles to identify inputs to a model</t>
  </si>
  <si>
    <t>Other cell styles</t>
  </si>
  <si>
    <t>Use these styles to identify the role of other cells in a model</t>
  </si>
  <si>
    <t>A note (NB smaller than standard font size)</t>
  </si>
  <si>
    <t>ADSL</t>
  </si>
  <si>
    <t>Cable Modem</t>
  </si>
  <si>
    <t>Dial-up</t>
  </si>
  <si>
    <t>Number of subscribers (year end)</t>
  </si>
  <si>
    <t>Total</t>
  </si>
  <si>
    <r>
      <t xml:space="preserve">NB Consider using </t>
    </r>
    <r>
      <rPr>
        <u/>
        <sz val="8"/>
        <rFont val="Arial"/>
        <family val="2"/>
      </rPr>
      <t>F</t>
    </r>
    <r>
      <rPr>
        <sz val="8"/>
        <rFont val="Arial"/>
        <family val="2"/>
      </rPr>
      <t>ile Page Set</t>
    </r>
    <r>
      <rPr>
        <u/>
        <sz val="8"/>
        <rFont val="Arial"/>
        <family val="2"/>
      </rPr>
      <t>u</t>
    </r>
    <r>
      <rPr>
        <sz val="8"/>
        <rFont val="Arial"/>
        <family val="2"/>
      </rPr>
      <t xml:space="preserve">p </t>
    </r>
    <r>
      <rPr>
        <u/>
        <sz val="8"/>
        <rFont val="Arial"/>
        <family val="2"/>
      </rPr>
      <t>S</t>
    </r>
    <r>
      <rPr>
        <sz val="8"/>
        <rFont val="Arial"/>
        <family val="2"/>
      </rPr>
      <t xml:space="preserve">heet </t>
    </r>
    <r>
      <rPr>
        <u/>
        <sz val="8"/>
        <rFont val="Arial"/>
        <family val="2"/>
      </rPr>
      <t>R</t>
    </r>
    <r>
      <rPr>
        <sz val="8"/>
        <rFont val="Arial"/>
        <family val="2"/>
      </rPr>
      <t>ows to repeat at top: $1:$1 to include row 1 at the top of all printed pages (as is done on this worksheet)</t>
    </r>
  </si>
  <si>
    <t>A simple table</t>
  </si>
  <si>
    <t>A more complex table</t>
  </si>
  <si>
    <t>NB Use Window Unfreeze Panes (on each worksheet) to have row 1 scroll with the rest of the worksheet</t>
  </si>
  <si>
    <t>Number of subscribers (simple year average)</t>
  </si>
  <si>
    <t>Version</t>
  </si>
  <si>
    <t>Objective</t>
  </si>
  <si>
    <t xml:space="preserve">Title </t>
  </si>
  <si>
    <t>Author</t>
  </si>
  <si>
    <t>Information</t>
  </si>
  <si>
    <t>Work in progress</t>
  </si>
  <si>
    <t>Under construction</t>
  </si>
  <si>
    <t>Approved for release</t>
  </si>
  <si>
    <t>Email</t>
  </si>
  <si>
    <t>Subscribers.Year Average.Total</t>
  </si>
  <si>
    <t>NB To avoid having spurious names in this template the names shown below have not actually been created</t>
  </si>
  <si>
    <t xml:space="preserve"> </t>
  </si>
  <si>
    <t>Column label</t>
  </si>
  <si>
    <t>Input Link (different Workbook)</t>
  </si>
  <si>
    <t>An input to this part of the model, which is linked to a source on a worksheet in a different workbook</t>
  </si>
  <si>
    <t>Checksum</t>
  </si>
  <si>
    <t>An input to this part of the model, which is linked to a source on this or another worksheet within this workbook</t>
  </si>
  <si>
    <t>Column label (left aligned)</t>
  </si>
  <si>
    <t>Column label (not bold)</t>
  </si>
  <si>
    <t>Subscribers.Year End.By Service</t>
  </si>
  <si>
    <t>Service</t>
  </si>
  <si>
    <t>Units</t>
  </si>
  <si>
    <t>Subscribers</t>
  </si>
  <si>
    <t>From above</t>
  </si>
  <si>
    <t>From Cable_modem.xls</t>
  </si>
  <si>
    <t>Linear interpolation</t>
  </si>
  <si>
    <t>Column label (no wrap)</t>
  </si>
  <si>
    <t>Ready for review</t>
  </si>
  <si>
    <t>Control</t>
  </si>
  <si>
    <t>Panel de control</t>
  </si>
  <si>
    <t>Elemento</t>
  </si>
  <si>
    <t>Unidad</t>
  </si>
  <si>
    <t>Valor</t>
  </si>
  <si>
    <t>Nombre</t>
  </si>
  <si>
    <t>Notas</t>
  </si>
  <si>
    <t>Año de referencia</t>
  </si>
  <si>
    <t>año</t>
  </si>
  <si>
    <t>WACC</t>
  </si>
  <si>
    <t>%</t>
  </si>
  <si>
    <t>Parámetros de costos</t>
  </si>
  <si>
    <t>Vida útil</t>
  </si>
  <si>
    <t>Costos considerados</t>
  </si>
  <si>
    <t>Perfil de la recuperación de costes</t>
  </si>
  <si>
    <t>Índices</t>
  </si>
  <si>
    <t>Características del sitio</t>
  </si>
  <si>
    <t>Tipo de torre</t>
  </si>
  <si>
    <t>Tipo de ubicación</t>
  </si>
  <si>
    <t>#</t>
  </si>
  <si>
    <t>Altura</t>
  </si>
  <si>
    <t>Geotipo</t>
  </si>
  <si>
    <t>Predio</t>
  </si>
  <si>
    <t>Fuente de energía de respaldo</t>
  </si>
  <si>
    <t>Listas utilizadas en el modelo</t>
  </si>
  <si>
    <t>Año</t>
  </si>
  <si>
    <t>años</t>
  </si>
  <si>
    <t>año.activo</t>
  </si>
  <si>
    <t>numero.operadores</t>
  </si>
  <si>
    <t>numero.operadores.activo</t>
  </si>
  <si>
    <t>wacc</t>
  </si>
  <si>
    <t>vida.util.activo</t>
  </si>
  <si>
    <t>costos.considerados.activo</t>
  </si>
  <si>
    <t>perfil.recuperacion.costos.activo</t>
  </si>
  <si>
    <t>tipo.torre.activo</t>
  </si>
  <si>
    <t>tipo.ubicacion.activo</t>
  </si>
  <si>
    <t>rango.altura.activo</t>
  </si>
  <si>
    <t>geotipo.activo</t>
  </si>
  <si>
    <t>vida.util.activo.indice</t>
  </si>
  <si>
    <t>costos.considerados.activo.indice</t>
  </si>
  <si>
    <t>perfil.recuperacion.costos.activo.indice</t>
  </si>
  <si>
    <t>Hundred, thousand, million</t>
  </si>
  <si>
    <t>hundred</t>
  </si>
  <si>
    <t>thousand</t>
  </si>
  <si>
    <t>million</t>
  </si>
  <si>
    <t>Spare, void and not available</t>
  </si>
  <si>
    <t>espacio vacante</t>
  </si>
  <si>
    <t>spare</t>
  </si>
  <si>
    <t>void</t>
  </si>
  <si>
    <t>N/A</t>
  </si>
  <si>
    <t>not.available</t>
  </si>
  <si>
    <t>Yes, No</t>
  </si>
  <si>
    <t>Sí</t>
  </si>
  <si>
    <t>No</t>
  </si>
  <si>
    <t>si</t>
  </si>
  <si>
    <t>no</t>
  </si>
  <si>
    <t>Autosoportada</t>
  </si>
  <si>
    <t>Arriostrada</t>
  </si>
  <si>
    <t>Monopolo</t>
  </si>
  <si>
    <t>tipo.torre</t>
  </si>
  <si>
    <t>Terreno</t>
  </si>
  <si>
    <t>tipo.ubicacion</t>
  </si>
  <si>
    <t>Distrito Federal</t>
  </si>
  <si>
    <t>geotipo</t>
  </si>
  <si>
    <t>Urbano</t>
  </si>
  <si>
    <t>Rural</t>
  </si>
  <si>
    <t>Carreteras</t>
  </si>
  <si>
    <t>Altura de torre</t>
  </si>
  <si>
    <t>Telcel</t>
  </si>
  <si>
    <t>Telmex / Telnor</t>
  </si>
  <si>
    <t>Tercero en arrendamiento</t>
  </si>
  <si>
    <t>Tercero en comodato</t>
  </si>
  <si>
    <t>Propiedad del predio</t>
  </si>
  <si>
    <t>propiedad.predio</t>
  </si>
  <si>
    <t>disponibilidad</t>
  </si>
  <si>
    <t>Aire acondicionado</t>
  </si>
  <si>
    <t>Dimensionado de sitio</t>
  </si>
  <si>
    <t>Resultados</t>
  </si>
  <si>
    <t>Vida útil del activo</t>
  </si>
  <si>
    <t>Economica</t>
  </si>
  <si>
    <t>Contable</t>
  </si>
  <si>
    <t>vida.util</t>
  </si>
  <si>
    <t>Históricos</t>
  </si>
  <si>
    <t>costos.considerados</t>
  </si>
  <si>
    <t>Perfil de recuperación de costos</t>
  </si>
  <si>
    <t>perfil.recuperacion.costos</t>
  </si>
  <si>
    <t>Anualidad</t>
  </si>
  <si>
    <t>Depreciación lineal</t>
  </si>
  <si>
    <t>Lista de activos</t>
  </si>
  <si>
    <t>Torre</t>
  </si>
  <si>
    <t>Nicho de acometida</t>
  </si>
  <si>
    <t>lista.activos</t>
  </si>
  <si>
    <t>Infraestructura pasiva</t>
  </si>
  <si>
    <t>Área total del predio</t>
  </si>
  <si>
    <t>Área ocupada</t>
  </si>
  <si>
    <t>Área disponible</t>
  </si>
  <si>
    <t>m2</t>
  </si>
  <si>
    <t>Componentes de predio</t>
  </si>
  <si>
    <t>lista.componentes.predio</t>
  </si>
  <si>
    <t>Precio</t>
  </si>
  <si>
    <t>Costeo</t>
  </si>
  <si>
    <t>Costos unitarios</t>
  </si>
  <si>
    <t>Altura de la torre</t>
  </si>
  <si>
    <t>Componentes de torre</t>
  </si>
  <si>
    <t>lista.componentes.torre</t>
  </si>
  <si>
    <t>Área de la caseta</t>
  </si>
  <si>
    <t>Componentes de la caseta (shelter)</t>
  </si>
  <si>
    <t>lista.componentes.caseta</t>
  </si>
  <si>
    <t>m</t>
  </si>
  <si>
    <t>Cálculos secundarios</t>
  </si>
  <si>
    <t>Área de la torre</t>
  </si>
  <si>
    <t>Parámetros para el dimensionamiento eficiente</t>
  </si>
  <si>
    <t>Mark-ups</t>
  </si>
  <si>
    <t>Fuente de energia de respaldo</t>
  </si>
  <si>
    <t>Año activo</t>
  </si>
  <si>
    <t>CAPEX</t>
  </si>
  <si>
    <t>OPEX</t>
  </si>
  <si>
    <t>Geotipo del predio</t>
  </si>
  <si>
    <t>Propriedad del predio</t>
  </si>
  <si>
    <t>propriedad.predio.activo</t>
  </si>
  <si>
    <t>Tendencia de costos</t>
  </si>
  <si>
    <t>OPEX de mantenimiento (MXN/año/m2)</t>
  </si>
  <si>
    <t>NOTAS</t>
  </si>
  <si>
    <t>OPEX de mantenimiento (% capex)</t>
  </si>
  <si>
    <t>OPEX de mantenimiento (MXN/año)</t>
  </si>
  <si>
    <t>Valores por ton</t>
  </si>
  <si>
    <t>Input</t>
  </si>
  <si>
    <t>Profundidad</t>
  </si>
  <si>
    <t>mm</t>
  </si>
  <si>
    <t>Anchura</t>
  </si>
  <si>
    <t>Fuente</t>
  </si>
  <si>
    <t>Capex</t>
  </si>
  <si>
    <t>Vida útil restante</t>
  </si>
  <si>
    <t>Opex total</t>
  </si>
  <si>
    <t>Gasto anual</t>
  </si>
  <si>
    <t>Inputs</t>
  </si>
  <si>
    <t>Recuperación de costos</t>
  </si>
  <si>
    <t>Opción activa</t>
  </si>
  <si>
    <t>Unidad --&gt;</t>
  </si>
  <si>
    <t>MXN</t>
  </si>
  <si>
    <t>MXN/año</t>
  </si>
  <si>
    <t>Inputs secundarios</t>
  </si>
  <si>
    <t>Datos relevantes</t>
  </si>
  <si>
    <t>Para torres hasta 30m</t>
  </si>
  <si>
    <t>Pequeño</t>
  </si>
  <si>
    <t>Standard</t>
  </si>
  <si>
    <t>Area</t>
  </si>
  <si>
    <t>Panel de energia principal</t>
  </si>
  <si>
    <t>Nicho de acometida - Panel de energia principal</t>
  </si>
  <si>
    <t>Panel de distribuición de energia</t>
  </si>
  <si>
    <t>Nicho de acometida - Panel de distribuición de energia</t>
  </si>
  <si>
    <t>Área total</t>
  </si>
  <si>
    <t>Engineering rules</t>
  </si>
  <si>
    <t>Área de caseta</t>
  </si>
  <si>
    <t>Capacidad utilizada</t>
  </si>
  <si>
    <t>tons</t>
  </si>
  <si>
    <t>Capacidad utilizada = Área caseta * Capacidad/m2</t>
  </si>
  <si>
    <t>Capacidad total</t>
  </si>
  <si>
    <t>Capacidad total = Capacidad utilizada × (1+mark-up)</t>
  </si>
  <si>
    <t>aire.acondicionado.capacidad.superficie</t>
  </si>
  <si>
    <t>aire.acondicionado.capacidad.utilizada</t>
  </si>
  <si>
    <t>Dimensiones standard</t>
  </si>
  <si>
    <t>Panel de distribuición de energia - AEP</t>
  </si>
  <si>
    <t>markup.predio</t>
  </si>
  <si>
    <t>markup.zona.rural</t>
  </si>
  <si>
    <t>Indoor</t>
  </si>
  <si>
    <t>Outdoor</t>
  </si>
  <si>
    <t>indoor.outdoor</t>
  </si>
  <si>
    <t>Colocación indoor o outdoor</t>
  </si>
  <si>
    <t>Utilización de caseta</t>
  </si>
  <si>
    <t>Suma de toda el área ocupada. Se utiliza la area de la caseta o el area del BTS exterior</t>
  </si>
  <si>
    <t>Demanda del AEP</t>
  </si>
  <si>
    <t>Demanda</t>
  </si>
  <si>
    <t>demanda</t>
  </si>
  <si>
    <t>demanda.AEP.activo</t>
  </si>
  <si>
    <t>Capacidad de caseta (unidades)</t>
  </si>
  <si>
    <t>capacidad.caseta.activo</t>
  </si>
  <si>
    <t>Espacio en torre</t>
  </si>
  <si>
    <t>Espacio en piso</t>
  </si>
  <si>
    <t>Servicios auxiliares - Aire acondicionado y fuente de energia de respaldo</t>
  </si>
  <si>
    <t>Antenas RF del AEP</t>
  </si>
  <si>
    <t>Antenas MW del AEP</t>
  </si>
  <si>
    <t>Espacio utilizado por el AEP</t>
  </si>
  <si>
    <t>Área de la caseta (Outdoor - Plancha de concreto)</t>
  </si>
  <si>
    <t>Dimensiones standard del shelter (interior)</t>
  </si>
  <si>
    <t>Dimensiones standard del shelter (exterior) - Plancha de concreto</t>
  </si>
  <si>
    <t>Dimensiones standard del shelter (exterior)</t>
  </si>
  <si>
    <t>AEP</t>
  </si>
  <si>
    <t>Área ocupada caseta</t>
  </si>
  <si>
    <t>Compartición de aire acondicionado</t>
  </si>
  <si>
    <t>comparticion.aire.acondicionado.activo</t>
  </si>
  <si>
    <t>Nombre del equipo</t>
  </si>
  <si>
    <t>Dimensiones BTS</t>
  </si>
  <si>
    <t>Caracteristicas tecnicas</t>
  </si>
  <si>
    <t>48V/190 Ah</t>
  </si>
  <si>
    <t>2G / 3G / 4G</t>
  </si>
  <si>
    <t>BTS espacio requerido en la caseta</t>
  </si>
  <si>
    <t>BTS espacio requerido en el exterior</t>
  </si>
  <si>
    <t>700 para la porta, 200 atras</t>
  </si>
  <si>
    <t>700 para la porta, se recomienda 1000; 100mm de espacio contra la pared</t>
  </si>
  <si>
    <t>150mm de distancia para otro cabinet, cumplindo requerimientos para temblores</t>
  </si>
  <si>
    <t>500mm requeridos</t>
  </si>
  <si>
    <t>300mm requeridos</t>
  </si>
  <si>
    <t>Para cumplir con requerimientos de temblores (150mm para cada lado)</t>
  </si>
  <si>
    <t>2G</t>
  </si>
  <si>
    <t>3x2 RUG (Even
Allocation, BCCH@P1</t>
  </si>
  <si>
    <t>W</t>
  </si>
  <si>
    <t>Consumo energia</t>
  </si>
  <si>
    <t>Configuración radio</t>
  </si>
  <si>
    <t>3x4 RUG (Even
Allocation, BCCH@P0)</t>
  </si>
  <si>
    <t>3G</t>
  </si>
  <si>
    <t>3x1 20 W</t>
  </si>
  <si>
    <t>3x1 40 W</t>
  </si>
  <si>
    <t>3x1 60 W</t>
  </si>
  <si>
    <t>1x1 60 W (splitter-omni)</t>
  </si>
  <si>
    <t>3x2 20 W</t>
  </si>
  <si>
    <t>3x2 40 W dual TX</t>
  </si>
  <si>
    <t>3x2 60 W dual TX</t>
  </si>
  <si>
    <t>3x2 10 W single TX</t>
  </si>
  <si>
    <t>3x2 20 W single TX</t>
  </si>
  <si>
    <t>3x2 30 W single TX</t>
  </si>
  <si>
    <t>4G</t>
  </si>
  <si>
    <t>3 x 20 MHz MIMO 20 + 20 W</t>
  </si>
  <si>
    <t>3 x 20 MHz MIMO 40 + 60 W</t>
  </si>
  <si>
    <t>3 x 20 MHz MIMO 60 + 60 W</t>
  </si>
  <si>
    <t>1 x 20 MHz MIMO 60 + 60 W (splitter-omni)</t>
  </si>
  <si>
    <t>Ah</t>
  </si>
  <si>
    <t>V</t>
  </si>
  <si>
    <t>Wh</t>
  </si>
  <si>
    <t>Área requerida BTS indoor</t>
  </si>
  <si>
    <t>Área requerida BTS outdoor</t>
  </si>
  <si>
    <t>48V/680 Ah</t>
  </si>
  <si>
    <t>Power factor</t>
  </si>
  <si>
    <t>power</t>
  </si>
  <si>
    <t>minutes</t>
  </si>
  <si>
    <t>demanda.CS1.activo</t>
  </si>
  <si>
    <t>demanda.CS2.activo</t>
  </si>
  <si>
    <t>Predio con caseta del AEP</t>
  </si>
  <si>
    <t>Demanda del CS1</t>
  </si>
  <si>
    <t>Demanda del CS2</t>
  </si>
  <si>
    <t>Demanda de los CS</t>
  </si>
  <si>
    <t>Slope:</t>
  </si>
  <si>
    <t>y1</t>
  </si>
  <si>
    <t>y2</t>
  </si>
  <si>
    <t>x1</t>
  </si>
  <si>
    <t>x2</t>
  </si>
  <si>
    <t>Equation</t>
  </si>
  <si>
    <t>Hours</t>
  </si>
  <si>
    <t>Consumo de energia en tráfego</t>
  </si>
  <si>
    <t>Interno (BBU)</t>
  </si>
  <si>
    <t>Externo (BBS)</t>
  </si>
  <si>
    <t>Consumo energia - Urbano</t>
  </si>
  <si>
    <t>2G/3G</t>
  </si>
  <si>
    <t>Consumo energia - Rural</t>
  </si>
  <si>
    <t>Power consumption</t>
  </si>
  <si>
    <t>BBU (small unit) - 2G/3G urban</t>
  </si>
  <si>
    <t>BBS (big unit) - 2G/3G rural</t>
  </si>
  <si>
    <t>BBU (small unit) -4G urban</t>
  </si>
  <si>
    <t>BTS dimensiones equipo</t>
  </si>
  <si>
    <t>Espacio solicitado</t>
  </si>
  <si>
    <t>área requerida</t>
  </si>
  <si>
    <t>Panel de distribuición de energia - CS1</t>
  </si>
  <si>
    <t>Panel de distribuición de energia - CS2</t>
  </si>
  <si>
    <t>Check</t>
  </si>
  <si>
    <t>demanda.CS3.activo</t>
  </si>
  <si>
    <t>lista.comparticion.caseta</t>
  </si>
  <si>
    <t>Caseta del AEP</t>
  </si>
  <si>
    <t>Caseta compartida CS</t>
  </si>
  <si>
    <t>Caseta independiente</t>
  </si>
  <si>
    <t>caseta.AEP.activo</t>
  </si>
  <si>
    <t>indoor.outdoor.CS1.activo</t>
  </si>
  <si>
    <t>indoor.outdoor.CS2.activo</t>
  </si>
  <si>
    <t>indoor.outdoor.CS3.activo</t>
  </si>
  <si>
    <t>Comparticion de la caseta (shelter)</t>
  </si>
  <si>
    <t>comparticion.caseta.CS1</t>
  </si>
  <si>
    <t>comparticion.caseta.CS2</t>
  </si>
  <si>
    <t>comparticion.caseta.CS3</t>
  </si>
  <si>
    <t>Demanda del CS3</t>
  </si>
  <si>
    <t>Caseta</t>
  </si>
  <si>
    <t>markup.operacion.caseta</t>
  </si>
  <si>
    <t>Área usable de la caseta (Indoor)</t>
  </si>
  <si>
    <t>CS1</t>
  </si>
  <si>
    <t>Compartición de caseta con el AEP</t>
  </si>
  <si>
    <t>CS2</t>
  </si>
  <si>
    <t>CS3</t>
  </si>
  <si>
    <t>Panel de distribuición de energia - CS3</t>
  </si>
  <si>
    <t>Número de casetas de los CS</t>
  </si>
  <si>
    <t>Caseta compartida con CS o independiente</t>
  </si>
  <si>
    <t>Área ocupada caseta CS1</t>
  </si>
  <si>
    <t>Área ocupada caseta CS2</t>
  </si>
  <si>
    <t>Área ocupada casetas</t>
  </si>
  <si>
    <t>area.BTS.indoor</t>
  </si>
  <si>
    <t>area.BTS.outdoor</t>
  </si>
  <si>
    <t>Backup (horas) en zonas urbanas</t>
  </si>
  <si>
    <t>h</t>
  </si>
  <si>
    <t>backup.minimo.urbano</t>
  </si>
  <si>
    <t>backup.minimo.rural</t>
  </si>
  <si>
    <t>BBS (big unit) - 4G rural</t>
  </si>
  <si>
    <t>consumo.energia.2G.3G.urbano</t>
  </si>
  <si>
    <t>consumo.energia.4G.urbano</t>
  </si>
  <si>
    <t>consumo.energia.2G.3G.rural</t>
  </si>
  <si>
    <t>consumo.energia.4G.rural</t>
  </si>
  <si>
    <t>Backup (horas) en zonas rurales</t>
  </si>
  <si>
    <t>BBU (small unit) - 2G/3G rural</t>
  </si>
  <si>
    <t>BBU (small unit) -4G rural</t>
  </si>
  <si>
    <t>Espacio requerido para baterias - AEP</t>
  </si>
  <si>
    <t>BBS (big unit) - 2G/3G urban</t>
  </si>
  <si>
    <t>BBS (big unit) - 4G urban</t>
  </si>
  <si>
    <t>BBU (small unit) - 4G rural</t>
  </si>
  <si>
    <t>Espacio requerido para baterias - CS1</t>
  </si>
  <si>
    <t>Espacio requerido para baterias - CS2</t>
  </si>
  <si>
    <t>Capacidad de baterias de respaldo excedentaria</t>
  </si>
  <si>
    <t>Se asume configuracion 2/2/2 para 2G y 1 carrier para 3G</t>
  </si>
  <si>
    <t>Se asume configuracion 4/4/4 para 2G y 2 carrier para 3G</t>
  </si>
  <si>
    <t>Capacidad total de BBS</t>
  </si>
  <si>
    <t>BBS capacity - rural</t>
  </si>
  <si>
    <t>BBS capacity - urban</t>
  </si>
  <si>
    <t>BBS.capacity.rural</t>
  </si>
  <si>
    <t>BBS.capacity.urban</t>
  </si>
  <si>
    <t>Posibilidad de compartir capacidad de FER?</t>
  </si>
  <si>
    <t>Compartición con el AEP?</t>
  </si>
  <si>
    <t>Capacidad compartida</t>
  </si>
  <si>
    <t>Capacidad de BBS disponible del AEP</t>
  </si>
  <si>
    <t>Utilizar la capacidad del AEP</t>
  </si>
  <si>
    <t>posibilidad.compartir.caseta.CS2</t>
  </si>
  <si>
    <t>utilizar.capacidad.CS1</t>
  </si>
  <si>
    <t>utilizar.capacidad.CS2</t>
  </si>
  <si>
    <t>utilizar.capacidad.CS3</t>
  </si>
  <si>
    <t>Actualizar selección</t>
  </si>
  <si>
    <t>actualizar.seleccion</t>
  </si>
  <si>
    <t>posibilidad.compartir.caseta.CS1</t>
  </si>
  <si>
    <t>posibilidad.compartir.caseta.CS3</t>
  </si>
  <si>
    <t>Unidad extra de FER</t>
  </si>
  <si>
    <t>Demanda de BBS</t>
  </si>
  <si>
    <t>demanda.BBS</t>
  </si>
  <si>
    <t>demanda.BBS.CS1</t>
  </si>
  <si>
    <t>demanda.BBS.CS2</t>
  </si>
  <si>
    <t>demanda.BBS.CS3</t>
  </si>
  <si>
    <t>Espacio requerido para baterias - CS3</t>
  </si>
  <si>
    <t>Espacio caseta AEP solicitado por los CS</t>
  </si>
  <si>
    <t>Área ocupada caseta CS3</t>
  </si>
  <si>
    <t>Antenas RF</t>
  </si>
  <si>
    <t>Antenas MW</t>
  </si>
  <si>
    <t>Numero de caseta AEP</t>
  </si>
  <si>
    <t>0= outdoor o caseta compartida con el AEP; 1= compartida con CS, 2= independiente</t>
  </si>
  <si>
    <t>Caseta (shelter) AEP</t>
  </si>
  <si>
    <t>Caseta (shelter) CSs</t>
  </si>
  <si>
    <t>Dimensiones Antenas</t>
  </si>
  <si>
    <t>antenas.RF.AEP</t>
  </si>
  <si>
    <t>antenas.MW.AEP</t>
  </si>
  <si>
    <t>antenas.RF.CS1</t>
  </si>
  <si>
    <t>antenas.MW.CS1</t>
  </si>
  <si>
    <t>antenas.RF.CS2</t>
  </si>
  <si>
    <t>antenas.MW.CS2</t>
  </si>
  <si>
    <t>antenas.RF.CS3</t>
  </si>
  <si>
    <t>antenas.MW.CS3</t>
  </si>
  <si>
    <t>espacio.vertical.AEP</t>
  </si>
  <si>
    <t>espacio.vertical.CS1</t>
  </si>
  <si>
    <t>espacio.vertical.CS2</t>
  </si>
  <si>
    <t>espacio.vertical.CS3</t>
  </si>
  <si>
    <t>CAPEX unitario de adquisicion (MXN/m2)</t>
  </si>
  <si>
    <t>CAPEX unitario (MXN/ton)</t>
  </si>
  <si>
    <t>ID del predio</t>
  </si>
  <si>
    <t>ID de la torre</t>
  </si>
  <si>
    <t>id.predio.activo</t>
  </si>
  <si>
    <t>id.torre.activo</t>
  </si>
  <si>
    <t>Identificador</t>
  </si>
  <si>
    <t>identificador.predio</t>
  </si>
  <si>
    <t>capex.unitario.obras.adecuacion</t>
  </si>
  <si>
    <t>capex.unitario.acquisicion.predio</t>
  </si>
  <si>
    <t>Vida util restante</t>
  </si>
  <si>
    <t>vida.util.predio</t>
  </si>
  <si>
    <t>vida.util.restante.predio</t>
  </si>
  <si>
    <t>opex.anual.alquiler.predio</t>
  </si>
  <si>
    <t>opex.anual.mantenimiento.predio</t>
  </si>
  <si>
    <t>capex.unitario.torre</t>
  </si>
  <si>
    <t>opex.mantenimiento.torre</t>
  </si>
  <si>
    <t>capex.unitario.shelter</t>
  </si>
  <si>
    <t>opex.anual.alquiler.shelter</t>
  </si>
  <si>
    <t>opex.anual.mantenimiento.shelter</t>
  </si>
  <si>
    <t>identificador.torre</t>
  </si>
  <si>
    <t>vida.util.torre</t>
  </si>
  <si>
    <t>vida.util.restante.torre</t>
  </si>
  <si>
    <t>vida.util.caseta.AEP</t>
  </si>
  <si>
    <t>vida.util.restante.caseta.AEP</t>
  </si>
  <si>
    <t>Overhead mark-up capex</t>
  </si>
  <si>
    <t>Overhead mark-up opex</t>
  </si>
  <si>
    <t>markup.overhead.capex</t>
  </si>
  <si>
    <t>markup.overhead.opex</t>
  </si>
  <si>
    <t>identificador.caseta.AEP</t>
  </si>
  <si>
    <t>Panel de energia del AEP</t>
  </si>
  <si>
    <t>vida.util.nicho.acometida</t>
  </si>
  <si>
    <t>vida.util.restante.nicho.acometida</t>
  </si>
  <si>
    <t xml:space="preserve">Panel de distribuición de energia </t>
  </si>
  <si>
    <t>Gastos incluidos</t>
  </si>
  <si>
    <t>vida.util.fuente.energia.respaldo</t>
  </si>
  <si>
    <t>vida.util.restante.fuente.energia.respaldo</t>
  </si>
  <si>
    <t>CSs</t>
  </si>
  <si>
    <t>Espacio requerido para baterias</t>
  </si>
  <si>
    <t>vida.util.aire.acondicionado</t>
  </si>
  <si>
    <t>vida.util.restante.aire.acondicionado</t>
  </si>
  <si>
    <t>capex.unitario.fuente.energia.respaldo</t>
  </si>
  <si>
    <t>capex.unitario.aire.acondicionado</t>
  </si>
  <si>
    <t>Opex</t>
  </si>
  <si>
    <t>Gasto annual</t>
  </si>
  <si>
    <t>Gasto annual incluido</t>
  </si>
  <si>
    <t>Asignacion de gastos</t>
  </si>
  <si>
    <t>Inclusion de gastos</t>
  </si>
  <si>
    <t>vida.util.panel.distribuicion.energia</t>
  </si>
  <si>
    <t>vida.util.restante.panel.distribuicion.energia</t>
  </si>
  <si>
    <t>vida.util.caseta.CS</t>
  </si>
  <si>
    <t>vida.util.restante.caseta.CS</t>
  </si>
  <si>
    <t>capex.unitario.caseta.CS</t>
  </si>
  <si>
    <t>opex.anual.alquiler.caseta.CS</t>
  </si>
  <si>
    <t>opex.anual.mantenimiento.caseta.CS</t>
  </si>
  <si>
    <t>capex.unitario.panel.energia</t>
  </si>
  <si>
    <t>opex.anual.mantenimiento.panel.energia</t>
  </si>
  <si>
    <t>capex.unitario.panel.distribucion.energia</t>
  </si>
  <si>
    <t>opex.anual.mantenimiento.panel.distribuicion.energia</t>
  </si>
  <si>
    <t>opex.anual.mantenimiento.fuente.energia.respaldo</t>
  </si>
  <si>
    <t>opex.anual.mantenimiento.aire.acondicionado</t>
  </si>
  <si>
    <t>Inclusion CS1</t>
  </si>
  <si>
    <t>Inclusion CS2</t>
  </si>
  <si>
    <t>Inclusion CS3</t>
  </si>
  <si>
    <t>Componentes del predio</t>
  </si>
  <si>
    <t>Área no construida / libre</t>
  </si>
  <si>
    <t>componentes.predio</t>
  </si>
  <si>
    <t>Componentes de la caseta AEP</t>
  </si>
  <si>
    <t>Espacio para AEP</t>
  </si>
  <si>
    <t>Espacio para CS1</t>
  </si>
  <si>
    <t>Espacio para CS2</t>
  </si>
  <si>
    <t>Espacio para CS3</t>
  </si>
  <si>
    <t>Espacio libre</t>
  </si>
  <si>
    <t>componentes.caseta.AEP</t>
  </si>
  <si>
    <t>Componentes de la torre</t>
  </si>
  <si>
    <t>Inclusion</t>
  </si>
  <si>
    <t>inclusion</t>
  </si>
  <si>
    <t>Espacio utilizado por el CS1</t>
  </si>
  <si>
    <t>Espacio utilizado por el CS2</t>
  </si>
  <si>
    <t>Espacio utilizado por el CS3</t>
  </si>
  <si>
    <t>componentes.torre</t>
  </si>
  <si>
    <t>Datos del panel de control: las opciones activadas tiene que ser comparticion de caseta con el AEP y colocacion indoor</t>
  </si>
  <si>
    <t>Datos del panel de control: las opciones activadas tiene que ser o comparticion de caseta con el CS o caseta independiente y colocacion indoor</t>
  </si>
  <si>
    <t>Datos del panel de control</t>
  </si>
  <si>
    <t>C1 activo</t>
  </si>
  <si>
    <t>CS2 activo</t>
  </si>
  <si>
    <t>CS3 activo</t>
  </si>
  <si>
    <t>cs1.activo</t>
  </si>
  <si>
    <t>cs2.activo</t>
  </si>
  <si>
    <t>cs3.activo</t>
  </si>
  <si>
    <t>Se el operador esta activo, tendra panel principal</t>
  </si>
  <si>
    <t>Se el operador esta activo, tendra panel secundario</t>
  </si>
  <si>
    <t>Precio unitario</t>
  </si>
  <si>
    <t>Costo unitario anual</t>
  </si>
  <si>
    <t>Desglose de gastos anuales</t>
  </si>
  <si>
    <t>área antenas</t>
  </si>
  <si>
    <t>area.antennas</t>
  </si>
  <si>
    <t>1= 1 CS, 2= 2CS, 3= 3 CS</t>
  </si>
  <si>
    <t>Cantidad</t>
  </si>
  <si>
    <t>Asignacion de la demanda total de todos los operadores</t>
  </si>
  <si>
    <t>Antenas RF del CS1</t>
  </si>
  <si>
    <t>Componentes (antenas) de la torre</t>
  </si>
  <si>
    <t>Antenas RF del CS2</t>
  </si>
  <si>
    <t>Antenas RF del CS3</t>
  </si>
  <si>
    <t>Antenas MW del CS1</t>
  </si>
  <si>
    <t>Antenas MW del CS2</t>
  </si>
  <si>
    <t>Antenas MW del CS3</t>
  </si>
  <si>
    <t>Espacio de utilización</t>
  </si>
  <si>
    <t>Servicios</t>
  </si>
  <si>
    <t>servicios</t>
  </si>
  <si>
    <t>predio.activo</t>
  </si>
  <si>
    <t>MXN/año/m2</t>
  </si>
  <si>
    <t>MXN/año/tons</t>
  </si>
  <si>
    <t>MXN/año/#</t>
  </si>
  <si>
    <t>Información previa</t>
  </si>
  <si>
    <t>Área requerida BBS indoor</t>
  </si>
  <si>
    <t>Área y capacidad de la caseta del AEP</t>
  </si>
  <si>
    <t>Verificación si el AEP utiliza caseta</t>
  </si>
  <si>
    <t>Verificación si el CS1 utiliza caseta</t>
  </si>
  <si>
    <t>Verificación si el CS1 comparte caseta con el AEP</t>
  </si>
  <si>
    <t>Dimensionado de BTS en la caseta del AEP</t>
  </si>
  <si>
    <t>Dimensionado de BBS en la caseta del AEP</t>
  </si>
  <si>
    <t>Área requerida BBS indoor - AEP</t>
  </si>
  <si>
    <t>Área requerida BBS indoor - CS1</t>
  </si>
  <si>
    <t>Área requerida BBS indoor - CS2</t>
  </si>
  <si>
    <t>Área requerida BBS indoor - CS3</t>
  </si>
  <si>
    <t>Si el AEP utiliza caseta, la area requerida es igual al producto de la demanda de BTS con la area de la BTS (dimensiones standard)</t>
  </si>
  <si>
    <t>Si el CS utiliza caseta y comparte caseta con el AEP, la area requerida es igual al producto de la demanda de BTS con la area de la BTS (dimensiones standard)</t>
  </si>
  <si>
    <t>Si el AEP utiliza caseta, la area requerida para la BBS es igual al la area de las unidades de BBS que el AEP requiere</t>
  </si>
  <si>
    <t>Dimensionado de nicho de acometida en la caseta del AEP (caso no haya predio)</t>
  </si>
  <si>
    <t>Nota: El nicho de acometida estará en la caseta solo si no hay predio</t>
  </si>
  <si>
    <t>Caseta AEP - area outdoor</t>
  </si>
  <si>
    <t>Espacio requerido outdoor - AEP</t>
  </si>
  <si>
    <t>Equipos BBS outdoor - area requerida</t>
  </si>
  <si>
    <t>En caso del AEP no utilizar caseta, entonces el espacio requerido por el AEP para las BBS sera outdoor</t>
  </si>
  <si>
    <t>En caso del AEP no utilizar caseta, entonces el espacio requerido por el AEP para las BTS sera outdoor</t>
  </si>
  <si>
    <t>Output - suma de demanda de los CS</t>
  </si>
  <si>
    <t>Área requerida BTS outdoor - CS1</t>
  </si>
  <si>
    <t>Área requerida BTS outdoor - CS2</t>
  </si>
  <si>
    <t>Área requerida BTS outdoor - CS3</t>
  </si>
  <si>
    <t>Casetas del los CS - dimensiones exteriores</t>
  </si>
  <si>
    <t>Casetas del los CS - utilizacion indoor</t>
  </si>
  <si>
    <t>Posibilidad compartir caseta</t>
  </si>
  <si>
    <t>Área requerida BBS outdoor - CS1</t>
  </si>
  <si>
    <t>Área requerida BBS outdoor - CS2</t>
  </si>
  <si>
    <t>Área requerida BBS outdoor - CS3</t>
  </si>
  <si>
    <t>Área requerida BBS outdoor</t>
  </si>
  <si>
    <t>CAPEX unitario de adquisicion (MXN/m2) - Año activo</t>
  </si>
  <si>
    <t>CAPEX unitario (MXN/ton) - Año activo</t>
  </si>
  <si>
    <t>OPEX anual alquiler (MXN/año/m2) - Año activo</t>
  </si>
  <si>
    <t>OPEX de mantenimiento (MXN/año/m2)  - Año activo</t>
  </si>
  <si>
    <t>OPEX de mantenimiento (MXN/año) - Año activo</t>
  </si>
  <si>
    <t>CAPEX unitario obras civiles de adecuacion (MXN/m2)</t>
  </si>
  <si>
    <t>MXN/tons</t>
  </si>
  <si>
    <t>Capex total</t>
  </si>
  <si>
    <t>Unidad opex unitario 1</t>
  </si>
  <si>
    <t>Unidad opex unitario 2</t>
  </si>
  <si>
    <t>Área requerida por CS1 en caseta de AEP</t>
  </si>
  <si>
    <t>Área requerida por CS2 en caseta de AEP</t>
  </si>
  <si>
    <t>Área requerida por CS3 en caseta de AEP</t>
  </si>
  <si>
    <t># de unidades</t>
  </si>
  <si>
    <t># de cabinets</t>
  </si>
  <si>
    <t>Demanda de espacio en piso</t>
  </si>
  <si>
    <t>Caseta adicional al del AEP requerida</t>
  </si>
  <si>
    <t>Caseta adicional a la del AEP o CS requerida</t>
  </si>
  <si>
    <t>Capacidad excedentaria disponible para CS1</t>
  </si>
  <si>
    <t>Capacidad excedentaria disponible para CS2</t>
  </si>
  <si>
    <t>Capacidad excedentaria disponible para CS3</t>
  </si>
  <si>
    <t>El área de las BBS es la misma que el área de las BTS</t>
  </si>
  <si>
    <t>Factor de carga del aire acondicionado</t>
  </si>
  <si>
    <t>Capacidad de aire acondicionado requerida / utilizada por unidad de superficie (tons/m2 )</t>
  </si>
  <si>
    <t>Número de CS</t>
  </si>
  <si>
    <t>Demanda de cabinets (BTS) del AEP</t>
  </si>
  <si>
    <t>Demanda de cabinets (BTS) del CS 1</t>
  </si>
  <si>
    <t>Demanda de cabinets (BTS) del CS 2</t>
  </si>
  <si>
    <t>Demanda de cabinets (BTS) del CS 3</t>
  </si>
  <si>
    <t>Azotea</t>
  </si>
  <si>
    <t>Teniendo en cuenta las dimensiones standard del shelter y de las BTS (con espacio de manobra), la capacidad de la caseta es de 16 unidades, a que se retiran 2 unidades para la utilizacion de la puerta principal</t>
  </si>
  <si>
    <t>Demanda de espacio en torre</t>
  </si>
  <si>
    <t>Espacio vertical linear en torre requerido</t>
  </si>
  <si>
    <t>Mark-up area predio urbano -&gt; area predio rural</t>
  </si>
  <si>
    <t>Mark-up de gastos comunes - capex y opex</t>
  </si>
  <si>
    <t>Aire acondicionado presente</t>
  </si>
  <si>
    <t>aire.acondicionado.activo</t>
  </si>
  <si>
    <t>Capacidad de aire acondicionado requerida / utilizada por unidad de superficie (tons/m2)</t>
  </si>
  <si>
    <t>Servicio --&gt;</t>
  </si>
  <si>
    <t>Asignacion de servicios</t>
  </si>
  <si>
    <t>Consideramos que se un operador esta activo, ocupara espacio en torre</t>
  </si>
  <si>
    <t>Se comparte aire acondicionado si el CS estuvier en la caseta del AEP que tenga aire acondicionado y que se pueda compartir</t>
  </si>
  <si>
    <t>Consideramos que se un operador esta activo y existe predio, se asignara tambien espacio vacante.</t>
  </si>
  <si>
    <t>Nota:</t>
  </si>
  <si>
    <t>area.total.predio</t>
  </si>
  <si>
    <t>area.torre</t>
  </si>
  <si>
    <t>area.outdoor.caseta.AEP</t>
  </si>
  <si>
    <t>area.outdoor.casetas.CS</t>
  </si>
  <si>
    <t>area.BTS.outdoor.AEP</t>
  </si>
  <si>
    <t>area.BBS.outdoor.AEP</t>
  </si>
  <si>
    <t>area.BTSs.outdoor.CSs</t>
  </si>
  <si>
    <t>area.BBSs.outdoor.CSs</t>
  </si>
  <si>
    <t>area.outdoor.nicho.acometida.principal</t>
  </si>
  <si>
    <t>area.outdoor.nicho.acometida.secundaria.AEP</t>
  </si>
  <si>
    <t>area.ocupada.predio</t>
  </si>
  <si>
    <t>Total de demanda de antenas</t>
  </si>
  <si>
    <t>demanda.antenas.total</t>
  </si>
  <si>
    <t>Se asigna de acuerdo con el número de antenas (demanda) de cada operador</t>
  </si>
  <si>
    <t>Suma de todos los elementos</t>
  </si>
  <si>
    <t>area.BTS.outdoor.CS1</t>
  </si>
  <si>
    <t>area.BTS.outdoor.CS2</t>
  </si>
  <si>
    <t>area.BTS.outdoor.CS3</t>
  </si>
  <si>
    <t>Area de los equipos BTS outdoor</t>
  </si>
  <si>
    <t>Se asigna de acuerdo con el número de CSs</t>
  </si>
  <si>
    <t>Inclusion AEP</t>
  </si>
  <si>
    <t>area.outdoor.nicho.acometida.secundaria.CS1</t>
  </si>
  <si>
    <t>area.outdoor.nicho.acometida.secundaria.CS2</t>
  </si>
  <si>
    <t>area.outdoor.nicho.acometida.secundaria.CS3</t>
  </si>
  <si>
    <t>area.BBS.outdoor.CS1</t>
  </si>
  <si>
    <t>area.BBS.outdoor.CS2</t>
  </si>
  <si>
    <t>area.BBS.outdoor.CS3</t>
  </si>
  <si>
    <t>area.BTS.indoor.AEP.caseta.AEP</t>
  </si>
  <si>
    <t>Espacio caseta AEP - demanda de BTS</t>
  </si>
  <si>
    <t>area.BTS.indoor.CS1.caseta.AEP</t>
  </si>
  <si>
    <t>area.BTS.indoor.CS2.caseta.AEP</t>
  </si>
  <si>
    <t>area.BTS.indoor.CS3.caseta.AEP</t>
  </si>
  <si>
    <t>area.BTS.indoor.CSs.caseta.AEP</t>
  </si>
  <si>
    <t>area.BTS.indoor.total.caseta.AEP</t>
  </si>
  <si>
    <t>area.BBS.indoor.AEP.caseta.AEP</t>
  </si>
  <si>
    <t>area.BBS.indoor.CS1.caseta.AEP</t>
  </si>
  <si>
    <t>area.BBS.indoor.CS2.caseta.AEP</t>
  </si>
  <si>
    <t>area.BBS.indoor.CS3.caseta.AEP</t>
  </si>
  <si>
    <t>area.nicho.acometida.indoor.caseta.AEP</t>
  </si>
  <si>
    <t>area.nicho.acometida.secundaria.indoor.AEP.caseta.AEP</t>
  </si>
  <si>
    <t>area.nicho.acometida.secundaria.indoor.CS1.caseta.AEP</t>
  </si>
  <si>
    <t>area.nicho.acometida.secundaria.indoor.CS2.caseta.AEP</t>
  </si>
  <si>
    <t>area.nicho.acometida.secundaria.indoor.CS3.caseta.AEP</t>
  </si>
  <si>
    <t>area.usable.indoor.caseta</t>
  </si>
  <si>
    <t>area.exterior.caseta</t>
  </si>
  <si>
    <t>area.outdoor.caseta.CS1</t>
  </si>
  <si>
    <t>area.outdoor.caseta.CS2</t>
  </si>
  <si>
    <t>area.outdoor.caseta.CS3</t>
  </si>
  <si>
    <t>area.BTS.indoor.CS1.caseta.CS</t>
  </si>
  <si>
    <t>area.BTS.indoor.CS2.caseta.CS</t>
  </si>
  <si>
    <t>area.BBS.indoor.CS1.caseta.CS</t>
  </si>
  <si>
    <t>area.BBS.indoor.CS2.caseta.CS</t>
  </si>
  <si>
    <t>area.BBS.indoor.CS3.caseta.CS</t>
  </si>
  <si>
    <t>area.BTS.indoor.CS3.caseta.CS</t>
  </si>
  <si>
    <t>capacidad.total.BBS.AEP</t>
  </si>
  <si>
    <t>capacidad.BBS.demandada.AEP</t>
  </si>
  <si>
    <t>capacidad.BBS.compartida.CS1</t>
  </si>
  <si>
    <t>capacidad.BBS.compartida.CS2</t>
  </si>
  <si>
    <t>capacidad.BBS.compartida.CS3</t>
  </si>
  <si>
    <t>capacidad.aire.acondicionado.utilizada</t>
  </si>
  <si>
    <t>El utilizador debe especificar el espacio requerido</t>
  </si>
  <si>
    <t>Mark-up Capacidad utilizada -&gt; Capacidad total</t>
  </si>
  <si>
    <t>Area indoor (en unidades) necesaria para operacion</t>
  </si>
  <si>
    <t>Costos unitarios en Azotea de Telmex / Telnor</t>
  </si>
  <si>
    <t>Opción de costos unitarios en azotea de Telmex / Telenor</t>
  </si>
  <si>
    <t>opcion.costo.unitario.azotea.telmex.telnor</t>
  </si>
  <si>
    <t>Precio de mercado</t>
  </si>
  <si>
    <t>Sin costo</t>
  </si>
  <si>
    <t xml:space="preserve">Costos de la OR </t>
  </si>
  <si>
    <t>opcion.costo.unitario.azotea.telmex.telnor.activo</t>
  </si>
  <si>
    <t>Plancha de concreto - Equipos outdoor (BTS/BBS)</t>
  </si>
  <si>
    <t>CS</t>
  </si>
  <si>
    <t>BTS</t>
  </si>
  <si>
    <t>BBS</t>
  </si>
  <si>
    <t>Check de demanda para compartición de caseta</t>
  </si>
  <si>
    <t>Potencia total requerida por el AEP</t>
  </si>
  <si>
    <t>CAPEX unitario por caseta (contenedor metalico) - Adquisicion + Instalacion + Obras Civiles</t>
  </si>
  <si>
    <t>CAPEX unitario (MXN) - Año activo</t>
  </si>
  <si>
    <t>OPEX anual alquiler (MXN/año)</t>
  </si>
  <si>
    <t>OPEX anual alquiler (MXN/año) - Año activo</t>
  </si>
  <si>
    <t>identificador.caseta.CS</t>
  </si>
  <si>
    <t>Plancha de concreto</t>
  </si>
  <si>
    <t>capex.unitario.plancha.concreto</t>
  </si>
  <si>
    <t>opex.anual.mantenimiento.plancha.concreto</t>
  </si>
  <si>
    <t>vida.util.plancha.concreto</t>
  </si>
  <si>
    <t>vida.util.restante.plancha.concreto</t>
  </si>
  <si>
    <t>CAPEX unitario - adquisicion + instalacion + obras civiles (MXN)</t>
  </si>
  <si>
    <t>Unidad capex unitario</t>
  </si>
  <si>
    <t>Obras civiles</t>
  </si>
  <si>
    <t>Adquisicion</t>
  </si>
  <si>
    <t>Alquiler</t>
  </si>
  <si>
    <t>Mantenimiento</t>
  </si>
  <si>
    <t>unidades.caseta.AEP</t>
  </si>
  <si>
    <t>unidades.caseta.CS</t>
  </si>
  <si>
    <t>Unidades requeridas BTS indoor</t>
  </si>
  <si>
    <t>unidades.BTS.indoor.AEP.caseta.AEP</t>
  </si>
  <si>
    <t>unidades.BTS.indoor.CS1.caseta.AEP</t>
  </si>
  <si>
    <t>Unidades requeridas por CS1 en caseta de AEP</t>
  </si>
  <si>
    <t>unidades.BTS.indoor.CS2.caseta.AEP</t>
  </si>
  <si>
    <t>Unidades requeridas por CS2 en caseta de AEP</t>
  </si>
  <si>
    <t>Unidades requeridas por CS3 en caseta de AEP</t>
  </si>
  <si>
    <t>unidades.BTS.indoor.CS3.caseta.AEP</t>
  </si>
  <si>
    <t>Unidades de BTS en caseta AEP solicitado por los CS</t>
  </si>
  <si>
    <t>Demanda de BTS (unidades) en la caseta AEP</t>
  </si>
  <si>
    <t>unidades.BTS.indoor.CSs.caseta.AEP</t>
  </si>
  <si>
    <t>unidades.BTS.indoor.total.caseta.AEP</t>
  </si>
  <si>
    <t>Área</t>
  </si>
  <si>
    <t>Unidades</t>
  </si>
  <si>
    <t>Unidades requeridas BBS indoor - AEP</t>
  </si>
  <si>
    <t>Unidades requeridas BBS indoor - CS1</t>
  </si>
  <si>
    <t>Unidades requeridas BBS indoor - CS2</t>
  </si>
  <si>
    <t>Unidades requeridas BBS indoor - CS3</t>
  </si>
  <si>
    <t>unidades.BBS.indoor.AEP.caseta.AEP</t>
  </si>
  <si>
    <t>unidades.BBS.indoor.CS1.caseta.AEP</t>
  </si>
  <si>
    <t>unidades.BBS.indoor.CS2.caseta.AEP</t>
  </si>
  <si>
    <t>unidades.BBS.indoor.CS3.caseta.AEP</t>
  </si>
  <si>
    <t>unidades.nicho.acometida.indoor.caseta.AEP</t>
  </si>
  <si>
    <t>unidades.nicho.acometida.secundaria.indoor.AEP.caseta.AEP</t>
  </si>
  <si>
    <t>unidades.nicho.acometida.secundaria.indoor.CS1.caseta.AEP</t>
  </si>
  <si>
    <t>unidades.nicho.acometida.secundaria.indoor.CS2.caseta.AEP</t>
  </si>
  <si>
    <t>unidades.nicho.acometida.secundaria.indoor.CS3.caseta.AEP</t>
  </si>
  <si>
    <t>unidad.caseta.CS.CS1</t>
  </si>
  <si>
    <t>unidad.caseta.CS.CS2</t>
  </si>
  <si>
    <t>unidad.caseta.CS.CS3</t>
  </si>
  <si>
    <t>Equipos BTS outdoor</t>
  </si>
  <si>
    <t>Unidades requerida BTS outdoor</t>
  </si>
  <si>
    <t>Unidades requerida BBS outdoor</t>
  </si>
  <si>
    <t>unidades.BTS.outdoor.AEP</t>
  </si>
  <si>
    <t>unidades.BBS.outdoor.AEP</t>
  </si>
  <si>
    <t>Unidades requeridas BTS outdoor</t>
  </si>
  <si>
    <t>Unidades requeridas BBS outdoor</t>
  </si>
  <si>
    <t>unidades.BTSs.outdoor.CSs</t>
  </si>
  <si>
    <t>unidades.BBSs.outdoor.CSs</t>
  </si>
  <si>
    <t>Unidades requeridas BTS outdoor - CS1</t>
  </si>
  <si>
    <t>Unidades requeridas BTS outdoor - CS2</t>
  </si>
  <si>
    <t>Unidades requeridas BTS outdoor - CS3</t>
  </si>
  <si>
    <t>unidades.BTS.outdoor.CS1</t>
  </si>
  <si>
    <t>unidades.BTS.outdoor.CS2</t>
  </si>
  <si>
    <t>unidades.BTS.outdoor.CS3</t>
  </si>
  <si>
    <t>unidades.BBS.outdoor.CS1</t>
  </si>
  <si>
    <t>unidades.BBS.outdoor.CS2</t>
  </si>
  <si>
    <t>unidades.BBS.outdoor.CS3</t>
  </si>
  <si>
    <t>Unidades requeridas BBS outdoor - CS1</t>
  </si>
  <si>
    <t>Unidades requeridas BBS outdoor - CS2</t>
  </si>
  <si>
    <t>Unidades requeridas BBS outdoor - CS3</t>
  </si>
  <si>
    <t>area.standard.nicho.acometida</t>
  </si>
  <si>
    <t>area.standard.nicho.acometida.secundario</t>
  </si>
  <si>
    <t>Nicho de acometida - area</t>
  </si>
  <si>
    <t>Nicho de acometida - unidades</t>
  </si>
  <si>
    <t>unidades.outdoor.nicho.acometida.principal</t>
  </si>
  <si>
    <t>Panel de distribuición de energia - AEP (unidades)</t>
  </si>
  <si>
    <t>Panel de distribuición de energia - AEP (area)</t>
  </si>
  <si>
    <t>unidades.outdoor.nicho.acometida.secundaria.AEP</t>
  </si>
  <si>
    <t>CS (area)</t>
  </si>
  <si>
    <t>CS (unidades)</t>
  </si>
  <si>
    <t>unidades.outdoor.nicho.acometida.secundaria.CS1</t>
  </si>
  <si>
    <t>unidades.outdoor.nicho.acometida.secundaria.CS2</t>
  </si>
  <si>
    <t>unidades.outdoor.nicho.acometida.secundaria.CS3</t>
  </si>
  <si>
    <t>Unidades requeridas BBS indoor</t>
  </si>
  <si>
    <t>unidades.BTS.indoor.CS1.caseta.CS</t>
  </si>
  <si>
    <t>unidades.BBS.indoor.CS1.caseta.CS</t>
  </si>
  <si>
    <t>unidades.BTS.indoor.CS2.caseta.CS</t>
  </si>
  <si>
    <t>unidades.BBS.indoor.CS2.caseta.CS</t>
  </si>
  <si>
    <t>unidades.BTS.indoor.CS3.caseta.CS</t>
  </si>
  <si>
    <t>unidades.BBS.indoor.CS3.caseta.CS</t>
  </si>
  <si>
    <t>unidades.total.BBS.AEP</t>
  </si>
  <si>
    <t>Panel de distribuición de energia - total (unidades)</t>
  </si>
  <si>
    <t>Panel de distribuición de energia - total (area)</t>
  </si>
  <si>
    <t>area.outdoor.nicho.acometida.secundaria.total</t>
  </si>
  <si>
    <t>unidades.outdoor.nicho.acometida.secundaria.total</t>
  </si>
  <si>
    <t>Costos totales incluindo overheads</t>
  </si>
  <si>
    <t>capex.predio</t>
  </si>
  <si>
    <t>opex.predio</t>
  </si>
  <si>
    <t>gasto.anual.predio</t>
  </si>
  <si>
    <t>capex.torre</t>
  </si>
  <si>
    <t>opex.torre</t>
  </si>
  <si>
    <t>gasto.anual.torre</t>
  </si>
  <si>
    <t>capex.caseta.AEP</t>
  </si>
  <si>
    <t>opex.caseta.AEP</t>
  </si>
  <si>
    <t>gasto.anual.caseta.AEP</t>
  </si>
  <si>
    <t>capex.caseta.CS</t>
  </si>
  <si>
    <t>opex.caseta.CS</t>
  </si>
  <si>
    <t>gasto.anual.caseta.CS</t>
  </si>
  <si>
    <t>capex.plancha.concreto</t>
  </si>
  <si>
    <t>opex.plancha.concreto</t>
  </si>
  <si>
    <t>gasto.anual.plancha.concreto</t>
  </si>
  <si>
    <t>capex.nicho.acometida.principal</t>
  </si>
  <si>
    <t>opex.nicho.acometida.principal</t>
  </si>
  <si>
    <t>gasto.anual.nicho.acometida.principal</t>
  </si>
  <si>
    <t>capex.nicho.acometida.secundario</t>
  </si>
  <si>
    <t>opex.nicho.acometida.secundario</t>
  </si>
  <si>
    <t>gasto.anual.nicho.acometida.secundario</t>
  </si>
  <si>
    <t>capex.fuente.energia.respaldo</t>
  </si>
  <si>
    <t>opex.fuente.energia.respaldo</t>
  </si>
  <si>
    <t>gasto.anual.fuente.energia.respaldo</t>
  </si>
  <si>
    <t>capex.aire.acondicionado</t>
  </si>
  <si>
    <t>opex.aire.acondicionado</t>
  </si>
  <si>
    <t>gasto.anual.aire.acondicionado</t>
  </si>
  <si>
    <t>Subelemento</t>
  </si>
  <si>
    <t>Espacio lineal ocupado por antenas</t>
  </si>
  <si>
    <t>Unidades/gabinetes en caseta AEP</t>
  </si>
  <si>
    <t>Unidades/gabinetes outdoor incl. Baterias</t>
  </si>
  <si>
    <t>Unidad por operador activo en sitio con predio</t>
  </si>
  <si>
    <t>Unidad compartida por operadores activos en sitio con predio</t>
  </si>
  <si>
    <t>Demanda para asignacion (unidades de costos)</t>
  </si>
  <si>
    <t>Unidades de casetas</t>
  </si>
  <si>
    <t>Se calcula de acuerdo con el numero de unidades/gabinetes en casetas compartidas o el numero de casetas independientes</t>
  </si>
  <si>
    <t>Unidad compartida por operadores activos</t>
  </si>
  <si>
    <t>Unidad por operador activo</t>
  </si>
  <si>
    <t>Se asigna igualmente la capacidad excendentaria no utilizada</t>
  </si>
  <si>
    <t>Unidades de BBS del AEP</t>
  </si>
  <si>
    <t>Unidades de aire acondicionado del AEP utilizado</t>
  </si>
  <si>
    <t>Drivers para asignacion de costos (unidades)</t>
  </si>
  <si>
    <t>kWh</t>
  </si>
  <si>
    <t>Demanda (1 = Si, 0 = No)</t>
  </si>
  <si>
    <t>MXN/año/kWh</t>
  </si>
  <si>
    <t>Se asignará a cada operador un % de área no construida / libre dependiendo del aréa que cada operador ocupa en el predio</t>
  </si>
  <si>
    <t>Potencia total requerida por el CS1</t>
  </si>
  <si>
    <t>Potencia total requerida por el CS2</t>
  </si>
  <si>
    <t>Potencia total requerida por el CS3</t>
  </si>
  <si>
    <t>Asignacion de costos</t>
  </si>
  <si>
    <t>CAPEX unitario (MXN/kWh) - Año activo</t>
  </si>
  <si>
    <t>Posibilidad</t>
  </si>
  <si>
    <t>capacidad.excedentaria.BBS.para.CS1</t>
  </si>
  <si>
    <t>capacidad.excedentaria.BBS.para.CS2</t>
  </si>
  <si>
    <t>capacidad.excedentaria.BBS.para.CS3</t>
  </si>
  <si>
    <t>CHECK de los parametros eligidos</t>
  </si>
  <si>
    <t>Consideramos que si un operador esta activo, ocupara espacio en torre</t>
  </si>
  <si>
    <t>(1 = Si, 0 = No)</t>
  </si>
  <si>
    <t>Colocación equipos outdoor o indoor</t>
  </si>
  <si>
    <t>Compartición de caseta</t>
  </si>
  <si>
    <t>Driver</t>
  </si>
  <si>
    <t>Cantidad driver por operador</t>
  </si>
  <si>
    <t>Predio con malla ciclonica o barda perimetral (area predio &gt;&gt; area caseta)</t>
  </si>
  <si>
    <t>costo.unitario.capex.azotea.OR.telmex.activo</t>
  </si>
  <si>
    <t>costo.unitario.opex.azotea.OR.telmex.activo</t>
  </si>
  <si>
    <t>Vida util activa</t>
  </si>
  <si>
    <t>Vida util economica</t>
  </si>
  <si>
    <t>Vida util contable</t>
  </si>
  <si>
    <t>CAPEX unitario (MXN)</t>
  </si>
  <si>
    <t>Corrientes</t>
  </si>
  <si>
    <t>Area de la torre</t>
  </si>
  <si>
    <t>Mark-up area construida (excl. torre) =&gt; área total (excl. torre)</t>
  </si>
  <si>
    <t>ton/m2</t>
  </si>
  <si>
    <t>Compartición de baterias</t>
  </si>
  <si>
    <t>Baterias de respaldo</t>
  </si>
  <si>
    <t xml:space="preserve">Analisis de sensibilidad sobre los capex unitarios </t>
  </si>
  <si>
    <t xml:space="preserve">Analisis de sensibilidad sobre los opex unitarios </t>
  </si>
  <si>
    <t>sens.capex.unitarios</t>
  </si>
  <si>
    <t>sens.opex.unitarios</t>
  </si>
  <si>
    <t>VIDAS UTILES</t>
  </si>
  <si>
    <t>Vida util custom</t>
  </si>
  <si>
    <t>Custom</t>
  </si>
  <si>
    <t>Porcentaje aplicado al costo unitrario</t>
  </si>
  <si>
    <t>CAPEX unitario del servicio de espacio en piso (del modelo de costos)</t>
  </si>
  <si>
    <t>OPEX unitario del servicio de espacio en piso (del modelo de costos)</t>
  </si>
  <si>
    <t>Precio de energia por kWh</t>
  </si>
  <si>
    <t>OPEX de energia (MXN/kWh)</t>
  </si>
  <si>
    <t>OPEX de energia (MXN/kWh) - Año activo</t>
  </si>
  <si>
    <t>opex.energia.kWh</t>
  </si>
  <si>
    <t>Factores de conversion</t>
  </si>
  <si>
    <t>kW.por.ton</t>
  </si>
  <si>
    <t>horas.por.dia</t>
  </si>
  <si>
    <t>dias.por.mes</t>
  </si>
  <si>
    <t>meses.por.año</t>
  </si>
  <si>
    <t>Energia anual</t>
  </si>
  <si>
    <t>altura.torre.arriostrada</t>
  </si>
  <si>
    <t>altura.torre.autosoportada</t>
  </si>
  <si>
    <t>altura.torre.monopolo</t>
  </si>
  <si>
    <t>Carga de viento</t>
  </si>
  <si>
    <t>Carga de viento maxima</t>
  </si>
  <si>
    <t>130-180 km/h</t>
  </si>
  <si>
    <t>181-220 km/h</t>
  </si>
  <si>
    <t>221-260 km/h</t>
  </si>
  <si>
    <t>130-220 km/h</t>
  </si>
  <si>
    <t>viento.torre.autosoportada</t>
  </si>
  <si>
    <t>viento.torre.arriostrada</t>
  </si>
  <si>
    <t>viento.torre.monopolo</t>
  </si>
  <si>
    <t>viento.activo</t>
  </si>
  <si>
    <t>metros</t>
  </si>
  <si>
    <t>km/h</t>
  </si>
  <si>
    <t>Carga de viento max</t>
  </si>
  <si>
    <t>Mástil</t>
  </si>
  <si>
    <t>1, 0</t>
  </si>
  <si>
    <t>Average</t>
  </si>
  <si>
    <t>consumo.energia.medio.urbano</t>
  </si>
  <si>
    <t>consumo.energia.medio.rural</t>
  </si>
  <si>
    <t>BBU (small unit) - average urban</t>
  </si>
  <si>
    <t>BBU.backup.hours.urban</t>
  </si>
  <si>
    <t>BBU (small unit) - average rural</t>
  </si>
  <si>
    <t>tipo de bateria - zona urbana</t>
  </si>
  <si>
    <t>bateria.urbano</t>
  </si>
  <si>
    <t>BBU.backup.hours.rural</t>
  </si>
  <si>
    <t>tipo de bateria - zona rural</t>
  </si>
  <si>
    <t>bateria.rural</t>
  </si>
  <si>
    <t>Numero de panels de bateria necesarios (BBS)</t>
  </si>
  <si>
    <t>Fuente de las dimensiones de los gabinetes</t>
  </si>
  <si>
    <t>Proveedor equipos</t>
  </si>
  <si>
    <t>fuente.dimensiones.gabinetes</t>
  </si>
  <si>
    <t>dimensiones.gabinete.activo</t>
  </si>
  <si>
    <t>area.BTS.outdoor.proveedor</t>
  </si>
  <si>
    <t>Dimensiones de los gabinetes (outdoor)</t>
  </si>
  <si>
    <t>Area requerida outdoor</t>
  </si>
  <si>
    <t>Fuente: Peticion de datos</t>
  </si>
  <si>
    <t>viento.torre.mástil</t>
  </si>
  <si>
    <t>altura.torre.mástil</t>
  </si>
  <si>
    <t>Costos del predio</t>
  </si>
  <si>
    <t>fuente.costos.predio</t>
  </si>
  <si>
    <t>Modelo de costos</t>
  </si>
  <si>
    <t>Costos del predio (modelo de costos)</t>
  </si>
  <si>
    <t xml:space="preserve">Costos promedio de licencias y permisos de construcción </t>
  </si>
  <si>
    <t xml:space="preserve">Costos promedio obras civiles de adecuación </t>
  </si>
  <si>
    <t xml:space="preserve">Instalación de sistemas/equipos de seguridad </t>
  </si>
  <si>
    <t>Costos promedio adicionales</t>
  </si>
  <si>
    <t>CAPEX unitario obras civiles de adecuacion (MXN/m2) - Año activo</t>
  </si>
  <si>
    <t>opciones.WACC</t>
  </si>
  <si>
    <t>Otros costos</t>
  </si>
  <si>
    <t>Porcentaje de sitios que incurren costos adicionales</t>
  </si>
  <si>
    <t>sens.costos.adicionales</t>
  </si>
  <si>
    <t>capex.unitario.otros.costes</t>
  </si>
  <si>
    <t>opex.mantenimiento.otros.costos</t>
  </si>
  <si>
    <t>vida.util.torre.otros.costos</t>
  </si>
  <si>
    <t>vida.util.restante.torre.otros.costos</t>
  </si>
  <si>
    <t>MXN/m2</t>
  </si>
  <si>
    <t>Total de otros costos</t>
  </si>
  <si>
    <t>Los CS tratan directamente con CFE la instalación del nicho de acometida</t>
  </si>
  <si>
    <t>Terreno - Mark-up area ocupada (excl. Torre) -&gt; area total exc. torre, para predios urbanos</t>
  </si>
  <si>
    <t>Azotea - Mark-up area ocupada (excl. Torre) -&gt; area total exc. torre, para predios urbanos</t>
  </si>
  <si>
    <t>markup.predio.terreno</t>
  </si>
  <si>
    <t>Mark-up del predio</t>
  </si>
  <si>
    <t>markup.predio.azotea</t>
  </si>
  <si>
    <t>CAPEX unitario - adquisicion + instalacion + obras civiles (MXN/m3)</t>
  </si>
  <si>
    <t>m3</t>
  </si>
  <si>
    <t>Altura de la plancha de concreto</t>
  </si>
  <si>
    <t>Volumen de plancha de concreto AEP</t>
  </si>
  <si>
    <t>volumen.plancha.concreto.AEP</t>
  </si>
  <si>
    <t>volumen.plancha.concreto.CS</t>
  </si>
  <si>
    <t>MXN/m3</t>
  </si>
  <si>
    <t>Los gastos de operación y administración ya estan incluidos en los costos unitarios</t>
  </si>
  <si>
    <t>CAPEX unitario de adquisicion (MXN)</t>
  </si>
  <si>
    <t>CAPEX unitario de adquisicion (MXN) - Año activo</t>
  </si>
  <si>
    <t>Año y operadores inquilinos</t>
  </si>
  <si>
    <t>Demanda de espacio en piso  (expresada en termino de gabinetes BTS)</t>
  </si>
  <si>
    <t>Capacidad de caseta (en # de gabinetes)</t>
  </si>
  <si>
    <t># gabinetes</t>
  </si>
  <si>
    <t>MXN/m2/año</t>
  </si>
  <si>
    <t>Determinar precios orientados a costos para el servicio de acceso a la infraestructura pasiva móvil del AEP</t>
  </si>
  <si>
    <t>Oferta de referencia</t>
  </si>
  <si>
    <t>Fuente: AEP o proovedor de equipos</t>
  </si>
  <si>
    <t>Modelo de costos coubicación móvil - Versión anonimizada</t>
  </si>
  <si>
    <t>IFT</t>
  </si>
  <si>
    <t>Nota: datos anonimizados</t>
  </si>
  <si>
    <t>Fuente: modelos de costos de interconexión móvil LRIC desarrollados por COFETEL en el julio del 2012</t>
  </si>
  <si>
    <t>Los gastos overheads de capex ya están incluidos en los costos unitarios</t>
  </si>
  <si>
    <t>Proveedor</t>
  </si>
  <si>
    <t>Anonimizada 30 septiembre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</si>
</sst>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43" formatCode="_-* #,##0.00_-;\-* #,##0.00_-;_-* &quot;-&quot;??_-;_-@_-"/>
    <numFmt numFmtId="164" formatCode="#,##0_);[Red]\-#,##0_);0_);@_)"/>
    <numFmt numFmtId="165" formatCode="#,##0.00_);[Red]\-#,##0.00_);0.00_);@_)"/>
    <numFmt numFmtId="166" formatCode="#,##0%;[Red]\-#,##0%;0%;@_)"/>
    <numFmt numFmtId="167" formatCode="#,##0.00%;[Red]\-#,##0.00%;0.00%;@_)"/>
    <numFmt numFmtId="168" formatCode="dd\ mmm\ yy_)"/>
    <numFmt numFmtId="169" formatCode="* _(#,##0_);[Red]* \(#,##0\);* _(&quot;-&quot;?_);@_)"/>
    <numFmt numFmtId="170" formatCode="* _(#,##0.00_);[Red]* \(#,##0.00\);* _(&quot;-&quot;?_);@_)"/>
    <numFmt numFmtId="171" formatCode="\€\ * _(#,##0_);[Red]\€\ * \(#,##0\);\€\ * _(&quot;-&quot;?_);@_)"/>
    <numFmt numFmtId="172" formatCode="\€\ * _(#,##0.00_);[Red]\€\ * \(#,##0.00\);\€\ * _(&quot;-&quot;?_);@_)"/>
    <numFmt numFmtId="173" formatCode="[$EUR]\ * _(#,##0_);[Red][$EUR]\ * \(#,##0\);[$EUR]\ * _(&quot;-&quot;?_);@_)"/>
    <numFmt numFmtId="174" formatCode="[$EUR]\ * _(#,##0.00_);[Red][$EUR]\ * \(#,##0.00\);[$EUR]\ * _(&quot;-&quot;?_);@_)"/>
    <numFmt numFmtId="175" formatCode="\$\ * _(#,##0_);[Red]\$\ * \(#,##0\);\$\ * _(&quot;-&quot;?_);@_)"/>
    <numFmt numFmtId="176" formatCode="\$\ * _(#,##0.00_);[Red]\$\ * \(#,##0.00\);\$\ * _(&quot;-&quot;?_);@_)"/>
    <numFmt numFmtId="177" formatCode="[$USD]\ * _(#,##0_);[Red][$USD]\ * \(#,##0\);[$USD]\ * _(&quot;-&quot;?_);@_)"/>
    <numFmt numFmtId="178" formatCode="[$USD]\ * _(#,##0.00_);[Red][$USD]\ * \(#,##0.00\);[$USD]\ * _(&quot;-&quot;?_);@_)"/>
    <numFmt numFmtId="179" formatCode="\£\ * _(#,##0_);[Red]\£\ * \(#,##0\);\£\ * _(&quot;-&quot;?_);@_)"/>
    <numFmt numFmtId="180" formatCode="\£\ * _(#,##0.00_);[Red]\£\ * \(#,##0.00\);\£\ * _(&quot;-&quot;?_);@_)"/>
    <numFmt numFmtId="181" formatCode="[$GBP]\ * _(#,##0_);[Red][$GBP]\ * \(#,##0\);[$GBP]\ * _(&quot;-&quot;?_);@_)"/>
    <numFmt numFmtId="182" formatCode="[$GBP]\ * _(#,##0.00_);[Red][$GBP]\ * \(#,##0.00\);[$GBP]\ * _(&quot;-&quot;?_);@_)"/>
    <numFmt numFmtId="183" formatCode="mmm\ yy_)"/>
    <numFmt numFmtId="184" formatCode="yyyy_)"/>
    <numFmt numFmtId="185" formatCode="0.0%"/>
    <numFmt numFmtId="186" formatCode="* _(#,##0.0_);[Red]* \(#,##0.0\);* _(&quot;-&quot;?_);@_)"/>
    <numFmt numFmtId="187" formatCode="#,##0_);[Red]\-#,##0_);* _(&quot;-&quot;?_);@_)"/>
    <numFmt numFmtId="188" formatCode="#,##0%;[Red]\-#,##0%;\-\%;@_)"/>
    <numFmt numFmtId="189" formatCode="#,##0.0%;[Red]\-#,##0.0%;\-\%;@_)"/>
    <numFmt numFmtId="190" formatCode="_-* #,##0.00\ &quot;€&quot;_-;\-* #,##0.00\ &quot;€&quot;_-;_-* &quot;-&quot;??\ &quot;€&quot;_-;_-@_-"/>
    <numFmt numFmtId="191" formatCode="_-* #,##0.00\ _€_-;\-* #,##0.00\ _€_-;_-* &quot;-&quot;??\ _€_-;_-@_-"/>
    <numFmt numFmtId="192" formatCode="#,##0.0"/>
    <numFmt numFmtId="193" formatCode="0.0_)\%;\(0.0\)\%;0.0_)\%;@_)_%"/>
    <numFmt numFmtId="194" formatCode="#,##0.0_)_%;\(#,##0.0\)_%;0.0_)_%;@_)_%"/>
    <numFmt numFmtId="195" formatCode="#,##0.0_);\(#,##0.0\);#,##0.0_);@_)"/>
    <numFmt numFmtId="196" formatCode="&quot;£&quot;_(#,##0.00_);&quot;£&quot;\(#,##0.00\);&quot;£&quot;_(0.00_);@_)"/>
    <numFmt numFmtId="197" formatCode="#,##0.00_);\(#,##0.00\);0.00_);@_)"/>
    <numFmt numFmtId="198" formatCode="\€_(#,##0.00_);\€\(#,##0.00\);\€_(0.00_);@_)"/>
    <numFmt numFmtId="199" formatCode="#,##0_)\x;\(#,##0\)\x;0_)\x;@_)_x"/>
    <numFmt numFmtId="200" formatCode="#,##0_)_x;\(#,##0\)_x;0_)_x;@_)_x"/>
    <numFmt numFmtId="201" formatCode="_-* #,##0\ _F_-;* \(#,##0\)\ _F_-;_-* &quot;-&quot;\ _F_-;_-@_-"/>
    <numFmt numFmtId="202" formatCode="_-* #,##0.0\ _F_-;* \(#,##0.0\)\ _F_-;_-* &quot;-&quot;?\ _F_-;_-@_-"/>
    <numFmt numFmtId="203" formatCode="_-* #,##0.00\ _F_-;* \(#,##0.00\)\ _F_-;_-* &quot;-&quot;??\ _F_-;_-@_-"/>
    <numFmt numFmtId="204" formatCode="mmmm"/>
    <numFmt numFmtId="205" formatCode="#,##0.0_);[Red]\-#,##0.0_);* _(&quot;-&quot;?_);@_)"/>
    <numFmt numFmtId="206" formatCode="0.0"/>
    <numFmt numFmtId="207" formatCode="_-* #,##0_-;\-* #,##0_-;_-* &quot;-&quot;??_-;_-@_-"/>
    <numFmt numFmtId="208" formatCode="_-* #,##0.0_-;\-* #,##0.0_-;_-* &quot;-&quot;??_-;_-@_-"/>
    <numFmt numFmtId="209" formatCode="_-* #,##0_-;\-* #,##0_-;_-* &quot;-&quot;?_-;_-@_-"/>
    <numFmt numFmtId="210" formatCode="0.000"/>
    <numFmt numFmtId="211" formatCode="#,##0.000_);[Red]\-#,##0.000_);0.000_);@_)"/>
    <numFmt numFmtId="212" formatCode="#,##0_);[Red]\-#,##0_);\-_);@_)"/>
    <numFmt numFmtId="213" formatCode="#,##0.0_);[Red]\-#,##0.0_);\-_);@_)"/>
    <numFmt numFmtId="214" formatCode="#,##0%;[Red]\-#,##0%;\-;@_)"/>
  </numFmts>
  <fonts count="63" x14ac:knownFonts="1">
    <font>
      <sz val="9"/>
      <name val="Arial"/>
      <family val="2"/>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55"/>
      <name val="Arial"/>
      <family val="2"/>
    </font>
    <font>
      <u/>
      <sz val="9"/>
      <name val="Arial"/>
      <family val="2"/>
    </font>
    <font>
      <u/>
      <sz val="8"/>
      <name val="Arial"/>
      <family val="2"/>
    </font>
    <font>
      <i/>
      <sz val="9"/>
      <color indexed="16"/>
      <name val="Arial"/>
      <family val="2"/>
    </font>
    <font>
      <i/>
      <sz val="9"/>
      <name val="Arial"/>
      <family val="2"/>
    </font>
    <font>
      <sz val="11"/>
      <color theme="1"/>
      <name val="Arial"/>
      <family val="2"/>
      <scheme val="minor"/>
    </font>
    <font>
      <sz val="11"/>
      <color theme="0"/>
      <name val="Arial"/>
      <family val="2"/>
      <scheme val="minor"/>
    </font>
    <font>
      <sz val="11"/>
      <color rgb="FF9C0006"/>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8"/>
      <color theme="3"/>
      <name val="Arial"/>
      <family val="2"/>
      <scheme val="major"/>
    </font>
    <font>
      <sz val="11"/>
      <color rgb="FFFF0000"/>
      <name val="Arial"/>
      <family val="2"/>
      <scheme val="minor"/>
    </font>
    <font>
      <b/>
      <sz val="9"/>
      <color theme="0"/>
      <name val="Arial"/>
      <family val="2"/>
    </font>
    <font>
      <sz val="9"/>
      <color theme="0"/>
      <name val="Arial"/>
      <family val="2"/>
    </font>
    <font>
      <sz val="10"/>
      <name val="Times New Roman"/>
      <family val="1"/>
      <charset val="204"/>
    </font>
    <font>
      <b/>
      <sz val="11"/>
      <color rgb="FF3F3F3F"/>
      <name val="Arial"/>
      <family val="2"/>
      <scheme val="minor"/>
    </font>
    <font>
      <b/>
      <sz val="11"/>
      <color rgb="FFFA7D00"/>
      <name val="Arial"/>
      <family val="2"/>
      <scheme val="minor"/>
    </font>
    <font>
      <b/>
      <sz val="11"/>
      <color theme="1"/>
      <name val="Arial"/>
      <family val="2"/>
      <scheme val="minor"/>
    </font>
    <font>
      <sz val="10"/>
      <name val="Arial"/>
      <family val="2"/>
    </font>
    <font>
      <sz val="10"/>
      <color indexed="8"/>
      <name val="Arial"/>
      <family val="2"/>
    </font>
    <font>
      <b/>
      <sz val="10"/>
      <color indexed="8"/>
      <name val="Arial"/>
      <family val="2"/>
    </font>
    <font>
      <sz val="12"/>
      <name val="Times New Roman"/>
      <family val="1"/>
    </font>
    <font>
      <sz val="10"/>
      <name val="Helv"/>
    </font>
    <font>
      <sz val="10"/>
      <name val="MS Sans Serif"/>
      <family val="2"/>
    </font>
    <font>
      <sz val="8"/>
      <name val="Calibri"/>
      <family val="2"/>
    </font>
    <font>
      <sz val="10"/>
      <color indexed="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u/>
      <sz val="20"/>
      <name val="Times New Roman"/>
      <family val="1"/>
    </font>
    <font>
      <b/>
      <sz val="14"/>
      <name val="Times New Roman"/>
      <family val="1"/>
    </font>
    <font>
      <u/>
      <sz val="10"/>
      <name val="Times New Roman"/>
      <family val="1"/>
    </font>
    <font>
      <b/>
      <sz val="12"/>
      <name val="Helv"/>
    </font>
    <font>
      <b/>
      <sz val="18"/>
      <color indexed="24"/>
      <name val="Arial"/>
      <family val="2"/>
    </font>
    <font>
      <b/>
      <sz val="10"/>
      <name val="Times New Roman"/>
      <family val="1"/>
    </font>
    <font>
      <b/>
      <i/>
      <sz val="10"/>
      <name val="Times New Roman"/>
      <family val="1"/>
    </font>
    <font>
      <i/>
      <sz val="10"/>
      <name val="Times New Roman"/>
      <family val="1"/>
    </font>
    <font>
      <sz val="10"/>
      <name val="Times New Roman"/>
      <family val="1"/>
    </font>
    <font>
      <sz val="12"/>
      <color indexed="24"/>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i/>
      <sz val="9"/>
      <color indexed="55"/>
      <name val="Arial"/>
      <family val="2"/>
    </font>
    <font>
      <sz val="9"/>
      <color rgb="FFFF0000"/>
      <name val="Arial"/>
      <family val="2"/>
    </font>
    <font>
      <u/>
      <sz val="9"/>
      <color theme="10"/>
      <name val="Arial"/>
      <family val="2"/>
    </font>
  </fonts>
  <fills count="7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51"/>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1"/>
        <bgColor indexed="64"/>
      </patternFill>
    </fill>
    <fill>
      <patternFill patternType="solid">
        <fgColor rgb="FFF2F2F2"/>
      </patternFill>
    </fill>
    <fill>
      <patternFill patternType="solid">
        <fgColor rgb="FFFFFFCC"/>
      </patternFill>
    </fill>
    <fill>
      <patternFill patternType="solid">
        <fgColor indexed="43"/>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theme="1" tint="0.249977111117893"/>
        <bgColor indexed="64"/>
      </patternFill>
    </fill>
    <fill>
      <patternFill patternType="solid">
        <fgColor theme="1" tint="9.9978637043366805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theme="6"/>
        <bgColor indexed="64"/>
      </patternFill>
    </fill>
    <fill>
      <patternFill patternType="solid">
        <fgColor theme="6" tint="0.79998168889431442"/>
        <bgColor indexed="64"/>
      </patternFill>
    </fill>
    <fill>
      <patternFill patternType="solid">
        <fgColor rgb="FF0070C0"/>
        <bgColor indexed="64"/>
      </patternFill>
    </fill>
    <fill>
      <patternFill patternType="solid">
        <fgColor theme="9"/>
        <bgColor indexed="15"/>
      </patternFill>
    </fill>
    <fill>
      <patternFill patternType="solid">
        <fgColor theme="9"/>
        <bgColor indexed="64"/>
      </patternFill>
    </fill>
    <fill>
      <patternFill patternType="solid">
        <fgColor theme="7" tint="0.59999389629810485"/>
        <bgColor indexed="64"/>
      </patternFill>
    </fill>
  </fills>
  <borders count="24">
    <border>
      <left/>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style="medium">
        <color indexed="41"/>
      </top>
      <bottom style="medium">
        <color indexed="41"/>
      </bottom>
      <diagonal/>
    </border>
    <border>
      <left/>
      <right/>
      <top style="medium">
        <color indexed="41"/>
      </top>
      <bottom/>
      <diagonal/>
    </border>
    <border>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theme="0"/>
      </left>
      <right/>
      <top/>
      <bottom/>
      <diagonal/>
    </border>
    <border>
      <left/>
      <right/>
      <top style="thin">
        <color theme="0"/>
      </top>
      <bottom style="thin">
        <color theme="0"/>
      </bottom>
      <diagonal/>
    </border>
    <border>
      <left style="medium">
        <color theme="0"/>
      </left>
      <right/>
      <top style="thin">
        <color theme="0"/>
      </top>
      <bottom style="thin">
        <color theme="0"/>
      </bottom>
      <diagonal/>
    </border>
    <border>
      <left/>
      <right/>
      <top/>
      <bottom style="thin">
        <color theme="0"/>
      </bottom>
      <diagonal/>
    </border>
  </borders>
  <cellStyleXfs count="269">
    <xf numFmtId="0" fontId="0" fillId="0" borderId="0">
      <alignment vertical="center"/>
    </xf>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5" fillId="34" borderId="0" applyNumberFormat="0" applyBorder="0" applyAlignment="0" applyProtection="0"/>
    <xf numFmtId="0" fontId="2" fillId="0" borderId="0" applyNumberFormat="0" applyAlignment="0">
      <alignment vertical="center"/>
    </xf>
    <xf numFmtId="0" fontId="16" fillId="35" borderId="7" applyNumberFormat="0" applyAlignment="0" applyProtection="0"/>
    <xf numFmtId="165" fontId="8" fillId="0" borderId="0" applyNumberFormat="0" applyAlignment="0">
      <alignment vertical="center"/>
    </xf>
    <xf numFmtId="0" fontId="5" fillId="2" borderId="0" applyNumberFormat="0">
      <alignment horizontal="center" vertical="top" wrapText="1"/>
    </xf>
    <xf numFmtId="0" fontId="5" fillId="2" borderId="0" applyNumberFormat="0">
      <alignment horizontal="left" vertical="top" wrapText="1"/>
    </xf>
    <xf numFmtId="0" fontId="5" fillId="2" borderId="0" applyNumberFormat="0">
      <alignment horizontal="centerContinuous" vertical="top"/>
    </xf>
    <xf numFmtId="0" fontId="2" fillId="2" borderId="0" applyNumberFormat="0">
      <alignment horizontal="center" vertical="top" wrapText="1"/>
    </xf>
    <xf numFmtId="169" fontId="2" fillId="0" borderId="0" applyFont="0" applyFill="0" applyBorder="0" applyAlignment="0" applyProtection="0">
      <alignment vertical="center"/>
    </xf>
    <xf numFmtId="169" fontId="2" fillId="0" borderId="0">
      <alignment vertical="center"/>
    </xf>
    <xf numFmtId="170" fontId="2" fillId="0" borderId="0" applyFont="0" applyFill="0" applyBorder="0" applyAlignment="0" applyProtection="0">
      <alignment vertical="center"/>
    </xf>
    <xf numFmtId="175" fontId="2" fillId="0" borderId="0" applyFont="0" applyFill="0" applyBorder="0" applyAlignment="0" applyProtection="0">
      <alignment vertical="center"/>
    </xf>
    <xf numFmtId="176" fontId="2" fillId="0" borderId="0" applyFont="0" applyFill="0" applyBorder="0" applyAlignment="0" applyProtection="0">
      <alignment vertical="center"/>
    </xf>
    <xf numFmtId="173" fontId="2" fillId="0" borderId="0" applyFont="0" applyFill="0" applyBorder="0" applyAlignment="0" applyProtection="0">
      <alignment vertical="center"/>
    </xf>
    <xf numFmtId="174" fontId="2" fillId="0" borderId="0" applyFont="0" applyFill="0" applyBorder="0" applyAlignment="0" applyProtection="0">
      <alignment vertical="center"/>
    </xf>
    <xf numFmtId="171" fontId="2" fillId="0" borderId="0" applyFont="0" applyFill="0" applyBorder="0" applyAlignment="0" applyProtection="0">
      <alignment vertical="center"/>
    </xf>
    <xf numFmtId="172" fontId="2" fillId="0" borderId="0" applyFont="0" applyFill="0" applyBorder="0" applyAlignment="0" applyProtection="0">
      <alignment vertical="center"/>
    </xf>
    <xf numFmtId="181" fontId="2" fillId="0" borderId="0" applyFont="0" applyFill="0" applyBorder="0" applyAlignment="0" applyProtection="0">
      <alignment vertical="center"/>
    </xf>
    <xf numFmtId="182" fontId="2" fillId="0" borderId="0" applyFont="0" applyFill="0" applyBorder="0" applyAlignment="0" applyProtection="0">
      <alignment vertical="center"/>
    </xf>
    <xf numFmtId="179" fontId="2" fillId="0" borderId="0" applyFont="0" applyFill="0" applyBorder="0" applyAlignment="0" applyProtection="0">
      <alignment vertical="center"/>
    </xf>
    <xf numFmtId="180"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68" fontId="2" fillId="0" borderId="0" applyFont="0" applyFill="0" applyBorder="0" applyAlignment="0" applyProtection="0">
      <alignment vertical="center"/>
    </xf>
    <xf numFmtId="183" fontId="2" fillId="0" borderId="0" applyFont="0" applyFill="0" applyBorder="0" applyAlignment="0" applyProtection="0">
      <alignment vertical="center"/>
    </xf>
    <xf numFmtId="184" fontId="2" fillId="0" borderId="0" applyFont="0" applyFill="0" applyBorder="0" applyAlignment="0" applyProtection="0">
      <alignment vertical="center"/>
    </xf>
    <xf numFmtId="0" fontId="17" fillId="0" borderId="0" applyNumberFormat="0" applyFill="0" applyBorder="0" applyAlignment="0" applyProtection="0"/>
    <xf numFmtId="0" fontId="18" fillId="36" borderId="0" applyNumberFormat="0" applyBorder="0" applyAlignment="0" applyProtection="0"/>
    <xf numFmtId="0" fontId="6" fillId="2" borderId="0" applyNumberFormat="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applyNumberFormat="0" applyFill="0" applyBorder="0" applyAlignment="0" applyProtection="0">
      <alignment horizontal="left" vertical="center"/>
    </xf>
    <xf numFmtId="0" fontId="5" fillId="0" borderId="0" applyNumberFormat="0" applyFill="0" applyBorder="0" applyAlignment="0" applyProtection="0">
      <alignment vertical="center"/>
    </xf>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 fillId="3" borderId="0" applyNumberFormat="0" applyFont="0" applyBorder="0" applyAlignment="0" applyProtection="0">
      <alignment vertical="center"/>
    </xf>
    <xf numFmtId="0" fontId="22" fillId="37" borderId="11" applyNumberFormat="0" applyAlignment="0" applyProtection="0"/>
    <xf numFmtId="0" fontId="2" fillId="0" borderId="1" applyNumberFormat="0" applyAlignment="0">
      <alignment vertical="center"/>
    </xf>
    <xf numFmtId="0" fontId="2" fillId="0" borderId="2" applyNumberFormat="0" applyAlignment="0">
      <alignment vertical="center"/>
      <protection locked="0"/>
    </xf>
    <xf numFmtId="164" fontId="2" fillId="5" borderId="2" applyNumberFormat="0" applyAlignment="0">
      <alignment vertical="center"/>
      <protection locked="0"/>
    </xf>
    <xf numFmtId="0" fontId="2" fillId="6" borderId="0" applyNumberFormat="0" applyAlignment="0">
      <alignment vertical="center"/>
    </xf>
    <xf numFmtId="0" fontId="2" fillId="7" borderId="0" applyNumberFormat="0" applyAlignment="0">
      <alignment vertical="center"/>
    </xf>
    <xf numFmtId="0" fontId="2" fillId="0" borderId="3" applyNumberFormat="0" applyAlignment="0">
      <alignment vertical="center"/>
      <protection locked="0"/>
    </xf>
    <xf numFmtId="0" fontId="23" fillId="0" borderId="12" applyNumberFormat="0" applyFill="0" applyAlignment="0" applyProtection="0"/>
    <xf numFmtId="0" fontId="11" fillId="0" borderId="0" applyNumberFormat="0" applyAlignment="0">
      <alignment vertical="center"/>
    </xf>
    <xf numFmtId="0" fontId="24" fillId="38" borderId="0" applyNumberFormat="0" applyBorder="0" applyAlignment="0" applyProtection="0"/>
    <xf numFmtId="0" fontId="7" fillId="0" borderId="0" applyNumberFormat="0" applyFill="0" applyBorder="0" applyAlignment="0" applyProtection="0">
      <alignment vertical="center"/>
    </xf>
    <xf numFmtId="212" fontId="2" fillId="0" borderId="0" applyFont="0" applyFill="0" applyBorder="0" applyAlignment="0" applyProtection="0">
      <alignment vertical="center"/>
    </xf>
    <xf numFmtId="213" fontId="2" fillId="0" borderId="0" applyFont="0" applyFill="0" applyBorder="0" applyAlignment="0" applyProtection="0">
      <alignment vertical="center"/>
    </xf>
    <xf numFmtId="0" fontId="2" fillId="8" borderId="0" applyNumberFormat="0" applyFont="0" applyBorder="0" applyAlignment="0" applyProtection="0">
      <alignment vertical="center"/>
    </xf>
    <xf numFmtId="214" fontId="2" fillId="0" borderId="0" applyFont="0" applyFill="0" applyBorder="0" applyAlignment="0" applyProtection="0">
      <alignment horizontal="right" vertical="center"/>
    </xf>
    <xf numFmtId="167" fontId="2" fillId="0" borderId="0" applyFont="0" applyFill="0" applyBorder="0" applyAlignment="0" applyProtection="0">
      <alignment vertical="center"/>
    </xf>
    <xf numFmtId="0" fontId="5" fillId="0" borderId="0" applyNumberFormat="0" applyFill="0" applyBorder="0">
      <alignment horizontal="left" vertical="center" wrapText="1"/>
    </xf>
    <xf numFmtId="0" fontId="2" fillId="0" borderId="0" applyNumberFormat="0" applyFill="0" applyBorder="0">
      <alignment horizontal="left" vertical="center" wrapText="1" indent="1"/>
    </xf>
    <xf numFmtId="164" fontId="5" fillId="0" borderId="4" applyNumberFormat="0" applyFill="0" applyAlignment="0" applyProtection="0">
      <alignment vertical="center"/>
    </xf>
    <xf numFmtId="164" fontId="2" fillId="0" borderId="5" applyNumberFormat="0" applyFont="0" applyFill="0" applyAlignment="0" applyProtection="0">
      <alignment vertical="center"/>
    </xf>
    <xf numFmtId="0" fontId="2" fillId="9" borderId="0" applyNumberFormat="0" applyFont="0" applyBorder="0" applyAlignment="0" applyProtection="0">
      <alignment vertical="center"/>
    </xf>
    <xf numFmtId="0" fontId="2" fillId="0" borderId="0" applyNumberFormat="0" applyFont="0" applyFill="0" applyAlignment="0" applyProtection="0">
      <alignment vertical="center"/>
    </xf>
    <xf numFmtId="164" fontId="2" fillId="0" borderId="0" applyNumberFormat="0" applyFont="0" applyBorder="0" applyAlignment="0" applyProtection="0">
      <alignment vertical="center"/>
    </xf>
    <xf numFmtId="49" fontId="2" fillId="0" borderId="0" applyFont="0" applyFill="0" applyBorder="0" applyAlignment="0" applyProtection="0">
      <alignment horizontal="center" vertical="center"/>
    </xf>
    <xf numFmtId="0" fontId="25" fillId="0" borderId="0" applyNumberFormat="0" applyFill="0" applyBorder="0" applyAlignment="0" applyProtection="0"/>
    <xf numFmtId="164" fontId="5" fillId="0" borderId="0" applyNumberFormat="0" applyFill="0" applyBorder="0" applyAlignment="0" applyProtection="0">
      <alignment vertical="center"/>
    </xf>
    <xf numFmtId="164" fontId="5" fillId="2" borderId="0" applyNumberFormat="0" applyAlignment="0" applyProtection="0">
      <alignment vertical="center"/>
    </xf>
    <xf numFmtId="0" fontId="2" fillId="0" borderId="0" applyNumberFormat="0" applyFont="0" applyBorder="0" applyAlignment="0" applyProtection="0">
      <alignment vertical="center"/>
    </xf>
    <xf numFmtId="0" fontId="2" fillId="0" borderId="0" applyNumberFormat="0" applyFont="0" applyAlignment="0" applyProtection="0">
      <alignment vertical="center"/>
    </xf>
    <xf numFmtId="0" fontId="26" fillId="0" borderId="0" applyNumberFormat="0" applyFill="0" applyBorder="0" applyAlignment="0" applyProtection="0"/>
    <xf numFmtId="0" fontId="27" fillId="39" borderId="0" applyNumberFormat="0">
      <alignment horizontal="center" vertical="top" wrapText="1"/>
    </xf>
    <xf numFmtId="0" fontId="27" fillId="39" borderId="0" applyNumberFormat="0">
      <alignment horizontal="left" vertical="top" wrapText="1"/>
    </xf>
    <xf numFmtId="0" fontId="27" fillId="39" borderId="0" applyNumberFormat="0">
      <alignment horizontal="centerContinuous" vertical="top"/>
    </xf>
    <xf numFmtId="0" fontId="28" fillId="39" borderId="0" applyNumberFormat="0">
      <alignment horizontal="center" vertical="top" wrapText="1"/>
    </xf>
    <xf numFmtId="0" fontId="27" fillId="39" borderId="0" applyNumberFormat="0">
      <alignment horizontal="center" vertical="top" wrapText="1"/>
    </xf>
    <xf numFmtId="186" fontId="2" fillId="0" borderId="0" applyFont="0" applyFill="0" applyBorder="0" applyAlignment="0" applyProtection="0">
      <alignment vertical="center"/>
    </xf>
    <xf numFmtId="0" fontId="27" fillId="39" borderId="0" applyNumberFormat="0">
      <alignment horizontal="center" vertical="top" wrapText="1"/>
    </xf>
    <xf numFmtId="0" fontId="27" fillId="39" borderId="0" applyNumberFormat="0">
      <alignment horizontal="center" vertical="top" wrapText="1"/>
    </xf>
    <xf numFmtId="188" fontId="2" fillId="0" borderId="0" applyFont="0" applyFill="0" applyBorder="0" applyAlignment="0" applyProtection="0">
      <alignment horizontal="right" vertical="center"/>
    </xf>
    <xf numFmtId="187" fontId="2" fillId="0" borderId="0" applyFont="0" applyFill="0" applyBorder="0" applyAlignment="0" applyProtection="0">
      <alignment vertical="center"/>
    </xf>
    <xf numFmtId="187" fontId="2" fillId="0" borderId="0" applyFont="0" applyFill="0" applyBorder="0" applyAlignment="0" applyProtection="0">
      <alignment vertical="center"/>
    </xf>
    <xf numFmtId="188" fontId="2" fillId="0" borderId="0" applyFont="0" applyFill="0" applyBorder="0" applyAlignment="0" applyProtection="0">
      <alignment horizontal="right" vertical="center"/>
    </xf>
    <xf numFmtId="187" fontId="2" fillId="0" borderId="0" applyFont="0" applyFill="0" applyBorder="0" applyAlignment="0" applyProtection="0">
      <alignment vertical="center"/>
    </xf>
    <xf numFmtId="188" fontId="2" fillId="0" borderId="0" applyFont="0" applyFill="0" applyBorder="0" applyAlignment="0" applyProtection="0">
      <alignment horizontal="right" vertical="center"/>
    </xf>
    <xf numFmtId="189" fontId="2" fillId="0" borderId="0" applyFont="0" applyFill="0" applyBorder="0" applyAlignment="0" applyProtection="0">
      <alignment vertical="center"/>
    </xf>
    <xf numFmtId="0" fontId="27" fillId="39" borderId="0" applyNumberFormat="0">
      <alignment horizontal="center" vertical="top" wrapText="1"/>
    </xf>
    <xf numFmtId="187" fontId="2" fillId="0" borderId="0" applyFont="0" applyFill="0" applyBorder="0" applyAlignment="0" applyProtection="0">
      <alignment vertical="center"/>
    </xf>
    <xf numFmtId="0" fontId="27" fillId="39" borderId="0" applyNumberFormat="0">
      <alignment horizontal="center" vertical="top" wrapText="1"/>
    </xf>
    <xf numFmtId="187" fontId="2" fillId="0" borderId="0" applyFont="0" applyFill="0" applyBorder="0" applyAlignment="0" applyProtection="0">
      <alignment vertical="center"/>
    </xf>
    <xf numFmtId="0" fontId="27" fillId="39" borderId="0" applyNumberFormat="0">
      <alignment horizontal="center" vertical="top" wrapText="1"/>
    </xf>
    <xf numFmtId="188" fontId="2" fillId="0" borderId="0" applyFont="0" applyFill="0" applyBorder="0" applyAlignment="0" applyProtection="0">
      <alignment horizontal="right" vertical="center"/>
    </xf>
    <xf numFmtId="0" fontId="27" fillId="39" borderId="0" applyNumberFormat="0">
      <alignment horizontal="center" vertical="top" wrapText="1"/>
    </xf>
    <xf numFmtId="188" fontId="2" fillId="0" borderId="0" applyFont="0" applyFill="0" applyBorder="0" applyAlignment="0" applyProtection="0">
      <alignment horizontal="right" vertical="center"/>
    </xf>
    <xf numFmtId="187" fontId="2" fillId="0" borderId="0" applyFont="0" applyFill="0" applyBorder="0" applyAlignment="0" applyProtection="0">
      <alignment vertical="center"/>
    </xf>
    <xf numFmtId="0" fontId="27" fillId="39" borderId="0" applyNumberFormat="0">
      <alignment horizontal="center" vertical="top" wrapText="1"/>
    </xf>
    <xf numFmtId="0" fontId="29" fillId="0" borderId="0" applyNumberFormat="0" applyFill="0" applyBorder="0" applyProtection="0">
      <alignment vertical="top" wrapText="1"/>
    </xf>
    <xf numFmtId="0" fontId="30" fillId="40" borderId="13" applyNumberFormat="0" applyAlignment="0" applyProtection="0"/>
    <xf numFmtId="0" fontId="31" fillId="40" borderId="11" applyNumberFormat="0" applyAlignment="0" applyProtection="0"/>
    <xf numFmtId="0" fontId="13" fillId="41" borderId="14" applyNumberFormat="0" applyFont="0" applyAlignment="0" applyProtection="0"/>
    <xf numFmtId="0" fontId="32" fillId="0" borderId="15" applyNumberFormat="0" applyFill="0" applyAlignment="0" applyProtection="0"/>
    <xf numFmtId="0" fontId="33" fillId="0" borderId="0"/>
    <xf numFmtId="0" fontId="36" fillId="0" borderId="0"/>
    <xf numFmtId="0" fontId="33" fillId="0" borderId="0"/>
    <xf numFmtId="190" fontId="33" fillId="0" borderId="0" applyFont="0" applyFill="0" applyBorder="0" applyAlignment="0" applyProtection="0"/>
    <xf numFmtId="191" fontId="33" fillId="0" borderId="0" applyFont="0" applyFill="0" applyBorder="0" applyAlignment="0" applyProtection="0"/>
    <xf numFmtId="0" fontId="13" fillId="0" borderId="0"/>
    <xf numFmtId="9" fontId="33" fillId="0" borderId="0" applyFont="0" applyFill="0" applyBorder="0" applyAlignment="0" applyProtection="0"/>
    <xf numFmtId="0" fontId="39" fillId="0" borderId="0"/>
    <xf numFmtId="9" fontId="39" fillId="0" borderId="0" applyFont="0" applyFill="0" applyBorder="0" applyAlignment="0" applyProtection="0"/>
    <xf numFmtId="0" fontId="13" fillId="0" borderId="0"/>
    <xf numFmtId="9" fontId="13" fillId="0" borderId="0" applyFont="0" applyFill="0" applyBorder="0" applyAlignment="0" applyProtection="0"/>
    <xf numFmtId="9" fontId="29" fillId="0" borderId="0" applyFont="0" applyFill="0" applyBorder="0" applyAlignment="0" applyProtection="0"/>
    <xf numFmtId="0" fontId="13" fillId="0" borderId="0"/>
    <xf numFmtId="191" fontId="29" fillId="0" borderId="0" applyFont="0" applyFill="0" applyBorder="0" applyAlignment="0" applyProtection="0"/>
    <xf numFmtId="0" fontId="38" fillId="0" borderId="0"/>
    <xf numFmtId="9" fontId="38" fillId="0" borderId="0" applyFont="0" applyFill="0" applyBorder="0" applyAlignment="0" applyProtection="0"/>
    <xf numFmtId="191" fontId="38" fillId="0" borderId="0" applyFont="0" applyFill="0" applyBorder="0" applyAlignment="0" applyProtection="0"/>
    <xf numFmtId="0" fontId="13" fillId="0" borderId="0"/>
    <xf numFmtId="0" fontId="13" fillId="0" borderId="0"/>
    <xf numFmtId="191" fontId="33" fillId="0" borderId="0" applyFont="0" applyFill="0" applyBorder="0" applyAlignment="0" applyProtection="0"/>
    <xf numFmtId="193" fontId="33" fillId="0" borderId="0" applyFont="0" applyFill="0" applyBorder="0" applyAlignment="0" applyProtection="0"/>
    <xf numFmtId="194" fontId="33" fillId="0" borderId="0" applyFont="0" applyFill="0" applyBorder="0" applyAlignment="0" applyProtection="0"/>
    <xf numFmtId="195" fontId="33" fillId="0" borderId="0" applyFont="0" applyFill="0" applyBorder="0" applyAlignment="0" applyProtection="0"/>
    <xf numFmtId="196" fontId="33" fillId="0" borderId="0" applyFont="0" applyFill="0" applyBorder="0" applyAlignment="0" applyProtection="0"/>
    <xf numFmtId="197" fontId="33" fillId="0" borderId="0" applyFont="0" applyFill="0" applyBorder="0" applyAlignment="0" applyProtection="0"/>
    <xf numFmtId="198" fontId="33" fillId="0" borderId="0" applyFont="0" applyFill="0" applyBorder="0" applyAlignment="0" applyProtection="0"/>
    <xf numFmtId="0" fontId="41" fillId="0" borderId="0" applyNumberFormat="0" applyFill="0" applyBorder="0" applyAlignment="0" applyProtection="0"/>
    <xf numFmtId="0" fontId="33" fillId="43" borderId="0" applyNumberFormat="0" applyFont="0" applyAlignment="0" applyProtection="0"/>
    <xf numFmtId="199" fontId="33" fillId="0" borderId="0" applyFont="0" applyFill="0" applyBorder="0" applyAlignment="0" applyProtection="0"/>
    <xf numFmtId="200" fontId="33" fillId="0" borderId="0" applyFont="0" applyFill="0" applyBorder="0" applyProtection="0">
      <alignment horizontal="right"/>
    </xf>
    <xf numFmtId="0" fontId="42" fillId="0" borderId="0" applyNumberFormat="0" applyFill="0" applyBorder="0" applyProtection="0">
      <alignment vertical="top"/>
    </xf>
    <xf numFmtId="0" fontId="43" fillId="0" borderId="16" applyNumberFormat="0" applyFill="0" applyAlignment="0" applyProtection="0"/>
    <xf numFmtId="0" fontId="44" fillId="0" borderId="17" applyNumberFormat="0" applyFill="0" applyProtection="0">
      <alignment horizontal="center"/>
    </xf>
    <xf numFmtId="0" fontId="44" fillId="0" borderId="0" applyNumberFormat="0" applyFill="0" applyBorder="0" applyProtection="0">
      <alignment horizontal="left"/>
    </xf>
    <xf numFmtId="0" fontId="45" fillId="0" borderId="0" applyNumberFormat="0" applyFill="0" applyBorder="0" applyProtection="0">
      <alignment horizontal="centerContinuous"/>
    </xf>
    <xf numFmtId="0" fontId="33" fillId="0" borderId="0"/>
    <xf numFmtId="0" fontId="46" fillId="0" borderId="0" applyNumberFormat="0" applyFill="0" applyBorder="0" applyAlignment="0" applyProtection="0"/>
    <xf numFmtId="0" fontId="47" fillId="0" borderId="0" applyNumberFormat="0" applyFill="0" applyBorder="0" applyProtection="0">
      <alignment vertical="center"/>
    </xf>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201" fontId="51" fillId="0" borderId="0" applyFill="0" applyBorder="0" applyAlignment="0" applyProtection="0"/>
    <xf numFmtId="202" fontId="51" fillId="0" borderId="0" applyFill="0" applyBorder="0" applyAlignment="0" applyProtection="0"/>
    <xf numFmtId="203" fontId="51" fillId="0" borderId="0" applyFill="0" applyBorder="0" applyAlignment="0" applyProtection="0"/>
    <xf numFmtId="201" fontId="52" fillId="0" borderId="0" applyFill="0" applyBorder="0" applyAlignment="0" applyProtection="0"/>
    <xf numFmtId="202" fontId="52" fillId="0" borderId="0" applyFill="0" applyBorder="0" applyAlignment="0" applyProtection="0"/>
    <xf numFmtId="203" fontId="52" fillId="0" borderId="0" applyFill="0" applyBorder="0" applyAlignment="0" applyProtection="0"/>
    <xf numFmtId="201" fontId="53" fillId="0" borderId="0" applyFill="0" applyBorder="0" applyAlignment="0" applyProtection="0"/>
    <xf numFmtId="202" fontId="53" fillId="0" borderId="0" applyFill="0" applyBorder="0" applyAlignment="0" applyProtection="0"/>
    <xf numFmtId="203" fontId="53" fillId="0" borderId="0" applyFill="0" applyBorder="0" applyAlignment="0" applyProtection="0"/>
    <xf numFmtId="0" fontId="37" fillId="0" borderId="0"/>
    <xf numFmtId="0" fontId="37" fillId="0" borderId="0"/>
    <xf numFmtId="192" fontId="33" fillId="0" borderId="0" applyFill="0" applyBorder="0" applyAlignment="0" applyProtection="0"/>
    <xf numFmtId="201" fontId="54" fillId="0" borderId="0" applyFill="0" applyBorder="0" applyAlignment="0" applyProtection="0"/>
    <xf numFmtId="202" fontId="54" fillId="0" borderId="0" applyFill="0" applyBorder="0" applyAlignment="0" applyProtection="0"/>
    <xf numFmtId="203" fontId="54" fillId="0" borderId="0" applyFill="0" applyBorder="0" applyAlignment="0" applyProtection="0"/>
    <xf numFmtId="3" fontId="33" fillId="0" borderId="0" applyFill="0" applyBorder="0" applyAlignment="0" applyProtection="0"/>
    <xf numFmtId="204" fontId="51" fillId="0" borderId="0" applyFill="0" applyBorder="0" applyProtection="0">
      <alignment horizontal="center" vertical="center"/>
    </xf>
    <xf numFmtId="185" fontId="54" fillId="0" borderId="0" applyFont="0" applyFill="0" applyBorder="0" applyAlignment="0" applyProtection="0"/>
    <xf numFmtId="185" fontId="55" fillId="0" borderId="0" applyFont="0" applyFill="0" applyBorder="0" applyAlignment="0" applyProtection="0"/>
    <xf numFmtId="4" fontId="35" fillId="43" borderId="18" applyNumberFormat="0" applyProtection="0">
      <alignment vertical="center"/>
    </xf>
    <xf numFmtId="4" fontId="56" fillId="42" borderId="18" applyNumberFormat="0" applyProtection="0">
      <alignment vertical="center"/>
    </xf>
    <xf numFmtId="4" fontId="35" fillId="42" borderId="18" applyNumberFormat="0" applyProtection="0">
      <alignment horizontal="left" vertical="center" indent="1"/>
    </xf>
    <xf numFmtId="0" fontId="35" fillId="42" borderId="18" applyNumberFormat="0" applyProtection="0">
      <alignment horizontal="left" vertical="top" indent="1"/>
    </xf>
    <xf numFmtId="4" fontId="35" fillId="44" borderId="0" applyNumberFormat="0" applyProtection="0">
      <alignment horizontal="left" vertical="center" indent="1"/>
    </xf>
    <xf numFmtId="4" fontId="34" fillId="45" borderId="18" applyNumberFormat="0" applyProtection="0">
      <alignment horizontal="right" vertical="center"/>
    </xf>
    <xf numFmtId="4" fontId="34" fillId="46" borderId="18" applyNumberFormat="0" applyProtection="0">
      <alignment horizontal="right" vertical="center"/>
    </xf>
    <xf numFmtId="4" fontId="34" fillId="47" borderId="18" applyNumberFormat="0" applyProtection="0">
      <alignment horizontal="right" vertical="center"/>
    </xf>
    <xf numFmtId="4" fontId="34" fillId="4" borderId="18" applyNumberFormat="0" applyProtection="0">
      <alignment horizontal="right" vertical="center"/>
    </xf>
    <xf numFmtId="4" fontId="34" fillId="48" borderId="18" applyNumberFormat="0" applyProtection="0">
      <alignment horizontal="right" vertical="center"/>
    </xf>
    <xf numFmtId="4" fontId="34" fillId="49" borderId="18" applyNumberFormat="0" applyProtection="0">
      <alignment horizontal="right" vertical="center"/>
    </xf>
    <xf numFmtId="4" fontId="34" fillId="50" borderId="18" applyNumberFormat="0" applyProtection="0">
      <alignment horizontal="right" vertical="center"/>
    </xf>
    <xf numFmtId="4" fontId="34" fillId="51" borderId="18" applyNumberFormat="0" applyProtection="0">
      <alignment horizontal="right" vertical="center"/>
    </xf>
    <xf numFmtId="4" fontId="34" fillId="52" borderId="18" applyNumberFormat="0" applyProtection="0">
      <alignment horizontal="right" vertical="center"/>
    </xf>
    <xf numFmtId="4" fontId="35" fillId="53" borderId="19" applyNumberFormat="0" applyProtection="0">
      <alignment horizontal="left" vertical="center" indent="1"/>
    </xf>
    <xf numFmtId="4" fontId="34" fillId="54" borderId="0" applyNumberFormat="0" applyProtection="0">
      <alignment horizontal="left" vertical="center" indent="1"/>
    </xf>
    <xf numFmtId="4" fontId="57" fillId="55" borderId="0" applyNumberFormat="0" applyProtection="0">
      <alignment horizontal="left" vertical="center" indent="1"/>
    </xf>
    <xf numFmtId="4" fontId="34" fillId="56" borderId="18" applyNumberFormat="0" applyProtection="0">
      <alignment horizontal="right" vertical="center"/>
    </xf>
    <xf numFmtId="4" fontId="34" fillId="54" borderId="0" applyNumberFormat="0" applyProtection="0">
      <alignment horizontal="left" vertical="center" indent="1"/>
    </xf>
    <xf numFmtId="4" fontId="34" fillId="44" borderId="0" applyNumberFormat="0" applyProtection="0">
      <alignment horizontal="left" vertical="center" indent="1"/>
    </xf>
    <xf numFmtId="0" fontId="33" fillId="55" borderId="18" applyNumberFormat="0" applyProtection="0">
      <alignment horizontal="left" vertical="center" indent="1"/>
    </xf>
    <xf numFmtId="0" fontId="33" fillId="55" borderId="18" applyNumberFormat="0" applyProtection="0">
      <alignment horizontal="left" vertical="top" indent="1"/>
    </xf>
    <xf numFmtId="0" fontId="33" fillId="44" borderId="18" applyNumberFormat="0" applyProtection="0">
      <alignment horizontal="left" vertical="center" indent="1"/>
    </xf>
    <xf numFmtId="0" fontId="33" fillId="44" borderId="18" applyNumberFormat="0" applyProtection="0">
      <alignment horizontal="left" vertical="top" indent="1"/>
    </xf>
    <xf numFmtId="0" fontId="33" fillId="57" borderId="18" applyNumberFormat="0" applyProtection="0">
      <alignment horizontal="left" vertical="center" indent="1"/>
    </xf>
    <xf numFmtId="0" fontId="33" fillId="57" borderId="18" applyNumberFormat="0" applyProtection="0">
      <alignment horizontal="left" vertical="top" indent="1"/>
    </xf>
    <xf numFmtId="0" fontId="33" fillId="2" borderId="18" applyNumberFormat="0" applyProtection="0">
      <alignment horizontal="left" vertical="center" indent="1"/>
    </xf>
    <xf numFmtId="0" fontId="33" fillId="2" borderId="18" applyNumberFormat="0" applyProtection="0">
      <alignment horizontal="left" vertical="top" indent="1"/>
    </xf>
    <xf numFmtId="4" fontId="34" fillId="58" borderId="18" applyNumberFormat="0" applyProtection="0">
      <alignment vertical="center"/>
    </xf>
    <xf numFmtId="4" fontId="58" fillId="58" borderId="18" applyNumberFormat="0" applyProtection="0">
      <alignment vertical="center"/>
    </xf>
    <xf numFmtId="4" fontId="34" fillId="58" borderId="18" applyNumberFormat="0" applyProtection="0">
      <alignment horizontal="left" vertical="center" indent="1"/>
    </xf>
    <xf numFmtId="0" fontId="34" fillId="58" borderId="18" applyNumberFormat="0" applyProtection="0">
      <alignment horizontal="left" vertical="top" indent="1"/>
    </xf>
    <xf numFmtId="4" fontId="34" fillId="54" borderId="18" applyNumberFormat="0" applyProtection="0">
      <alignment horizontal="right" vertical="center"/>
    </xf>
    <xf numFmtId="4" fontId="58" fillId="54" borderId="18" applyNumberFormat="0" applyProtection="0">
      <alignment horizontal="right" vertical="center"/>
    </xf>
    <xf numFmtId="4" fontId="34" fillId="56" borderId="18" applyNumberFormat="0" applyProtection="0">
      <alignment horizontal="left" vertical="center" indent="1"/>
    </xf>
    <xf numFmtId="0" fontId="34" fillId="44" borderId="18" applyNumberFormat="0" applyProtection="0">
      <alignment horizontal="left" vertical="top" indent="1"/>
    </xf>
    <xf numFmtId="4" fontId="59" fillId="59" borderId="0" applyNumberFormat="0" applyProtection="0">
      <alignment horizontal="left" vertical="center" indent="1"/>
    </xf>
    <xf numFmtId="4" fontId="40" fillId="54" borderId="18" applyNumberFormat="0" applyProtection="0">
      <alignment horizontal="right" vertical="center"/>
    </xf>
    <xf numFmtId="0" fontId="13" fillId="0" borderId="0"/>
    <xf numFmtId="0" fontId="13" fillId="0" borderId="0"/>
    <xf numFmtId="0" fontId="13" fillId="0" borderId="0"/>
    <xf numFmtId="0" fontId="13" fillId="0" borderId="0"/>
    <xf numFmtId="9" fontId="29" fillId="0" borderId="0" applyFont="0" applyFill="0" applyBorder="0" applyAlignment="0" applyProtection="0"/>
    <xf numFmtId="191" fontId="29" fillId="0" borderId="0" applyFont="0" applyFill="0" applyBorder="0" applyAlignment="0" applyProtection="0"/>
    <xf numFmtId="191" fontId="13" fillId="0" borderId="0" applyFont="0" applyFill="0" applyBorder="0" applyAlignment="0" applyProtection="0"/>
    <xf numFmtId="9" fontId="13" fillId="0" borderId="0" applyFont="0" applyFill="0" applyBorder="0" applyAlignment="0" applyProtection="0"/>
    <xf numFmtId="0" fontId="33" fillId="0" borderId="0"/>
    <xf numFmtId="187" fontId="2" fillId="0" borderId="0" applyFont="0" applyFill="0" applyBorder="0" applyAlignment="0" applyProtection="0">
      <alignment vertical="center"/>
    </xf>
    <xf numFmtId="187" fontId="2" fillId="0" borderId="0" applyFont="0" applyFill="0" applyBorder="0" applyAlignment="0" applyProtection="0">
      <alignment vertical="center"/>
    </xf>
    <xf numFmtId="0" fontId="13" fillId="0" borderId="0"/>
    <xf numFmtId="187" fontId="2" fillId="0" borderId="0" applyFont="0" applyFill="0" applyBorder="0" applyAlignment="0" applyProtection="0">
      <alignment vertical="center"/>
    </xf>
    <xf numFmtId="187" fontId="2" fillId="0" borderId="0" applyFont="0" applyFill="0" applyBorder="0" applyAlignment="0" applyProtection="0">
      <alignment vertical="center"/>
    </xf>
    <xf numFmtId="0" fontId="27" fillId="39" borderId="0" applyNumberFormat="0">
      <alignment horizontal="center" vertical="top" wrapText="1"/>
    </xf>
    <xf numFmtId="188" fontId="2" fillId="0" borderId="0" applyFont="0" applyFill="0" applyBorder="0" applyAlignment="0" applyProtection="0">
      <alignment horizontal="right" vertical="center"/>
    </xf>
    <xf numFmtId="0" fontId="27" fillId="39" borderId="0" applyNumberFormat="0">
      <alignment horizontal="center" vertical="top" wrapText="1"/>
    </xf>
    <xf numFmtId="188" fontId="2" fillId="0" borderId="0" applyFont="0" applyFill="0" applyBorder="0" applyAlignment="0" applyProtection="0">
      <alignment horizontal="right" vertical="center"/>
    </xf>
    <xf numFmtId="188" fontId="2" fillId="0" borderId="0" applyFont="0" applyFill="0" applyBorder="0" applyAlignment="0" applyProtection="0">
      <alignment horizontal="right" vertical="center"/>
    </xf>
    <xf numFmtId="188" fontId="2" fillId="0" borderId="0" applyFont="0" applyFill="0" applyBorder="0" applyAlignment="0" applyProtection="0">
      <alignment horizontal="right" vertical="center"/>
    </xf>
    <xf numFmtId="188" fontId="2" fillId="0" borderId="0" applyFont="0" applyFill="0" applyBorder="0" applyAlignment="0" applyProtection="0">
      <alignment horizontal="right" vertical="center"/>
    </xf>
    <xf numFmtId="0" fontId="27" fillId="39" borderId="0" applyNumberFormat="0">
      <alignment horizontal="center" vertical="top" wrapText="1"/>
    </xf>
    <xf numFmtId="187" fontId="2" fillId="0" borderId="0" applyFont="0" applyFill="0" applyBorder="0" applyAlignment="0" applyProtection="0">
      <alignment vertical="center"/>
    </xf>
    <xf numFmtId="0" fontId="27" fillId="39" borderId="0" applyNumberFormat="0">
      <alignment horizontal="center" vertical="top" wrapText="1"/>
    </xf>
    <xf numFmtId="0" fontId="27" fillId="39" borderId="0" applyNumberFormat="0">
      <alignment horizontal="center" vertical="top" wrapText="1"/>
    </xf>
    <xf numFmtId="188" fontId="2" fillId="0" borderId="0" applyFont="0" applyFill="0" applyBorder="0" applyAlignment="0" applyProtection="0">
      <alignment horizontal="right" vertical="center"/>
    </xf>
    <xf numFmtId="188" fontId="2" fillId="0" borderId="0" applyFont="0" applyFill="0" applyBorder="0" applyAlignment="0" applyProtection="0">
      <alignment horizontal="right" vertical="center"/>
    </xf>
    <xf numFmtId="187" fontId="2" fillId="0" borderId="0" applyFont="0" applyFill="0" applyBorder="0" applyAlignment="0" applyProtection="0">
      <alignment vertical="center"/>
    </xf>
    <xf numFmtId="187" fontId="2" fillId="0" borderId="0" applyFont="0" applyFill="0" applyBorder="0" applyAlignment="0" applyProtection="0">
      <alignment vertical="center"/>
    </xf>
    <xf numFmtId="188" fontId="2" fillId="0" borderId="0" applyFont="0" applyFill="0" applyBorder="0" applyAlignment="0" applyProtection="0">
      <alignment horizontal="right" vertical="center"/>
    </xf>
    <xf numFmtId="188" fontId="2" fillId="0" borderId="0" applyFont="0" applyFill="0" applyBorder="0" applyAlignment="0" applyProtection="0">
      <alignment horizontal="right" vertical="center"/>
    </xf>
    <xf numFmtId="0" fontId="5" fillId="2" borderId="0" applyNumberFormat="0">
      <alignment horizontal="center" vertical="top" wrapText="1"/>
    </xf>
    <xf numFmtId="0" fontId="27" fillId="39" borderId="0" applyNumberFormat="0">
      <alignment horizontal="center" vertical="top" wrapText="1"/>
    </xf>
    <xf numFmtId="187" fontId="2" fillId="0" borderId="0" applyFont="0" applyFill="0" applyBorder="0" applyAlignment="0" applyProtection="0">
      <alignment vertical="center"/>
    </xf>
    <xf numFmtId="205" fontId="2" fillId="0" borderId="0" applyFont="0" applyFill="0" applyBorder="0" applyAlignment="0" applyProtection="0">
      <alignment vertical="center"/>
    </xf>
    <xf numFmtId="0" fontId="2" fillId="0" borderId="0">
      <alignment vertical="center"/>
    </xf>
    <xf numFmtId="0" fontId="27" fillId="39" borderId="0" applyNumberFormat="0">
      <alignment horizontal="center" vertical="top" wrapText="1"/>
    </xf>
    <xf numFmtId="187" fontId="2" fillId="0" borderId="0" applyFont="0" applyFill="0" applyBorder="0" applyAlignment="0" applyProtection="0">
      <alignment vertical="center"/>
    </xf>
    <xf numFmtId="9" fontId="2" fillId="0" borderId="0" applyFont="0" applyFill="0" applyBorder="0" applyAlignment="0" applyProtection="0"/>
    <xf numFmtId="188" fontId="2" fillId="0" borderId="0" applyFont="0" applyFill="0" applyBorder="0" applyAlignment="0" applyProtection="0">
      <alignment horizontal="right" vertical="center"/>
    </xf>
    <xf numFmtId="187" fontId="2" fillId="0" borderId="0" applyFont="0" applyFill="0" applyBorder="0" applyAlignment="0" applyProtection="0">
      <alignment vertical="center"/>
    </xf>
    <xf numFmtId="0" fontId="27" fillId="39" borderId="0" applyNumberFormat="0">
      <alignment horizontal="center" vertical="top" wrapText="1"/>
    </xf>
    <xf numFmtId="188" fontId="2" fillId="0" borderId="0" applyFont="0" applyFill="0" applyBorder="0" applyAlignment="0" applyProtection="0">
      <alignment horizontal="right" vertical="center"/>
    </xf>
    <xf numFmtId="187" fontId="2" fillId="0" borderId="0" applyFont="0" applyFill="0" applyBorder="0" applyAlignment="0" applyProtection="0">
      <alignment vertical="center"/>
    </xf>
    <xf numFmtId="188" fontId="2" fillId="0" borderId="0" applyFont="0" applyFill="0" applyBorder="0" applyAlignment="0" applyProtection="0">
      <alignment horizontal="right" vertical="center"/>
    </xf>
    <xf numFmtId="9" fontId="2" fillId="0" borderId="0" applyFont="0" applyFill="0" applyBorder="0" applyAlignment="0" applyProtection="0"/>
    <xf numFmtId="43" fontId="2" fillId="0" borderId="0" applyFont="0" applyFill="0" applyBorder="0" applyAlignment="0" applyProtection="0"/>
    <xf numFmtId="0" fontId="62" fillId="0" borderId="0" applyNumberFormat="0" applyFill="0" applyBorder="0" applyAlignment="0" applyProtection="0">
      <alignment vertical="center"/>
    </xf>
  </cellStyleXfs>
  <cellXfs count="344">
    <xf numFmtId="0" fontId="0" fillId="0" borderId="0" xfId="0">
      <alignment vertical="center"/>
    </xf>
    <xf numFmtId="0" fontId="5" fillId="2" borderId="0" xfId="29">
      <alignment horizontal="center" vertical="top" wrapText="1"/>
    </xf>
    <xf numFmtId="0" fontId="0" fillId="0" borderId="0" xfId="0" applyFill="1">
      <alignment vertical="center"/>
    </xf>
    <xf numFmtId="212" fontId="0" fillId="0" borderId="0" xfId="74" applyFont="1">
      <alignment vertical="center"/>
    </xf>
    <xf numFmtId="0" fontId="2" fillId="0" borderId="0" xfId="80">
      <alignment horizontal="left" vertical="center" wrapText="1" indent="1"/>
    </xf>
    <xf numFmtId="0" fontId="5" fillId="0" borderId="0" xfId="79">
      <alignment horizontal="left" vertical="center" wrapText="1"/>
    </xf>
    <xf numFmtId="0" fontId="5" fillId="2" borderId="0" xfId="89" applyNumberFormat="1" applyAlignment="1">
      <alignment horizontal="left" vertical="center" wrapText="1"/>
    </xf>
    <xf numFmtId="0" fontId="5" fillId="0" borderId="4" xfId="81" applyNumberFormat="1" applyAlignment="1">
      <alignment horizontal="left" vertical="center" wrapText="1" indent="1"/>
    </xf>
    <xf numFmtId="0" fontId="4" fillId="0" borderId="0" xfId="55">
      <alignment vertical="center"/>
    </xf>
    <xf numFmtId="164" fontId="2" fillId="0" borderId="3" xfId="69" applyNumberFormat="1">
      <alignment vertical="center"/>
      <protection locked="0"/>
    </xf>
    <xf numFmtId="164" fontId="2" fillId="0" borderId="1" xfId="64" applyNumberFormat="1">
      <alignment vertical="center"/>
    </xf>
    <xf numFmtId="164" fontId="2" fillId="0" borderId="2" xfId="65" applyNumberFormat="1">
      <alignment vertical="center"/>
      <protection locked="0"/>
    </xf>
    <xf numFmtId="164" fontId="2" fillId="6" borderId="0" xfId="67" applyNumberFormat="1">
      <alignment vertical="center"/>
    </xf>
    <xf numFmtId="164" fontId="2" fillId="0" borderId="0" xfId="26" applyNumberFormat="1">
      <alignment vertical="center"/>
    </xf>
    <xf numFmtId="164" fontId="2" fillId="8" borderId="0" xfId="76" applyNumberFormat="1">
      <alignment vertical="center"/>
    </xf>
    <xf numFmtId="164" fontId="2" fillId="3" borderId="0" xfId="62" applyNumberFormat="1">
      <alignment vertical="center"/>
    </xf>
    <xf numFmtId="213" fontId="0" fillId="0" borderId="0" xfId="75" applyFont="1">
      <alignment vertical="center"/>
    </xf>
    <xf numFmtId="169" fontId="0" fillId="0" borderId="0" xfId="33" applyFont="1">
      <alignment vertical="center"/>
    </xf>
    <xf numFmtId="170" fontId="0" fillId="0" borderId="0" xfId="35" applyFont="1">
      <alignment vertical="center"/>
    </xf>
    <xf numFmtId="171" fontId="0" fillId="0" borderId="0" xfId="40" applyFont="1">
      <alignment vertical="center"/>
    </xf>
    <xf numFmtId="172" fontId="0" fillId="0" borderId="0" xfId="41" applyFont="1">
      <alignment vertical="center"/>
    </xf>
    <xf numFmtId="173" fontId="0" fillId="0" borderId="0" xfId="38" applyFont="1">
      <alignment vertical="center"/>
    </xf>
    <xf numFmtId="174" fontId="0" fillId="0" borderId="0" xfId="39" applyFont="1">
      <alignment vertical="center"/>
    </xf>
    <xf numFmtId="168" fontId="0" fillId="0" borderId="0" xfId="48" applyFont="1">
      <alignment vertical="center"/>
    </xf>
    <xf numFmtId="0" fontId="7" fillId="0" borderId="0" xfId="73">
      <alignment vertical="center"/>
    </xf>
    <xf numFmtId="175" fontId="0" fillId="0" borderId="0" xfId="36" applyFont="1">
      <alignment vertical="center"/>
    </xf>
    <xf numFmtId="176" fontId="0" fillId="0" borderId="0" xfId="37" applyFont="1">
      <alignment vertical="center"/>
    </xf>
    <xf numFmtId="177" fontId="0" fillId="0" borderId="0" xfId="46" applyFont="1">
      <alignment vertical="center"/>
    </xf>
    <xf numFmtId="178" fontId="0" fillId="0" borderId="0" xfId="47" applyFont="1">
      <alignment vertical="center"/>
    </xf>
    <xf numFmtId="179" fontId="0" fillId="0" borderId="0" xfId="44" applyFont="1">
      <alignment vertical="center"/>
    </xf>
    <xf numFmtId="180" fontId="0" fillId="0" borderId="0" xfId="45" applyFont="1">
      <alignment vertical="center"/>
    </xf>
    <xf numFmtId="181" fontId="0" fillId="0" borderId="0" xfId="42" applyFont="1">
      <alignment vertical="center"/>
    </xf>
    <xf numFmtId="182" fontId="0" fillId="0" borderId="0" xfId="43" applyFont="1">
      <alignment vertical="center"/>
    </xf>
    <xf numFmtId="184" fontId="0" fillId="0" borderId="0" xfId="50" applyFont="1">
      <alignment vertical="center"/>
    </xf>
    <xf numFmtId="0" fontId="5" fillId="0" borderId="0" xfId="57">
      <alignment vertical="center"/>
    </xf>
    <xf numFmtId="0" fontId="1" fillId="0" borderId="0" xfId="56" applyAlignment="1">
      <alignment vertical="center"/>
    </xf>
    <xf numFmtId="0" fontId="5" fillId="0" borderId="4" xfId="81" applyNumberFormat="1">
      <alignment vertical="center"/>
    </xf>
    <xf numFmtId="0" fontId="5" fillId="2" borderId="0" xfId="89" applyNumberFormat="1">
      <alignment vertical="center"/>
    </xf>
    <xf numFmtId="0" fontId="0" fillId="9" borderId="0" xfId="83" applyFont="1">
      <alignment vertical="center"/>
    </xf>
    <xf numFmtId="0" fontId="0" fillId="0" borderId="5" xfId="82" applyNumberFormat="1" applyFont="1">
      <alignment vertical="center"/>
    </xf>
    <xf numFmtId="164" fontId="11" fillId="0" borderId="0" xfId="71" applyNumberFormat="1">
      <alignment vertical="center"/>
    </xf>
    <xf numFmtId="164" fontId="7" fillId="0" borderId="0" xfId="73" applyNumberFormat="1">
      <alignment vertical="center"/>
    </xf>
    <xf numFmtId="0" fontId="3" fillId="0" borderId="0" xfId="54">
      <alignment vertical="center"/>
    </xf>
    <xf numFmtId="0" fontId="11" fillId="0" borderId="0" xfId="71">
      <alignment vertical="center"/>
    </xf>
    <xf numFmtId="0" fontId="0" fillId="3" borderId="0" xfId="62" applyFont="1">
      <alignment vertical="center"/>
    </xf>
    <xf numFmtId="0" fontId="5" fillId="3" borderId="0" xfId="57" applyFill="1">
      <alignment vertical="center"/>
    </xf>
    <xf numFmtId="0" fontId="7" fillId="0" borderId="0" xfId="73" applyFont="1">
      <alignment vertical="center"/>
    </xf>
    <xf numFmtId="164" fontId="0" fillId="9" borderId="0" xfId="83" applyNumberFormat="1" applyFont="1">
      <alignment vertical="center"/>
    </xf>
    <xf numFmtId="166" fontId="0" fillId="9" borderId="0" xfId="83" applyNumberFormat="1" applyFont="1">
      <alignment vertical="center"/>
    </xf>
    <xf numFmtId="166" fontId="0" fillId="0" borderId="0" xfId="85" applyNumberFormat="1" applyFont="1">
      <alignment vertical="center"/>
    </xf>
    <xf numFmtId="167" fontId="0" fillId="0" borderId="0" xfId="85" applyNumberFormat="1" applyFont="1">
      <alignment vertical="center"/>
    </xf>
    <xf numFmtId="0" fontId="0" fillId="0" borderId="0" xfId="90" applyFont="1">
      <alignment vertical="center"/>
    </xf>
    <xf numFmtId="164" fontId="2" fillId="0" borderId="0" xfId="90" applyNumberFormat="1">
      <alignment vertical="center"/>
    </xf>
    <xf numFmtId="0" fontId="0" fillId="0" borderId="0" xfId="85" applyNumberFormat="1" applyFont="1">
      <alignment vertical="center"/>
    </xf>
    <xf numFmtId="164" fontId="2" fillId="5" borderId="2" xfId="66">
      <alignment vertical="center"/>
      <protection locked="0"/>
    </xf>
    <xf numFmtId="0" fontId="5" fillId="0" borderId="0" xfId="79" applyAlignment="1">
      <alignment horizontal="left" vertical="center" wrapText="1"/>
    </xf>
    <xf numFmtId="0" fontId="0" fillId="0" borderId="0" xfId="0" applyBorder="1">
      <alignment vertical="center"/>
    </xf>
    <xf numFmtId="164" fontId="5" fillId="2" borderId="0" xfId="89">
      <alignment vertical="center"/>
    </xf>
    <xf numFmtId="0" fontId="4" fillId="0" borderId="0" xfId="55" applyFill="1" applyAlignment="1">
      <alignment horizontal="left"/>
    </xf>
    <xf numFmtId="0" fontId="5" fillId="0" borderId="0" xfId="79" applyAlignment="1">
      <alignment horizontal="left" vertical="center" wrapText="1" indent="1"/>
    </xf>
    <xf numFmtId="0" fontId="5" fillId="9" borderId="5" xfId="83" applyFont="1" applyBorder="1">
      <alignment vertical="center"/>
    </xf>
    <xf numFmtId="164" fontId="5" fillId="8" borderId="0" xfId="76" applyNumberFormat="1" applyFont="1">
      <alignment vertical="center"/>
    </xf>
    <xf numFmtId="0" fontId="5" fillId="8" borderId="0" xfId="76" applyFont="1" applyAlignment="1">
      <alignment horizontal="left" vertical="center" wrapText="1"/>
    </xf>
    <xf numFmtId="49" fontId="0" fillId="0" borderId="0" xfId="86" applyFont="1" applyAlignment="1">
      <alignment vertical="center"/>
    </xf>
    <xf numFmtId="164" fontId="2" fillId="7" borderId="0" xfId="68" applyNumberFormat="1" applyFill="1">
      <alignment vertical="center"/>
    </xf>
    <xf numFmtId="165" fontId="8" fillId="0" borderId="0" xfId="28">
      <alignment vertical="center"/>
    </xf>
    <xf numFmtId="0" fontId="5" fillId="2" borderId="0" xfId="30">
      <alignment horizontal="left" vertical="top" wrapText="1"/>
    </xf>
    <xf numFmtId="0" fontId="2" fillId="2" borderId="0" xfId="32">
      <alignment horizontal="center" vertical="top" wrapText="1"/>
    </xf>
    <xf numFmtId="164" fontId="2" fillId="7" borderId="0" xfId="68" applyNumberFormat="1">
      <alignment vertical="center"/>
    </xf>
    <xf numFmtId="164" fontId="5" fillId="0" borderId="0" xfId="88">
      <alignment vertical="center"/>
    </xf>
    <xf numFmtId="0" fontId="5" fillId="2" borderId="0" xfId="31">
      <alignment horizontal="centerContinuous" vertical="top"/>
    </xf>
    <xf numFmtId="183" fontId="0" fillId="0" borderId="0" xfId="49" applyFont="1">
      <alignment vertical="center"/>
    </xf>
    <xf numFmtId="0" fontId="5" fillId="8" borderId="0" xfId="76" applyFont="1">
      <alignment vertical="center"/>
    </xf>
    <xf numFmtId="49" fontId="2" fillId="0" borderId="0" xfId="86" applyFont="1" applyAlignment="1">
      <alignment vertical="center"/>
    </xf>
    <xf numFmtId="0" fontId="0" fillId="0" borderId="0" xfId="0" applyAlignment="1">
      <alignment horizontal="center" vertical="center"/>
    </xf>
    <xf numFmtId="0" fontId="6" fillId="0" borderId="0" xfId="53" applyFill="1" applyAlignment="1">
      <alignment horizontal="center" vertical="center"/>
    </xf>
    <xf numFmtId="38" fontId="6" fillId="0" borderId="0" xfId="53" applyNumberFormat="1" applyFill="1" applyBorder="1" applyAlignment="1">
      <alignment horizontal="center" vertical="center"/>
    </xf>
    <xf numFmtId="38" fontId="6" fillId="0" borderId="0" xfId="53" applyNumberFormat="1" applyFill="1" applyBorder="1">
      <alignment vertical="center"/>
    </xf>
    <xf numFmtId="0" fontId="6" fillId="0" borderId="0" xfId="53" applyFill="1" applyBorder="1">
      <alignment vertical="center"/>
    </xf>
    <xf numFmtId="0" fontId="6" fillId="0" borderId="0" xfId="53" applyFill="1">
      <alignment vertical="center"/>
    </xf>
    <xf numFmtId="0" fontId="0" fillId="0" borderId="6" xfId="0" applyBorder="1">
      <alignment vertical="center"/>
    </xf>
    <xf numFmtId="0" fontId="6" fillId="0" borderId="0" xfId="53" applyFont="1" applyFill="1">
      <alignment vertical="center"/>
    </xf>
    <xf numFmtId="0" fontId="0" fillId="0" borderId="0" xfId="0">
      <alignment vertical="center"/>
    </xf>
    <xf numFmtId="0" fontId="2" fillId="0" borderId="3" xfId="69">
      <alignment vertical="center"/>
      <protection locked="0"/>
    </xf>
    <xf numFmtId="0" fontId="2" fillId="0" borderId="2" xfId="65">
      <alignment vertical="center"/>
      <protection locked="0"/>
    </xf>
    <xf numFmtId="0" fontId="11" fillId="0" borderId="0" xfId="71">
      <alignment vertical="center"/>
    </xf>
    <xf numFmtId="0" fontId="27" fillId="39" borderId="0" xfId="93">
      <alignment horizontal="center" vertical="top" wrapText="1"/>
    </xf>
    <xf numFmtId="0" fontId="11" fillId="0" borderId="0" xfId="71" applyFill="1" applyBorder="1">
      <alignment vertical="center"/>
    </xf>
    <xf numFmtId="0" fontId="27" fillId="39" borderId="0" xfId="95">
      <alignment horizontal="centerContinuous" vertical="top"/>
    </xf>
    <xf numFmtId="0" fontId="27" fillId="39" borderId="0" xfId="112" applyAlignment="1">
      <alignment horizontal="left" vertical="top"/>
    </xf>
    <xf numFmtId="187" fontId="8" fillId="0" borderId="0" xfId="248"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5" fillId="0" borderId="0" xfId="57">
      <alignment vertical="center"/>
    </xf>
    <xf numFmtId="0" fontId="0" fillId="0" borderId="0" xfId="0">
      <alignment vertical="center"/>
    </xf>
    <xf numFmtId="0" fontId="5" fillId="0" borderId="0" xfId="57">
      <alignment vertical="center"/>
    </xf>
    <xf numFmtId="0" fontId="11" fillId="0" borderId="0" xfId="71">
      <alignment vertical="center"/>
    </xf>
    <xf numFmtId="0" fontId="8" fillId="0" borderId="0" xfId="28" applyNumberFormat="1">
      <alignment vertical="center"/>
    </xf>
    <xf numFmtId="0" fontId="2" fillId="0" borderId="3" xfId="69">
      <alignment vertical="center"/>
      <protection locked="0"/>
    </xf>
    <xf numFmtId="0" fontId="2" fillId="6" borderId="0" xfId="67">
      <alignment vertical="center"/>
    </xf>
    <xf numFmtId="0" fontId="5" fillId="0" borderId="0" xfId="0" applyFont="1">
      <alignment vertical="center"/>
    </xf>
    <xf numFmtId="0" fontId="2" fillId="0" borderId="1" xfId="64">
      <alignment vertical="center"/>
    </xf>
    <xf numFmtId="0" fontId="5" fillId="0" borderId="0" xfId="57">
      <alignment vertical="center"/>
    </xf>
    <xf numFmtId="0" fontId="2" fillId="0" borderId="3" xfId="69" applyNumberFormat="1">
      <alignment vertical="center"/>
      <protection locked="0"/>
    </xf>
    <xf numFmtId="0" fontId="11" fillId="0" borderId="0" xfId="71" applyFill="1" applyBorder="1">
      <alignment vertical="center"/>
    </xf>
    <xf numFmtId="187" fontId="2" fillId="0" borderId="3" xfId="254" applyBorder="1" applyProtection="1">
      <alignment vertical="center"/>
      <protection locked="0"/>
    </xf>
    <xf numFmtId="0" fontId="2" fillId="0" borderId="2" xfId="65">
      <alignment vertical="center"/>
      <protection locked="0"/>
    </xf>
    <xf numFmtId="0" fontId="0" fillId="0" borderId="0" xfId="0">
      <alignment vertical="center"/>
    </xf>
    <xf numFmtId="0" fontId="11" fillId="0" borderId="0" xfId="71">
      <alignment vertical="center"/>
    </xf>
    <xf numFmtId="0" fontId="5" fillId="0" borderId="0" xfId="0" applyFont="1">
      <alignment vertical="center"/>
    </xf>
    <xf numFmtId="0" fontId="8" fillId="0" borderId="0" xfId="28" applyNumberFormat="1">
      <alignment vertical="center"/>
    </xf>
    <xf numFmtId="0" fontId="0" fillId="0" borderId="0" xfId="0">
      <alignment vertical="center"/>
    </xf>
    <xf numFmtId="0" fontId="11" fillId="0" borderId="0" xfId="71">
      <alignment vertical="center"/>
    </xf>
    <xf numFmtId="0" fontId="5" fillId="0" borderId="0" xfId="0" applyFont="1">
      <alignment vertical="center"/>
    </xf>
    <xf numFmtId="0" fontId="8" fillId="0" borderId="0" xfId="28" applyNumberFormat="1">
      <alignment vertical="center"/>
    </xf>
    <xf numFmtId="0" fontId="0" fillId="0" borderId="0" xfId="0">
      <alignment vertical="center"/>
    </xf>
    <xf numFmtId="0" fontId="11" fillId="0" borderId="0" xfId="71">
      <alignment vertical="center"/>
    </xf>
    <xf numFmtId="0" fontId="6" fillId="0" borderId="0" xfId="53" applyFill="1" applyBorder="1">
      <alignment vertical="center"/>
    </xf>
    <xf numFmtId="0" fontId="6" fillId="0" borderId="0" xfId="53" applyFont="1" applyFill="1">
      <alignment vertical="center"/>
    </xf>
    <xf numFmtId="0" fontId="2" fillId="0" borderId="2" xfId="65">
      <alignment vertical="center"/>
      <protection locked="0"/>
    </xf>
    <xf numFmtId="0" fontId="5" fillId="0" borderId="0" xfId="0" applyFont="1">
      <alignment vertical="center"/>
    </xf>
    <xf numFmtId="0" fontId="2" fillId="0" borderId="3" xfId="69">
      <alignment vertical="center"/>
      <protection locked="0"/>
    </xf>
    <xf numFmtId="0" fontId="8" fillId="0" borderId="0" xfId="28" applyNumberFormat="1">
      <alignment vertical="center"/>
    </xf>
    <xf numFmtId="0" fontId="0" fillId="0" borderId="0" xfId="0">
      <alignment vertical="center"/>
    </xf>
    <xf numFmtId="0" fontId="6" fillId="0" borderId="0" xfId="53" applyFont="1" applyFill="1">
      <alignment vertical="center"/>
    </xf>
    <xf numFmtId="0" fontId="5" fillId="0" borderId="0" xfId="0" applyFont="1">
      <alignment vertical="center"/>
    </xf>
    <xf numFmtId="0" fontId="11" fillId="0" borderId="0" xfId="71">
      <alignment vertical="center"/>
    </xf>
    <xf numFmtId="0" fontId="6" fillId="0" borderId="0" xfId="53" applyFill="1" applyBorder="1">
      <alignment vertical="center"/>
    </xf>
    <xf numFmtId="0" fontId="0" fillId="0" borderId="0" xfId="0">
      <alignment vertical="center"/>
    </xf>
    <xf numFmtId="0" fontId="0" fillId="0" borderId="0" xfId="0">
      <alignment vertical="center"/>
    </xf>
    <xf numFmtId="0" fontId="11" fillId="0" borderId="0" xfId="71">
      <alignment vertical="center"/>
    </xf>
    <xf numFmtId="0" fontId="27" fillId="39" borderId="0" xfId="95">
      <alignment horizontal="centerContinuous" vertical="top"/>
    </xf>
    <xf numFmtId="0" fontId="5" fillId="0" borderId="0" xfId="0" applyFont="1">
      <alignment vertical="center"/>
    </xf>
    <xf numFmtId="0" fontId="27" fillId="39" borderId="0" xfId="257" applyAlignment="1">
      <alignment horizontal="left" vertical="top"/>
    </xf>
    <xf numFmtId="0" fontId="0" fillId="0" borderId="0" xfId="0">
      <alignment vertical="center"/>
    </xf>
    <xf numFmtId="0" fontId="11" fillId="0" borderId="0" xfId="71">
      <alignment vertical="center"/>
    </xf>
    <xf numFmtId="0" fontId="8" fillId="0" borderId="0" xfId="28" applyNumberFormat="1">
      <alignment vertical="center"/>
    </xf>
    <xf numFmtId="0" fontId="5" fillId="0" borderId="0" xfId="0" applyFont="1">
      <alignment vertical="center"/>
    </xf>
    <xf numFmtId="0" fontId="0" fillId="0" borderId="0" xfId="0">
      <alignment vertical="center"/>
    </xf>
    <xf numFmtId="0" fontId="27" fillId="39" borderId="0" xfId="235">
      <alignment horizontal="center" vertical="top" wrapText="1"/>
    </xf>
    <xf numFmtId="0" fontId="27" fillId="39" borderId="0" xfId="95">
      <alignment horizontal="centerContinuous" vertical="top"/>
    </xf>
    <xf numFmtId="187" fontId="8" fillId="0" borderId="0" xfId="258" applyFont="1">
      <alignment vertical="center"/>
    </xf>
    <xf numFmtId="0" fontId="2" fillId="6" borderId="0" xfId="67">
      <alignment vertical="center"/>
    </xf>
    <xf numFmtId="0" fontId="27" fillId="39" borderId="0" xfId="262" applyAlignment="1">
      <alignment horizontal="left" vertical="top"/>
    </xf>
    <xf numFmtId="0" fontId="11" fillId="0" borderId="0" xfId="71">
      <alignment vertical="center"/>
    </xf>
    <xf numFmtId="0" fontId="2" fillId="0" borderId="2" xfId="65">
      <alignment vertical="center"/>
      <protection locked="0"/>
    </xf>
    <xf numFmtId="0" fontId="5" fillId="0" borderId="0" xfId="0" applyFont="1">
      <alignment vertical="center"/>
    </xf>
    <xf numFmtId="0" fontId="8" fillId="0" borderId="0" xfId="28" applyNumberFormat="1">
      <alignment vertical="center"/>
    </xf>
    <xf numFmtId="0" fontId="0" fillId="0" borderId="0" xfId="0">
      <alignment vertical="center"/>
    </xf>
    <xf numFmtId="0" fontId="11" fillId="0" borderId="0" xfId="71">
      <alignment vertical="center"/>
    </xf>
    <xf numFmtId="0" fontId="2" fillId="0" borderId="2" xfId="65">
      <alignment vertical="center"/>
      <protection locked="0"/>
    </xf>
    <xf numFmtId="0" fontId="5" fillId="0" borderId="0" xfId="0" applyFont="1">
      <alignment vertical="center"/>
    </xf>
    <xf numFmtId="0" fontId="8" fillId="0" borderId="0" xfId="28" applyNumberFormat="1">
      <alignment vertical="center"/>
    </xf>
    <xf numFmtId="0" fontId="27" fillId="39" borderId="0" xfId="108" applyAlignment="1">
      <alignment horizontal="left" vertical="top"/>
    </xf>
    <xf numFmtId="187" fontId="8" fillId="0" borderId="0" xfId="249" applyFont="1">
      <alignment vertical="center"/>
    </xf>
    <xf numFmtId="0" fontId="0" fillId="0" borderId="0" xfId="0" applyFill="1" applyBorder="1">
      <alignment vertical="center"/>
    </xf>
    <xf numFmtId="0" fontId="27" fillId="60" borderId="0" xfId="0" applyFont="1" applyFill="1">
      <alignment vertical="center"/>
    </xf>
    <xf numFmtId="0" fontId="27" fillId="61" borderId="0" xfId="0" applyFont="1" applyFill="1">
      <alignment vertical="center"/>
    </xf>
    <xf numFmtId="0" fontId="5" fillId="0" borderId="0" xfId="0" applyFont="1" applyAlignment="1">
      <alignment vertical="center" wrapText="1"/>
    </xf>
    <xf numFmtId="0" fontId="5" fillId="0" borderId="0" xfId="0" applyFont="1" applyAlignment="1">
      <alignment vertical="center"/>
    </xf>
    <xf numFmtId="0" fontId="0" fillId="0" borderId="0" xfId="0" applyAlignment="1">
      <alignment horizontal="left" vertical="center" indent="1"/>
    </xf>
    <xf numFmtId="0" fontId="5" fillId="0" borderId="0" xfId="0" applyFont="1" applyAlignment="1">
      <alignment horizontal="left" vertical="center" indent="1"/>
    </xf>
    <xf numFmtId="0" fontId="27" fillId="39" borderId="0" xfId="108">
      <alignment horizontal="center" vertical="top" wrapText="1"/>
    </xf>
    <xf numFmtId="0" fontId="27" fillId="39" borderId="20" xfId="108" applyBorder="1">
      <alignment horizontal="center" vertical="top" wrapText="1"/>
    </xf>
    <xf numFmtId="0" fontId="27" fillId="39" borderId="20" xfId="108" applyBorder="1" applyAlignment="1">
      <alignment horizontal="center" vertical="top"/>
    </xf>
    <xf numFmtId="0" fontId="27" fillId="39" borderId="21" xfId="95" applyBorder="1">
      <alignment horizontal="centerContinuous" vertical="top"/>
    </xf>
    <xf numFmtId="0" fontId="27" fillId="39" borderId="22" xfId="95" applyBorder="1">
      <alignment horizontal="centerContinuous" vertical="top"/>
    </xf>
    <xf numFmtId="0" fontId="5" fillId="0" borderId="0" xfId="57" applyAlignment="1">
      <alignment horizontal="center" vertical="center"/>
    </xf>
    <xf numFmtId="0" fontId="2" fillId="5" borderId="2" xfId="66" applyNumberFormat="1">
      <alignment vertical="center"/>
      <protection locked="0"/>
    </xf>
    <xf numFmtId="9" fontId="2" fillId="6" borderId="0" xfId="266" applyFill="1" applyAlignment="1">
      <alignment vertical="center"/>
    </xf>
    <xf numFmtId="2" fontId="2" fillId="0" borderId="1" xfId="64" applyNumberFormat="1">
      <alignment vertical="center"/>
    </xf>
    <xf numFmtId="0" fontId="0" fillId="0" borderId="0" xfId="0" applyFont="1">
      <alignment vertical="center"/>
    </xf>
    <xf numFmtId="206" fontId="2" fillId="0" borderId="1" xfId="64" applyNumberFormat="1">
      <alignment vertical="center"/>
    </xf>
    <xf numFmtId="187" fontId="2" fillId="6" borderId="0" xfId="67" applyNumberFormat="1">
      <alignment vertical="center"/>
    </xf>
    <xf numFmtId="0" fontId="0" fillId="0" borderId="0" xfId="0" applyAlignment="1">
      <alignment vertical="center" wrapText="1"/>
    </xf>
    <xf numFmtId="0" fontId="12" fillId="0" borderId="0" xfId="0" applyFont="1" applyAlignment="1">
      <alignment horizontal="left" vertical="center" indent="1"/>
    </xf>
    <xf numFmtId="0" fontId="27" fillId="63" borderId="0" xfId="0" applyFont="1" applyFill="1">
      <alignment vertical="center"/>
    </xf>
    <xf numFmtId="213" fontId="2" fillId="0" borderId="3" xfId="75" applyBorder="1" applyProtection="1">
      <alignment vertical="center"/>
      <protection locked="0"/>
    </xf>
    <xf numFmtId="0" fontId="0" fillId="64" borderId="0" xfId="0" applyFill="1" applyAlignment="1">
      <alignment vertical="center" wrapText="1"/>
    </xf>
    <xf numFmtId="0" fontId="0" fillId="65" borderId="0" xfId="0" applyFill="1" applyAlignment="1">
      <alignment vertical="center" wrapText="1"/>
    </xf>
    <xf numFmtId="1" fontId="2" fillId="0" borderId="1" xfId="64" applyNumberFormat="1">
      <alignment vertical="center"/>
    </xf>
    <xf numFmtId="0" fontId="0" fillId="0" borderId="0" xfId="0" applyFont="1" applyFill="1" applyBorder="1">
      <alignment vertical="center"/>
    </xf>
    <xf numFmtId="0" fontId="0" fillId="0" borderId="0" xfId="0" quotePrefix="1">
      <alignment vertical="center"/>
    </xf>
    <xf numFmtId="206" fontId="8" fillId="0" borderId="0" xfId="28" applyNumberFormat="1">
      <alignment vertical="center"/>
    </xf>
    <xf numFmtId="0" fontId="12" fillId="0" borderId="0" xfId="0" applyFont="1">
      <alignment vertical="center"/>
    </xf>
    <xf numFmtId="207" fontId="2" fillId="0" borderId="1" xfId="64" applyNumberFormat="1" applyAlignment="1">
      <alignment vertical="center"/>
    </xf>
    <xf numFmtId="206" fontId="2" fillId="6" borderId="0" xfId="67" applyNumberFormat="1">
      <alignment vertical="center"/>
    </xf>
    <xf numFmtId="187" fontId="5" fillId="2" borderId="0" xfId="29" applyNumberFormat="1">
      <alignment horizontal="center" vertical="top" wrapText="1"/>
    </xf>
    <xf numFmtId="187" fontId="2" fillId="0" borderId="3" xfId="69" applyNumberFormat="1">
      <alignment vertical="center"/>
      <protection locked="0"/>
    </xf>
    <xf numFmtId="187" fontId="11" fillId="0" borderId="0" xfId="71" applyNumberFormat="1">
      <alignment vertical="center"/>
    </xf>
    <xf numFmtId="207" fontId="2" fillId="6" borderId="0" xfId="267" applyNumberFormat="1" applyFill="1" applyAlignment="1">
      <alignment vertical="center"/>
    </xf>
    <xf numFmtId="207" fontId="2" fillId="0" borderId="1" xfId="267" applyNumberFormat="1" applyBorder="1" applyAlignment="1">
      <alignment vertical="center"/>
    </xf>
    <xf numFmtId="207" fontId="2" fillId="0" borderId="1" xfId="64" applyNumberFormat="1">
      <alignment vertical="center"/>
    </xf>
    <xf numFmtId="208" fontId="2" fillId="0" borderId="2" xfId="267" applyNumberFormat="1" applyBorder="1" applyAlignment="1" applyProtection="1">
      <alignment vertical="center"/>
      <protection locked="0"/>
    </xf>
    <xf numFmtId="207" fontId="2" fillId="6" borderId="0" xfId="67" applyNumberFormat="1">
      <alignment vertical="center"/>
    </xf>
    <xf numFmtId="207" fontId="2" fillId="0" borderId="2" xfId="267" applyNumberFormat="1" applyBorder="1" applyAlignment="1" applyProtection="1">
      <alignment vertical="center"/>
      <protection locked="0"/>
    </xf>
    <xf numFmtId="207" fontId="2" fillId="8" borderId="1" xfId="267" applyNumberFormat="1" applyFill="1" applyBorder="1" applyAlignment="1">
      <alignment vertical="center"/>
    </xf>
    <xf numFmtId="207" fontId="2" fillId="6" borderId="0" xfId="67" applyNumberFormat="1" applyAlignment="1">
      <alignment vertical="center"/>
    </xf>
    <xf numFmtId="0" fontId="11" fillId="0" borderId="0" xfId="71" applyNumberFormat="1">
      <alignment vertical="center"/>
    </xf>
    <xf numFmtId="2" fontId="2" fillId="6" borderId="0" xfId="67" applyNumberFormat="1">
      <alignment vertical="center"/>
    </xf>
    <xf numFmtId="0" fontId="60" fillId="0" borderId="0" xfId="28" applyNumberFormat="1" applyFont="1">
      <alignment vertical="center"/>
    </xf>
    <xf numFmtId="0" fontId="5" fillId="0" borderId="0" xfId="57" applyAlignment="1">
      <alignment vertical="center"/>
    </xf>
    <xf numFmtId="187" fontId="5" fillId="0" borderId="0" xfId="57" applyNumberFormat="1">
      <alignment vertical="center"/>
    </xf>
    <xf numFmtId="0" fontId="8" fillId="0" borderId="0" xfId="28" applyNumberFormat="1" applyFont="1">
      <alignment vertical="center"/>
    </xf>
    <xf numFmtId="0" fontId="8" fillId="0" borderId="0" xfId="28" applyNumberFormat="1" applyFill="1">
      <alignment vertical="center"/>
    </xf>
    <xf numFmtId="0" fontId="27" fillId="60" borderId="0" xfId="0" applyFont="1" applyFill="1" applyAlignment="1">
      <alignment horizontal="center" vertical="center"/>
    </xf>
    <xf numFmtId="0" fontId="11" fillId="0" borderId="0" xfId="71" applyFill="1">
      <alignment vertical="center"/>
    </xf>
    <xf numFmtId="0" fontId="7" fillId="0" borderId="0" xfId="73" applyNumberFormat="1">
      <alignment vertical="center"/>
    </xf>
    <xf numFmtId="0" fontId="61" fillId="0" borderId="0" xfId="0" applyFont="1">
      <alignment vertical="center"/>
    </xf>
    <xf numFmtId="0" fontId="2" fillId="0" borderId="0" xfId="57" applyFont="1">
      <alignment vertical="center"/>
    </xf>
    <xf numFmtId="0" fontId="2" fillId="6" borderId="0" xfId="67" applyAlignment="1">
      <alignment vertical="center" wrapText="1"/>
    </xf>
    <xf numFmtId="207" fontId="2" fillId="0" borderId="2" xfId="65" applyNumberFormat="1" applyAlignment="1">
      <alignment vertical="center"/>
      <protection locked="0"/>
    </xf>
    <xf numFmtId="9" fontId="2" fillId="6" borderId="0" xfId="67" applyNumberFormat="1">
      <alignment vertical="center"/>
    </xf>
    <xf numFmtId="9" fontId="2" fillId="6" borderId="0" xfId="67" applyNumberFormat="1" applyAlignment="1">
      <alignment vertical="center"/>
    </xf>
    <xf numFmtId="0" fontId="2" fillId="6" borderId="0" xfId="67" applyNumberFormat="1">
      <alignment vertical="center"/>
    </xf>
    <xf numFmtId="209" fontId="2" fillId="0" borderId="1" xfId="64" applyNumberFormat="1">
      <alignment vertical="center"/>
    </xf>
    <xf numFmtId="210" fontId="2" fillId="6" borderId="0" xfId="67" applyNumberFormat="1">
      <alignment vertical="center"/>
    </xf>
    <xf numFmtId="210" fontId="2" fillId="0" borderId="1" xfId="64" applyNumberFormat="1">
      <alignment vertical="center"/>
    </xf>
    <xf numFmtId="187" fontId="5" fillId="6" borderId="0" xfId="67" applyNumberFormat="1" applyFont="1">
      <alignment vertical="center"/>
    </xf>
    <xf numFmtId="207" fontId="0" fillId="0" borderId="0" xfId="0" applyNumberFormat="1">
      <alignment vertical="center"/>
    </xf>
    <xf numFmtId="207" fontId="5" fillId="0" borderId="0" xfId="0" applyNumberFormat="1" applyFont="1">
      <alignment vertical="center"/>
    </xf>
    <xf numFmtId="207" fontId="5" fillId="8" borderId="0" xfId="267" applyNumberFormat="1" applyFont="1" applyFill="1" applyAlignment="1">
      <alignment vertical="center"/>
    </xf>
    <xf numFmtId="165" fontId="2" fillId="0" borderId="1" xfId="74" applyNumberFormat="1" applyBorder="1">
      <alignment vertical="center"/>
    </xf>
    <xf numFmtId="211" fontId="2" fillId="0" borderId="1" xfId="74" applyNumberFormat="1" applyBorder="1">
      <alignment vertical="center"/>
    </xf>
    <xf numFmtId="0" fontId="5" fillId="8" borderId="0" xfId="76" applyNumberFormat="1" applyFont="1" applyAlignment="1">
      <alignment vertical="center" wrapText="1"/>
    </xf>
    <xf numFmtId="212" fontId="2" fillId="0" borderId="2" xfId="74" applyBorder="1" applyProtection="1">
      <alignment vertical="center"/>
      <protection locked="0"/>
    </xf>
    <xf numFmtId="212" fontId="2" fillId="6" borderId="0" xfId="74" applyFill="1">
      <alignment vertical="center"/>
    </xf>
    <xf numFmtId="212" fontId="2" fillId="0" borderId="1" xfId="74" applyBorder="1">
      <alignment vertical="center"/>
    </xf>
    <xf numFmtId="212" fontId="2" fillId="0" borderId="2" xfId="74" applyBorder="1" applyAlignment="1" applyProtection="1">
      <alignment vertical="center"/>
      <protection locked="0"/>
    </xf>
    <xf numFmtId="212" fontId="2" fillId="0" borderId="3" xfId="74" applyBorder="1" applyAlignment="1" applyProtection="1">
      <alignment vertical="center"/>
      <protection locked="0"/>
    </xf>
    <xf numFmtId="212" fontId="2" fillId="0" borderId="3" xfId="74" applyBorder="1" applyProtection="1">
      <alignment vertical="center"/>
      <protection locked="0"/>
    </xf>
    <xf numFmtId="212" fontId="2" fillId="6" borderId="0" xfId="74" applyFill="1" applyAlignment="1">
      <alignment vertical="center"/>
    </xf>
    <xf numFmtId="212" fontId="2" fillId="0" borderId="1" xfId="74" applyBorder="1" applyAlignment="1">
      <alignment vertical="center"/>
    </xf>
    <xf numFmtId="213" fontId="2" fillId="0" borderId="1" xfId="75" applyBorder="1">
      <alignment vertical="center"/>
    </xf>
    <xf numFmtId="213" fontId="2" fillId="6" borderId="0" xfId="75" applyFill="1" applyAlignment="1">
      <alignment vertical="center"/>
    </xf>
    <xf numFmtId="213" fontId="2" fillId="0" borderId="2" xfId="75" applyBorder="1" applyAlignment="1" applyProtection="1">
      <alignment vertical="center"/>
      <protection locked="0"/>
    </xf>
    <xf numFmtId="213" fontId="2" fillId="6" borderId="0" xfId="75" applyFill="1">
      <alignment vertical="center"/>
    </xf>
    <xf numFmtId="213" fontId="8" fillId="0" borderId="0" xfId="75" applyFont="1">
      <alignment vertical="center"/>
    </xf>
    <xf numFmtId="213" fontId="2" fillId="0" borderId="1" xfId="75" applyBorder="1" applyAlignment="1">
      <alignment vertical="center"/>
    </xf>
    <xf numFmtId="213" fontId="2" fillId="0" borderId="2" xfId="75" applyBorder="1" applyProtection="1">
      <alignment vertical="center"/>
      <protection locked="0"/>
    </xf>
    <xf numFmtId="213" fontId="8" fillId="0" borderId="0" xfId="75" applyFont="1" applyAlignment="1">
      <alignment vertical="center"/>
    </xf>
    <xf numFmtId="212" fontId="5" fillId="8" borderId="1" xfId="74" applyFont="1" applyFill="1" applyBorder="1" applyAlignment="1">
      <alignment vertical="center"/>
    </xf>
    <xf numFmtId="212" fontId="27" fillId="60" borderId="0" xfId="74" applyFont="1" applyFill="1">
      <alignment vertical="center"/>
    </xf>
    <xf numFmtId="212" fontId="5" fillId="0" borderId="0" xfId="74" applyFont="1" applyAlignment="1">
      <alignment horizontal="center" vertical="center"/>
    </xf>
    <xf numFmtId="212" fontId="5" fillId="0" borderId="0" xfId="74" applyFont="1">
      <alignment vertical="center"/>
    </xf>
    <xf numFmtId="212" fontId="27" fillId="39" borderId="0" xfId="74" applyFont="1" applyFill="1" applyAlignment="1">
      <alignment horizontal="center" vertical="top" wrapText="1"/>
    </xf>
    <xf numFmtId="212" fontId="27" fillId="39" borderId="0" xfId="74" applyFont="1" applyFill="1" applyAlignment="1">
      <alignment horizontal="centerContinuous" vertical="top"/>
    </xf>
    <xf numFmtId="212" fontId="27" fillId="61" borderId="0" xfId="74" applyFont="1" applyFill="1">
      <alignment vertical="center"/>
    </xf>
    <xf numFmtId="212" fontId="11" fillId="0" borderId="0" xfId="74" applyFont="1" applyFill="1" applyBorder="1">
      <alignment vertical="center"/>
    </xf>
    <xf numFmtId="0" fontId="2" fillId="0" borderId="0" xfId="57" applyFont="1" applyAlignment="1">
      <alignment horizontal="left" vertical="center" indent="1"/>
    </xf>
    <xf numFmtId="0" fontId="0" fillId="0" borderId="0" xfId="0" applyAlignment="1">
      <alignment horizontal="left" vertical="center" wrapText="1" indent="1"/>
    </xf>
    <xf numFmtId="0" fontId="0" fillId="0" borderId="0" xfId="0" applyFont="1" applyAlignment="1">
      <alignment horizontal="left" vertical="center" indent="1"/>
    </xf>
    <xf numFmtId="0" fontId="7" fillId="0" borderId="0" xfId="71" applyFont="1" applyFill="1" applyBorder="1">
      <alignment vertical="center"/>
    </xf>
    <xf numFmtId="0" fontId="5" fillId="66" borderId="0" xfId="0" applyFont="1" applyFill="1" applyAlignment="1">
      <alignment horizontal="centerContinuous" vertical="center"/>
    </xf>
    <xf numFmtId="0" fontId="0" fillId="66" borderId="0" xfId="0" applyFill="1" applyAlignment="1">
      <alignment horizontal="centerContinuous" vertical="center"/>
    </xf>
    <xf numFmtId="212" fontId="2" fillId="0" borderId="1" xfId="64" applyNumberFormat="1">
      <alignment vertical="center"/>
    </xf>
    <xf numFmtId="212" fontId="11" fillId="0" borderId="0" xfId="74" applyFont="1">
      <alignment vertical="center"/>
    </xf>
    <xf numFmtId="212" fontId="2" fillId="5" borderId="2" xfId="66" applyNumberFormat="1">
      <alignment vertical="center"/>
      <protection locked="0"/>
    </xf>
    <xf numFmtId="212" fontId="5" fillId="0" borderId="0" xfId="74" applyFont="1" applyAlignment="1">
      <alignment vertical="center" wrapText="1"/>
    </xf>
    <xf numFmtId="212" fontId="2" fillId="5" borderId="2" xfId="74" applyFill="1" applyBorder="1" applyProtection="1">
      <alignment vertical="center"/>
      <protection locked="0"/>
    </xf>
    <xf numFmtId="212" fontId="2" fillId="0" borderId="3" xfId="69" applyNumberFormat="1">
      <alignment vertical="center"/>
      <protection locked="0"/>
    </xf>
    <xf numFmtId="187" fontId="2" fillId="0" borderId="2" xfId="65" applyNumberFormat="1">
      <alignment vertical="center"/>
      <protection locked="0"/>
    </xf>
    <xf numFmtId="9" fontId="2" fillId="5" borderId="2" xfId="66" applyNumberFormat="1">
      <alignment vertical="center"/>
      <protection locked="0"/>
    </xf>
    <xf numFmtId="9" fontId="2" fillId="5" borderId="2" xfId="66" applyNumberFormat="1" applyAlignment="1">
      <alignment vertical="center"/>
      <protection locked="0"/>
    </xf>
    <xf numFmtId="43" fontId="2" fillId="5" borderId="2" xfId="66" applyNumberFormat="1" applyAlignment="1">
      <alignment vertical="center"/>
      <protection locked="0"/>
    </xf>
    <xf numFmtId="212" fontId="6" fillId="0" borderId="0" xfId="74" applyFont="1" applyFill="1" applyBorder="1">
      <alignment vertical="center"/>
    </xf>
    <xf numFmtId="212" fontId="8" fillId="0" borderId="0" xfId="74" applyFont="1">
      <alignment vertical="center"/>
    </xf>
    <xf numFmtId="213" fontId="27" fillId="61" borderId="0" xfId="75" applyFont="1" applyFill="1">
      <alignment vertical="center"/>
    </xf>
    <xf numFmtId="213" fontId="27" fillId="39" borderId="0" xfId="75" applyFont="1" applyFill="1" applyAlignment="1">
      <alignment horizontal="centerContinuous" vertical="top"/>
    </xf>
    <xf numFmtId="0" fontId="27" fillId="60" borderId="0" xfId="0" applyFont="1" applyFill="1" applyAlignment="1">
      <alignment horizontal="center" vertical="center"/>
    </xf>
    <xf numFmtId="49" fontId="62" fillId="0" borderId="0" xfId="268" applyNumberFormat="1" applyAlignment="1">
      <alignment vertical="center"/>
    </xf>
    <xf numFmtId="0" fontId="0" fillId="0" borderId="3" xfId="69" applyFont="1">
      <alignment vertical="center"/>
      <protection locked="0"/>
    </xf>
    <xf numFmtId="0" fontId="27" fillId="39" borderId="0" xfId="93" applyAlignment="1">
      <alignment horizontal="center" vertical="top" wrapText="1"/>
    </xf>
    <xf numFmtId="0" fontId="5" fillId="0" borderId="0" xfId="0" applyFont="1" applyAlignment="1">
      <alignment horizontal="center" vertical="center"/>
    </xf>
    <xf numFmtId="0" fontId="27" fillId="39" borderId="0" xfId="95" applyAlignment="1">
      <alignment horizontal="center" vertical="top"/>
    </xf>
    <xf numFmtId="0" fontId="27" fillId="61" borderId="0" xfId="0" applyFont="1" applyFill="1" applyAlignment="1">
      <alignment horizontal="center" vertical="center"/>
    </xf>
    <xf numFmtId="0" fontId="2" fillId="0" borderId="3" xfId="69" applyAlignment="1">
      <alignment horizontal="center" vertical="center"/>
      <protection locked="0"/>
    </xf>
    <xf numFmtId="10" fontId="2" fillId="0" borderId="3" xfId="69" applyNumberFormat="1" applyAlignment="1">
      <alignment horizontal="center" vertical="center"/>
      <protection locked="0"/>
    </xf>
    <xf numFmtId="212" fontId="2" fillId="0" borderId="3" xfId="74" applyBorder="1" applyAlignment="1" applyProtection="1">
      <alignment horizontal="center" vertical="center"/>
      <protection locked="0"/>
    </xf>
    <xf numFmtId="212" fontId="2" fillId="0" borderId="2" xfId="74" applyBorder="1" applyAlignment="1" applyProtection="1">
      <alignment horizontal="center" vertical="center"/>
      <protection locked="0"/>
    </xf>
    <xf numFmtId="212" fontId="2" fillId="0" borderId="1" xfId="74" applyBorder="1" applyAlignment="1">
      <alignment horizontal="center" vertical="center"/>
    </xf>
    <xf numFmtId="212" fontId="0" fillId="0" borderId="0" xfId="74" applyFont="1" applyAlignment="1">
      <alignment horizontal="center" vertical="center"/>
    </xf>
    <xf numFmtId="0" fontId="2" fillId="0" borderId="2" xfId="65" applyAlignment="1">
      <alignment horizontal="center" vertical="center"/>
      <protection locked="0"/>
    </xf>
    <xf numFmtId="214" fontId="2" fillId="0" borderId="3" xfId="77" applyBorder="1" applyAlignment="1" applyProtection="1">
      <alignment horizontal="center" vertical="center"/>
      <protection locked="0"/>
    </xf>
    <xf numFmtId="0" fontId="8" fillId="0" borderId="0" xfId="28" applyNumberFormat="1" applyAlignment="1">
      <alignment horizontal="center" vertical="center"/>
    </xf>
    <xf numFmtId="0" fontId="2" fillId="0" borderId="3" xfId="69" applyAlignment="1" applyProtection="1">
      <alignment horizontal="center" vertical="center"/>
    </xf>
    <xf numFmtId="0" fontId="11" fillId="0" borderId="0" xfId="71" applyFill="1" applyBorder="1" applyAlignment="1">
      <alignment horizontal="center" vertical="center"/>
    </xf>
    <xf numFmtId="0" fontId="2" fillId="6" borderId="0" xfId="67" applyAlignment="1">
      <alignment horizontal="center" vertical="center"/>
    </xf>
    <xf numFmtId="212" fontId="11" fillId="0" borderId="0" xfId="74" applyFont="1" applyFill="1" applyBorder="1" applyAlignment="1">
      <alignment horizontal="center" vertical="center"/>
    </xf>
    <xf numFmtId="187" fontId="8" fillId="0" borderId="0" xfId="249" applyFont="1" applyAlignment="1">
      <alignment horizontal="center" vertical="center"/>
    </xf>
    <xf numFmtId="187" fontId="2" fillId="0" borderId="1" xfId="64" applyNumberFormat="1" applyAlignment="1">
      <alignment horizontal="center" vertical="center"/>
    </xf>
    <xf numFmtId="213" fontId="2" fillId="0" borderId="3" xfId="75" applyBorder="1" applyAlignment="1" applyProtection="1">
      <alignment horizontal="center" vertical="center"/>
      <protection locked="0"/>
    </xf>
    <xf numFmtId="189" fontId="2" fillId="0" borderId="3" xfId="107" applyBorder="1" applyAlignment="1" applyProtection="1">
      <alignment horizontal="center" vertical="center"/>
      <protection locked="0"/>
    </xf>
    <xf numFmtId="207" fontId="2" fillId="0" borderId="3" xfId="267" applyNumberFormat="1" applyBorder="1" applyAlignment="1" applyProtection="1">
      <alignment horizontal="center" vertical="center"/>
      <protection locked="0"/>
    </xf>
    <xf numFmtId="207" fontId="2" fillId="0" borderId="1" xfId="64" applyNumberFormat="1" applyAlignment="1">
      <alignment horizontal="center" vertical="center"/>
    </xf>
    <xf numFmtId="187" fontId="5" fillId="2" borderId="0" xfId="29" applyNumberFormat="1" applyAlignment="1">
      <alignment horizontal="center" vertical="top" wrapText="1"/>
    </xf>
    <xf numFmtId="188" fontId="2" fillId="0" borderId="3" xfId="69" applyNumberFormat="1" applyAlignment="1">
      <alignment horizontal="center" vertical="center"/>
      <protection locked="0"/>
    </xf>
    <xf numFmtId="207" fontId="2" fillId="0" borderId="2" xfId="65" applyNumberFormat="1" applyAlignment="1">
      <alignment horizontal="center" vertical="center"/>
      <protection locked="0"/>
    </xf>
    <xf numFmtId="9" fontId="2" fillId="0" borderId="3" xfId="69" applyNumberFormat="1" applyAlignment="1">
      <alignment horizontal="center" vertical="center"/>
      <protection locked="0"/>
    </xf>
    <xf numFmtId="207" fontId="5" fillId="8" borderId="0" xfId="267" applyNumberFormat="1" applyFont="1" applyFill="1" applyAlignment="1">
      <alignment horizontal="center" vertical="center"/>
    </xf>
    <xf numFmtId="211" fontId="2" fillId="0" borderId="1" xfId="64" applyNumberFormat="1">
      <alignment vertical="center"/>
    </xf>
    <xf numFmtId="0" fontId="5" fillId="0" borderId="0" xfId="0" applyFont="1" applyAlignment="1">
      <alignment horizontal="left" vertical="center"/>
    </xf>
    <xf numFmtId="212" fontId="2" fillId="0" borderId="2" xfId="65" applyNumberFormat="1">
      <alignment vertical="center"/>
      <protection locked="0"/>
    </xf>
    <xf numFmtId="187" fontId="8" fillId="67" borderId="0" xfId="258" applyFont="1" applyFill="1">
      <alignment vertical="center"/>
    </xf>
    <xf numFmtId="187" fontId="27" fillId="67" borderId="0" xfId="258" applyFont="1" applyFill="1">
      <alignment vertical="center"/>
    </xf>
    <xf numFmtId="212" fontId="2" fillId="0" borderId="1" xfId="64" applyNumberFormat="1" applyAlignment="1">
      <alignment vertical="center"/>
    </xf>
    <xf numFmtId="10" fontId="2" fillId="0" borderId="2" xfId="65" applyNumberFormat="1">
      <alignment vertical="center"/>
      <protection locked="0"/>
    </xf>
    <xf numFmtId="214" fontId="2" fillId="0" borderId="3" xfId="69" applyNumberFormat="1" applyAlignment="1">
      <alignment horizontal="center" vertical="center"/>
      <protection locked="0"/>
    </xf>
    <xf numFmtId="212" fontId="2" fillId="6" borderId="0" xfId="67" applyNumberFormat="1">
      <alignment vertical="center"/>
    </xf>
    <xf numFmtId="212" fontId="2" fillId="0" borderId="2" xfId="75" applyNumberFormat="1" applyBorder="1" applyProtection="1">
      <alignment vertical="center"/>
      <protection locked="0"/>
    </xf>
    <xf numFmtId="9" fontId="2" fillId="0" borderId="1" xfId="266" applyBorder="1" applyAlignment="1">
      <alignment horizontal="center" vertical="center"/>
    </xf>
    <xf numFmtId="213" fontId="2" fillId="6" borderId="0" xfId="67" applyNumberFormat="1">
      <alignment vertical="center"/>
    </xf>
    <xf numFmtId="212" fontId="2" fillId="5" borderId="2" xfId="66" applyNumberFormat="1" applyAlignment="1">
      <alignment vertical="center"/>
      <protection locked="0"/>
    </xf>
    <xf numFmtId="0" fontId="2" fillId="6" borderId="0" xfId="67" applyAlignment="1">
      <alignment horizontal="right" vertical="center"/>
    </xf>
    <xf numFmtId="213" fontId="2" fillId="0" borderId="1" xfId="75" applyBorder="1" applyAlignment="1">
      <alignment horizontal="right" vertical="center"/>
    </xf>
    <xf numFmtId="213" fontId="2" fillId="6" borderId="0" xfId="75" applyFill="1" applyAlignment="1">
      <alignment horizontal="right" vertical="center"/>
    </xf>
    <xf numFmtId="0" fontId="2" fillId="0" borderId="2" xfId="65" applyAlignment="1" applyProtection="1">
      <alignment horizontal="center" vertical="center"/>
    </xf>
    <xf numFmtId="206" fontId="0" fillId="0" borderId="0" xfId="0" applyNumberFormat="1">
      <alignment vertical="center"/>
    </xf>
    <xf numFmtId="212" fontId="2" fillId="68" borderId="2" xfId="66" applyNumberFormat="1" applyFill="1">
      <alignment vertical="center"/>
      <protection locked="0"/>
    </xf>
    <xf numFmtId="212" fontId="2" fillId="69" borderId="2" xfId="65" applyNumberFormat="1" applyFill="1">
      <alignment vertical="center"/>
      <protection locked="0"/>
    </xf>
    <xf numFmtId="207" fontId="2" fillId="69" borderId="2" xfId="65" applyNumberFormat="1" applyFill="1" applyAlignment="1">
      <alignment vertical="center"/>
      <protection locked="0"/>
    </xf>
    <xf numFmtId="9" fontId="2" fillId="68" borderId="2" xfId="66" applyNumberFormat="1" applyFill="1">
      <alignment vertical="center"/>
      <protection locked="0"/>
    </xf>
    <xf numFmtId="207" fontId="0" fillId="0" borderId="0" xfId="0" applyNumberFormat="1" applyFill="1">
      <alignment vertical="center"/>
    </xf>
    <xf numFmtId="212" fontId="2" fillId="69" borderId="2" xfId="65" applyNumberFormat="1" applyFill="1" applyAlignment="1">
      <alignment vertical="center"/>
      <protection locked="0"/>
    </xf>
    <xf numFmtId="166" fontId="2" fillId="69" borderId="2" xfId="78" applyNumberFormat="1" applyFill="1" applyBorder="1" applyProtection="1">
      <alignment vertical="center"/>
      <protection locked="0"/>
    </xf>
    <xf numFmtId="212" fontId="2" fillId="69" borderId="2" xfId="74" applyFill="1" applyBorder="1" applyProtection="1">
      <alignment vertical="center"/>
      <protection locked="0"/>
    </xf>
    <xf numFmtId="207" fontId="2" fillId="69" borderId="2" xfId="267" applyNumberFormat="1" applyFill="1" applyBorder="1" applyAlignment="1" applyProtection="1">
      <alignment vertical="center"/>
      <protection locked="0"/>
    </xf>
    <xf numFmtId="207" fontId="2" fillId="69" borderId="2" xfId="65" applyNumberFormat="1" applyFill="1">
      <alignment vertical="center"/>
      <protection locked="0"/>
    </xf>
    <xf numFmtId="164" fontId="2" fillId="69" borderId="2" xfId="65" applyNumberFormat="1" applyFill="1">
      <alignment vertical="center"/>
      <protection locked="0"/>
    </xf>
    <xf numFmtId="10" fontId="2" fillId="69" borderId="2" xfId="65" applyNumberFormat="1" applyFill="1">
      <alignment vertical="center"/>
      <protection locked="0"/>
    </xf>
    <xf numFmtId="213" fontId="2" fillId="69" borderId="2" xfId="75" applyFill="1" applyBorder="1" applyProtection="1">
      <alignment vertical="center"/>
      <protection locked="0"/>
    </xf>
    <xf numFmtId="0" fontId="5" fillId="69" borderId="0" xfId="0" applyFont="1" applyFill="1">
      <alignment vertical="center"/>
    </xf>
    <xf numFmtId="0" fontId="2" fillId="70" borderId="2" xfId="65" applyFill="1">
      <alignment vertical="center"/>
      <protection locked="0"/>
    </xf>
    <xf numFmtId="212" fontId="2" fillId="70" borderId="2" xfId="65" applyNumberFormat="1" applyFill="1" applyAlignment="1">
      <alignment horizontal="center" vertical="center"/>
      <protection locked="0"/>
    </xf>
    <xf numFmtId="212" fontId="2" fillId="70" borderId="0" xfId="67" applyNumberFormat="1" applyFill="1">
      <alignment vertical="center"/>
    </xf>
    <xf numFmtId="212" fontId="2" fillId="70" borderId="2" xfId="74" applyFill="1" applyBorder="1" applyProtection="1">
      <alignment vertical="center"/>
      <protection locked="0"/>
    </xf>
    <xf numFmtId="212" fontId="0" fillId="70" borderId="2" xfId="65" applyNumberFormat="1" applyFont="1" applyFill="1" applyAlignment="1">
      <alignment horizontal="center" vertical="center"/>
      <protection locked="0"/>
    </xf>
    <xf numFmtId="0" fontId="5" fillId="62" borderId="0" xfId="0" applyFont="1" applyFill="1" applyAlignment="1">
      <alignment horizontal="center" vertical="center"/>
    </xf>
    <xf numFmtId="0" fontId="5" fillId="62" borderId="0" xfId="0" applyFont="1" applyFill="1" applyAlignment="1">
      <alignment vertical="center"/>
    </xf>
    <xf numFmtId="0" fontId="27" fillId="60" borderId="0" xfId="0" applyFont="1" applyFill="1" applyAlignment="1">
      <alignment vertical="center"/>
    </xf>
    <xf numFmtId="0" fontId="27" fillId="60" borderId="23" xfId="0" applyFont="1" applyFill="1" applyBorder="1" applyAlignment="1">
      <alignment vertical="center"/>
    </xf>
  </cellXfs>
  <cellStyles count="269">
    <cellStyle name="_%(SignOnly)" xfId="143"/>
    <cellStyle name="_%(SignSpaceOnly)" xfId="144"/>
    <cellStyle name="_Comma" xfId="145"/>
    <cellStyle name="_Currency" xfId="146"/>
    <cellStyle name="_CurrencySpace" xfId="147"/>
    <cellStyle name="_Euro" xfId="148"/>
    <cellStyle name="_Heading" xfId="149"/>
    <cellStyle name="_Highlight" xfId="150"/>
    <cellStyle name="_Multiple" xfId="151"/>
    <cellStyle name="_MultipleSpace" xfId="152"/>
    <cellStyle name="_SubHeading" xfId="153"/>
    <cellStyle name="_Table" xfId="154"/>
    <cellStyle name="_TableHead" xfId="155"/>
    <cellStyle name="_TableRowHead" xfId="156"/>
    <cellStyle name="_TableSuperHead" xfId="157"/>
    <cellStyle name="=C:\WINNT35\SYSTEM32\COMMAND.COM" xfId="15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52" builtinId="26" customBuiltin="1"/>
    <cellStyle name="Calculation 2" xfId="120"/>
    <cellStyle name="Cálculo" xfId="26" builtinId="22" customBuiltin="1"/>
    <cellStyle name="Celda de comprobación" xfId="27" builtinId="23" customBuiltin="1"/>
    <cellStyle name="Celda vinculada" xfId="70" builtinId="24" customBuiltin="1"/>
    <cellStyle name="Checksum" xfId="28"/>
    <cellStyle name="Column label" xfId="29"/>
    <cellStyle name="Column label (left aligned)" xfId="30"/>
    <cellStyle name="Column label (left aligned) 2" xfId="94"/>
    <cellStyle name="Column label (no wrap)" xfId="31"/>
    <cellStyle name="Column label (no wrap) 2" xfId="95"/>
    <cellStyle name="Column label (not bold)" xfId="32"/>
    <cellStyle name="Column label (not bold) 2" xfId="96"/>
    <cellStyle name="Column label 10" xfId="108"/>
    <cellStyle name="Column label 11" xfId="99"/>
    <cellStyle name="Column label 12" xfId="244"/>
    <cellStyle name="Column label 13" xfId="110"/>
    <cellStyle name="Column label 14" xfId="253"/>
    <cellStyle name="Column label 15" xfId="257"/>
    <cellStyle name="Column label 16" xfId="114"/>
    <cellStyle name="Column label 17" xfId="235"/>
    <cellStyle name="Column label 18" xfId="262"/>
    <cellStyle name="Column label 2" xfId="93"/>
    <cellStyle name="Column label 2 2" xfId="252"/>
    <cellStyle name="Column label 3" xfId="112"/>
    <cellStyle name="Column label 4" xfId="97"/>
    <cellStyle name="Column label 5" xfId="100"/>
    <cellStyle name="Column label 6" xfId="245"/>
    <cellStyle name="Column label 7" xfId="117"/>
    <cellStyle name="Column label 8" xfId="237"/>
    <cellStyle name="Column label 9" xfId="242"/>
    <cellStyle name="Comma 2" xfId="136"/>
    <cellStyle name="Currency (0dp)" xfId="34"/>
    <cellStyle name="Currency (2dp)" xfId="35"/>
    <cellStyle name="Currency (2dp) 2" xfId="98"/>
    <cellStyle name="Currency Dollar" xfId="36"/>
    <cellStyle name="Currency Dollar (2dp)" xfId="37"/>
    <cellStyle name="Currency EUR" xfId="38"/>
    <cellStyle name="Currency EUR (2dp)" xfId="39"/>
    <cellStyle name="Currency Euro" xfId="40"/>
    <cellStyle name="Currency Euro (2dp)" xfId="41"/>
    <cellStyle name="Currency GBP" xfId="42"/>
    <cellStyle name="Currency GBP (2dp)" xfId="43"/>
    <cellStyle name="Currency Pound" xfId="44"/>
    <cellStyle name="Currency Pound (2dp)" xfId="45"/>
    <cellStyle name="Currency USD" xfId="46"/>
    <cellStyle name="Currency USD (2dp)" xfId="47"/>
    <cellStyle name="Date" xfId="48"/>
    <cellStyle name="Date (Month)" xfId="49"/>
    <cellStyle name="Date (Year)" xfId="50"/>
    <cellStyle name="En tête 1" xfId="159"/>
    <cellStyle name="En tête 2" xfId="160"/>
    <cellStyle name="En tête 3" xfId="161"/>
    <cellStyle name="Encabezado 1" xfId="58" builtinId="16" customBuiltin="1"/>
    <cellStyle name="Encabezado 4" xfId="61" builtinId="19" customBuiltin="1"/>
    <cellStyle name="Énfasis1" xfId="19" builtinId="29" customBuiltin="1"/>
    <cellStyle name="Énfasis2" xfId="20" builtinId="33" customBuiltin="1"/>
    <cellStyle name="Énfasis3" xfId="21" builtinId="37" customBuiltin="1"/>
    <cellStyle name="Énfasis4" xfId="22" builtinId="41" customBuiltin="1"/>
    <cellStyle name="Énfasis5" xfId="23" builtinId="45" customBuiltin="1"/>
    <cellStyle name="Énfasis6" xfId="24" builtinId="49" customBuiltin="1"/>
    <cellStyle name="En-têt - Style3" xfId="162"/>
    <cellStyle name="En-tête 1" xfId="163"/>
    <cellStyle name="Entrada" xfId="63" builtinId="20" customBuiltin="1"/>
    <cellStyle name="Euro" xfId="126"/>
    <cellStyle name="FG 0" xfId="164"/>
    <cellStyle name="FG 1" xfId="165"/>
    <cellStyle name="FG 2" xfId="166"/>
    <cellStyle name="FGI 0" xfId="167"/>
    <cellStyle name="FGI 1" xfId="168"/>
    <cellStyle name="FGI 2" xfId="169"/>
    <cellStyle name="FI 0" xfId="170"/>
    <cellStyle name="FI 1" xfId="171"/>
    <cellStyle name="FI 2" xfId="172"/>
    <cellStyle name="Financ - Style1" xfId="173"/>
    <cellStyle name="Financ - Style2" xfId="174"/>
    <cellStyle name="Financier" xfId="175"/>
    <cellStyle name="Financier 0" xfId="176"/>
    <cellStyle name="Financier 1" xfId="177"/>
    <cellStyle name="Financier 2" xfId="178"/>
    <cellStyle name="Financier0" xfId="179"/>
    <cellStyle name="H0" xfId="53"/>
    <cellStyle name="H1" xfId="54"/>
    <cellStyle name="H2" xfId="55"/>
    <cellStyle name="H3" xfId="56"/>
    <cellStyle name="H4" xfId="57"/>
    <cellStyle name="Highlight" xfId="62"/>
    <cellStyle name="Hipervínculo" xfId="268" builtinId="8"/>
    <cellStyle name="Incorrecto" xfId="25" builtinId="27" customBuiltin="1"/>
    <cellStyle name="Input calculation" xfId="64"/>
    <cellStyle name="Input data" xfId="65"/>
    <cellStyle name="Input estimate" xfId="66"/>
    <cellStyle name="Input link" xfId="67"/>
    <cellStyle name="Input link (different workbook)" xfId="68"/>
    <cellStyle name="Input parameter" xfId="69"/>
    <cellStyle name="Millares" xfId="267" builtinId="3"/>
    <cellStyle name="Milliers 2" xfId="127"/>
    <cellStyle name="Milliers 2 2" xfId="226"/>
    <cellStyle name="Milliers 3" xfId="139"/>
    <cellStyle name="Milliers 4" xfId="142"/>
    <cellStyle name="Milliers 5" xfId="227"/>
    <cellStyle name="Mois" xfId="180"/>
    <cellStyle name="Moneda" xfId="33" builtinId="4"/>
    <cellStyle name="Name" xfId="71"/>
    <cellStyle name="Neutral" xfId="72" builtinId="28" customBuiltin="1"/>
    <cellStyle name="Normal" xfId="0" builtinId="0"/>
    <cellStyle name="Normal 10" xfId="118"/>
    <cellStyle name="Normal 2" xfId="123"/>
    <cellStyle name="Normal 2 2" xfId="229"/>
    <cellStyle name="Normal 2 2 2" xfId="256"/>
    <cellStyle name="Normal 2 3" xfId="232"/>
    <cellStyle name="Normal 3" xfId="125"/>
    <cellStyle name="Normal 4" xfId="128"/>
    <cellStyle name="Normal 4 2" xfId="140"/>
    <cellStyle name="Normal 4 2 2" xfId="141"/>
    <cellStyle name="Normal 4 2 3" xfId="223"/>
    <cellStyle name="Normal 4 3" xfId="222"/>
    <cellStyle name="Normal 4 4" xfId="224"/>
    <cellStyle name="Normal 5" xfId="130"/>
    <cellStyle name="Normal 6" xfId="132"/>
    <cellStyle name="Normal 7" xfId="135"/>
    <cellStyle name="Normal 8" xfId="137"/>
    <cellStyle name="Normal 9" xfId="221"/>
    <cellStyle name="Notas" xfId="73" builtinId="10" customBuiltin="1"/>
    <cellStyle name="Note 2" xfId="121"/>
    <cellStyle name="Number" xfId="74"/>
    <cellStyle name="Number (2dp)" xfId="75"/>
    <cellStyle name="Number (2dp) 2" xfId="255"/>
    <cellStyle name="Number 10" xfId="249"/>
    <cellStyle name="Number 11" xfId="231"/>
    <cellStyle name="Number 12" xfId="243"/>
    <cellStyle name="Number 13" xfId="109"/>
    <cellStyle name="Number 14" xfId="254"/>
    <cellStyle name="Number 15" xfId="234"/>
    <cellStyle name="Number 16" xfId="264"/>
    <cellStyle name="Number 17" xfId="261"/>
    <cellStyle name="Number 18" xfId="258"/>
    <cellStyle name="Number 2" xfId="105"/>
    <cellStyle name="Number 3" xfId="102"/>
    <cellStyle name="Number 4" xfId="248"/>
    <cellStyle name="Number 5" xfId="230"/>
    <cellStyle name="Number 6" xfId="111"/>
    <cellStyle name="Number 7" xfId="116"/>
    <cellStyle name="Number 8" xfId="233"/>
    <cellStyle name="Number 9" xfId="103"/>
    <cellStyle name="Output 2" xfId="119"/>
    <cellStyle name="Percent 2" xfId="134"/>
    <cellStyle name="Percent 3" xfId="259"/>
    <cellStyle name="Percentage" xfId="77"/>
    <cellStyle name="Percentage (2dp)" xfId="78"/>
    <cellStyle name="Percentage (2dp) 2" xfId="107"/>
    <cellStyle name="Percentage 10" xfId="250"/>
    <cellStyle name="Percentage 11" xfId="239"/>
    <cellStyle name="Percentage 12" xfId="240"/>
    <cellStyle name="Percentage 13" xfId="104"/>
    <cellStyle name="Percentage 14" xfId="236"/>
    <cellStyle name="Percentage 15" xfId="246"/>
    <cellStyle name="Percentage 16" xfId="263"/>
    <cellStyle name="Percentage 17" xfId="260"/>
    <cellStyle name="Percentage 18" xfId="265"/>
    <cellStyle name="Percentage 2" xfId="106"/>
    <cellStyle name="Percentage 3" xfId="101"/>
    <cellStyle name="Percentage 4" xfId="247"/>
    <cellStyle name="Percentage 5" xfId="115"/>
    <cellStyle name="Percentage 6" xfId="251"/>
    <cellStyle name="Percentage 7" xfId="238"/>
    <cellStyle name="Percentage 8" xfId="241"/>
    <cellStyle name="Percentage 9" xfId="113"/>
    <cellStyle name="Porcentaje" xfId="266" builtinId="5"/>
    <cellStyle name="Pourcentage 1" xfId="181"/>
    <cellStyle name="Pourcentage 2" xfId="129"/>
    <cellStyle name="Pourcentage 2 2" xfId="225"/>
    <cellStyle name="Pourcentage 3" xfId="131"/>
    <cellStyle name="Pourcentage 4" xfId="133"/>
    <cellStyle name="Pourcentage 5" xfId="138"/>
    <cellStyle name="Pourcentage 6" xfId="228"/>
    <cellStyle name="Pourcentage1" xfId="182"/>
    <cellStyle name="Row label" xfId="79"/>
    <cellStyle name="Row label (indent)" xfId="80"/>
    <cellStyle name="Salida" xfId="76" builtinId="21" customBuiltin="1"/>
    <cellStyle name="SAPBEXaggData" xfId="183"/>
    <cellStyle name="SAPBEXaggDataEmph" xfId="184"/>
    <cellStyle name="SAPBEXaggItem" xfId="185"/>
    <cellStyle name="SAPBEXaggItemX" xfId="186"/>
    <cellStyle name="SAPBEXchaText" xfId="187"/>
    <cellStyle name="SAPBEXexcBad7" xfId="188"/>
    <cellStyle name="SAPBEXexcBad8" xfId="189"/>
    <cellStyle name="SAPBEXexcBad9" xfId="190"/>
    <cellStyle name="SAPBEXexcCritical4" xfId="191"/>
    <cellStyle name="SAPBEXexcCritical5" xfId="192"/>
    <cellStyle name="SAPBEXexcCritical6" xfId="193"/>
    <cellStyle name="SAPBEXexcGood1" xfId="194"/>
    <cellStyle name="SAPBEXexcGood2" xfId="195"/>
    <cellStyle name="SAPBEXexcGood3" xfId="196"/>
    <cellStyle name="SAPBEXfilterDrill" xfId="197"/>
    <cellStyle name="SAPBEXfilterItem" xfId="198"/>
    <cellStyle name="SAPBEXfilterText" xfId="199"/>
    <cellStyle name="SAPBEXformats" xfId="200"/>
    <cellStyle name="SAPBEXheaderItem" xfId="201"/>
    <cellStyle name="SAPBEXheaderText" xfId="202"/>
    <cellStyle name="SAPBEXHLevel0" xfId="203"/>
    <cellStyle name="SAPBEXHLevel0X" xfId="204"/>
    <cellStyle name="SAPBEXHLevel1" xfId="205"/>
    <cellStyle name="SAPBEXHLevel1X" xfId="206"/>
    <cellStyle name="SAPBEXHLevel2" xfId="207"/>
    <cellStyle name="SAPBEXHLevel2X" xfId="208"/>
    <cellStyle name="SAPBEXHLevel3" xfId="209"/>
    <cellStyle name="SAPBEXHLevel3X" xfId="210"/>
    <cellStyle name="SAPBEXresData" xfId="211"/>
    <cellStyle name="SAPBEXresDataEmph" xfId="212"/>
    <cellStyle name="SAPBEXresItem" xfId="213"/>
    <cellStyle name="SAPBEXresItemX" xfId="214"/>
    <cellStyle name="SAPBEXstdData" xfId="215"/>
    <cellStyle name="SAPBEXstdDataEmph" xfId="216"/>
    <cellStyle name="SAPBEXstdItem" xfId="217"/>
    <cellStyle name="SAPBEXstdItemX" xfId="218"/>
    <cellStyle name="SAPBEXtitle" xfId="219"/>
    <cellStyle name="SAPBEXundefined" xfId="220"/>
    <cellStyle name="Style 1" xfId="124"/>
    <cellStyle name="Sub-total row" xfId="81"/>
    <cellStyle name="Table finish row" xfId="82"/>
    <cellStyle name="Table shading" xfId="83"/>
    <cellStyle name="Table unfinish row" xfId="84"/>
    <cellStyle name="Table unshading" xfId="85"/>
    <cellStyle name="Text" xfId="86"/>
    <cellStyle name="Texto de advertencia" xfId="92" builtinId="11" customBuiltin="1"/>
    <cellStyle name="Texto explicativo" xfId="51" builtinId="53" customBuiltin="1"/>
    <cellStyle name="Título" xfId="87" builtinId="15" customBuiltin="1"/>
    <cellStyle name="Título 2" xfId="59" builtinId="17" customBuiltin="1"/>
    <cellStyle name="Título 3" xfId="60" builtinId="18" customBuiltin="1"/>
    <cellStyle name="Total" xfId="88" builtinId="25" customBuiltin="1"/>
    <cellStyle name="Total 2" xfId="122"/>
    <cellStyle name="Total row" xfId="89"/>
    <cellStyle name="Unhighlight" xfId="90"/>
    <cellStyle name="Untotal row" xfId="91"/>
  </cellStyles>
  <dxfs count="18">
    <dxf>
      <font>
        <color theme="0" tint="-0.24994659260841701"/>
      </font>
      <fill>
        <patternFill>
          <bgColor theme="0" tint="-0.34998626667073579"/>
        </patternFill>
      </fill>
    </dxf>
    <dxf>
      <font>
        <b/>
        <i val="0"/>
        <color theme="0"/>
      </font>
      <fill>
        <patternFill>
          <bgColor rgb="FFFF0000"/>
        </patternFill>
      </fill>
    </dxf>
    <dxf>
      <font>
        <color theme="0" tint="-0.24994659260841701"/>
      </font>
      <fill>
        <patternFill>
          <bgColor theme="0" tint="-0.34998626667073579"/>
        </patternFill>
      </fill>
    </dxf>
    <dxf>
      <font>
        <b/>
        <i val="0"/>
        <color rgb="FFFFFF00"/>
      </font>
      <fill>
        <patternFill>
          <bgColor rgb="FFFF0000"/>
        </patternFill>
      </fill>
    </dxf>
    <dxf>
      <font>
        <color theme="0" tint="-0.14996795556505021"/>
      </font>
      <fill>
        <patternFill>
          <bgColor theme="0" tint="-0.34998626667073579"/>
        </patternFill>
      </fill>
    </dxf>
    <dxf>
      <font>
        <b/>
        <i val="0"/>
        <color rgb="FFFFFF00"/>
      </font>
      <fill>
        <patternFill>
          <bgColor rgb="FFFF0000"/>
        </patternFill>
      </fill>
    </dxf>
    <dxf>
      <font>
        <color theme="0" tint="-0.14996795556505021"/>
      </font>
      <fill>
        <patternFill>
          <bgColor theme="0" tint="-0.34998626667073579"/>
        </patternFill>
      </fill>
    </dxf>
    <dxf>
      <font>
        <b/>
        <i val="0"/>
        <color rgb="FFFFFF00"/>
      </font>
      <fill>
        <patternFill>
          <bgColor rgb="FFFF0000"/>
        </patternFill>
      </fill>
    </dxf>
    <dxf>
      <font>
        <color theme="0" tint="-0.14996795556505021"/>
      </font>
      <fill>
        <patternFill>
          <bgColor theme="0" tint="-0.34998626667073579"/>
        </patternFill>
      </fill>
    </dxf>
    <dxf>
      <font>
        <b/>
        <i val="0"/>
        <color rgb="FFFFFF00"/>
      </font>
      <fill>
        <patternFill>
          <bgColor rgb="FFFF0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b/>
        <i/>
        <condense val="0"/>
        <extend val="0"/>
        <color indexed="13"/>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DDB9D8"/>
      <rgbColor rgb="00CDDCEF"/>
      <rgbColor rgb="00A6BEDA"/>
      <rgbColor rgb="00F6DCC2"/>
      <rgbColor rgb="00EFC2C1"/>
      <rgbColor rgb="00DBD7DB"/>
      <rgbColor rgb="00C2CAAA"/>
      <rgbColor rgb="00F5EEB9"/>
      <rgbColor rgb="00A670A1"/>
      <rgbColor rgb="0099CEFF"/>
      <rgbColor rgb="0000679A"/>
      <rgbColor rgb="00ECB088"/>
      <rgbColor rgb="00ED7F7F"/>
      <rgbColor rgb="00A79FAF"/>
      <rgbColor rgb="0049BB3D"/>
      <rgbColor rgb="00E3DE15"/>
      <rgbColor rgb="00C0C0FF"/>
      <rgbColor rgb="00CCECFF"/>
      <rgbColor rgb="00D0FFD0"/>
      <rgbColor rgb="00FFFFA0"/>
      <rgbColor rgb="00E0E0FF"/>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13</xdr:col>
      <xdr:colOff>9525</xdr:colOff>
      <xdr:row>5</xdr:row>
      <xdr:rowOff>9525</xdr:rowOff>
    </xdr:to>
    <xdr:pic>
      <xdr:nvPicPr>
        <xdr:cNvPr id="3" name="Imagen 2" descr="Las celdas de las columnas bajo la imagen contienen los datos de capex de los diferentes activos considerados en el modelo" title="Capex"/>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6150" y="733425"/>
          <a:ext cx="65436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xdr:row>
      <xdr:rowOff>0</xdr:rowOff>
    </xdr:from>
    <xdr:to>
      <xdr:col>20</xdr:col>
      <xdr:colOff>9525</xdr:colOff>
      <xdr:row>5</xdr:row>
      <xdr:rowOff>9525</xdr:rowOff>
    </xdr:to>
    <xdr:pic>
      <xdr:nvPicPr>
        <xdr:cNvPr id="4" name="Imagen 3" descr="Las celdas bajo la imagen muestran los datos de Opex de los activos considerados en el modelo&#10;" title="Opex"/>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35300" y="733425"/>
          <a:ext cx="61436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3</xdr:row>
      <xdr:rowOff>0</xdr:rowOff>
    </xdr:from>
    <xdr:to>
      <xdr:col>27</xdr:col>
      <xdr:colOff>9525</xdr:colOff>
      <xdr:row>5</xdr:row>
      <xdr:rowOff>9525</xdr:rowOff>
    </xdr:to>
    <xdr:pic>
      <xdr:nvPicPr>
        <xdr:cNvPr id="6" name="Imagen 5" descr="Las celdas de las columnas bajo la imagen muestran los datos de vidas útiles para los activos considerados en el modelo" title="Vidas Útil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260050" y="733425"/>
          <a:ext cx="41814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18</xdr:col>
      <xdr:colOff>9525</xdr:colOff>
      <xdr:row>4</xdr:row>
      <xdr:rowOff>9525</xdr:rowOff>
    </xdr:to>
    <xdr:pic>
      <xdr:nvPicPr>
        <xdr:cNvPr id="2" name="Imagen 1" descr="Las celdas correspondientes a las columnas bajo la imagen muestran los datos de capex para los diferentes activos considerados en el modelo" title="Capex"/>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4125" y="581025"/>
          <a:ext cx="98298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2</xdr:row>
      <xdr:rowOff>0</xdr:rowOff>
    </xdr:from>
    <xdr:to>
      <xdr:col>24</xdr:col>
      <xdr:colOff>9525</xdr:colOff>
      <xdr:row>4</xdr:row>
      <xdr:rowOff>9525</xdr:rowOff>
    </xdr:to>
    <xdr:pic>
      <xdr:nvPicPr>
        <xdr:cNvPr id="3" name="Imagen 2" descr="Las celdas correspondientes a las columnas bajo la imagen muestran los datos de opex para los diferentes activos considerados en el modelo" title="Opex"/>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73475" y="581025"/>
          <a:ext cx="424815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2</xdr:row>
      <xdr:rowOff>0</xdr:rowOff>
    </xdr:from>
    <xdr:to>
      <xdr:col>28</xdr:col>
      <xdr:colOff>9525</xdr:colOff>
      <xdr:row>4</xdr:row>
      <xdr:rowOff>9525</xdr:rowOff>
    </xdr:to>
    <xdr:pic>
      <xdr:nvPicPr>
        <xdr:cNvPr id="5" name="Imagen 4" descr="Las celdas de las columnas bajo la imagen muestra los datos del gasto anual por cada activo considerado en el modelo, incluyendo el capex anualizado, el opex total y el gasto anual estimado incluyendo los costos overhead" title="Costos totales incluyendo overhead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59750" y="581025"/>
          <a:ext cx="29337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AnalysysMasonXL">
  <a:themeElements>
    <a:clrScheme name="AnalysysMasonXL">
      <a:dk1>
        <a:srgbClr val="003352"/>
      </a:dk1>
      <a:lt1>
        <a:srgbClr val="FFFFFF"/>
      </a:lt1>
      <a:dk2>
        <a:srgbClr val="003352"/>
      </a:dk2>
      <a:lt2>
        <a:srgbClr val="61586C"/>
      </a:lt2>
      <a:accent1>
        <a:srgbClr val="221F72"/>
      </a:accent1>
      <a:accent2>
        <a:srgbClr val="6762D4"/>
      </a:accent2>
      <a:accent3>
        <a:srgbClr val="A5A2E6"/>
      </a:accent3>
      <a:accent4>
        <a:srgbClr val="5A2149"/>
      </a:accent4>
      <a:accent5>
        <a:srgbClr val="9F3B80"/>
      </a:accent5>
      <a:accent6>
        <a:srgbClr val="D284BA"/>
      </a:accent6>
      <a:hlink>
        <a:srgbClr val="013352"/>
      </a:hlink>
      <a:folHlink>
        <a:srgbClr val="00335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eamble1">
    <outlinePr summaryBelow="0"/>
    <pageSetUpPr autoPageBreaks="0"/>
  </sheetPr>
  <dimension ref="A1:E16"/>
  <sheetViews>
    <sheetView defaultGridColor="0" colorId="22" zoomScaleNormal="100" zoomScaleSheetLayoutView="75" workbookViewId="0">
      <pane ySplit="16" topLeftCell="A17" activePane="bottomLeft" state="frozen"/>
      <selection pane="bottomLeft" activeCell="B14" sqref="B14"/>
    </sheetView>
  </sheetViews>
  <sheetFormatPr baseColWidth="10" defaultColWidth="12.7109375" defaultRowHeight="12" x14ac:dyDescent="0.2"/>
  <cols>
    <col min="1" max="4" width="16.7109375" style="63" customWidth="1"/>
    <col min="5" max="5" width="62.7109375" style="63" customWidth="1"/>
  </cols>
  <sheetData>
    <row r="1" spans="1:5" s="76" customFormat="1" ht="33.75" customHeight="1" x14ac:dyDescent="0.2">
      <c r="C1" s="77" t="str">
        <f>B5</f>
        <v>Modelo de costos coubicación móvil - Versión anonimizada</v>
      </c>
    </row>
    <row r="2" spans="1:5" s="80" customFormat="1" ht="12" customHeight="1" x14ac:dyDescent="0.2"/>
    <row r="3" spans="1:5" s="2" customFormat="1" ht="18" x14ac:dyDescent="0.25">
      <c r="A3" s="58" t="s">
        <v>107</v>
      </c>
      <c r="C3"/>
    </row>
    <row r="4" spans="1:5" ht="6" customHeight="1" x14ac:dyDescent="0.2">
      <c r="A4"/>
      <c r="B4"/>
      <c r="C4"/>
      <c r="D4"/>
      <c r="E4"/>
    </row>
    <row r="5" spans="1:5" x14ac:dyDescent="0.2">
      <c r="A5" s="59" t="s">
        <v>105</v>
      </c>
      <c r="B5" s="73" t="s">
        <v>1031</v>
      </c>
      <c r="C5"/>
      <c r="D5"/>
      <c r="E5"/>
    </row>
    <row r="6" spans="1:5" x14ac:dyDescent="0.2">
      <c r="A6" s="59" t="s">
        <v>104</v>
      </c>
      <c r="B6" s="73" t="s">
        <v>1028</v>
      </c>
      <c r="C6"/>
      <c r="D6"/>
      <c r="E6"/>
    </row>
    <row r="7" spans="1:5" x14ac:dyDescent="0.2">
      <c r="A7"/>
      <c r="B7"/>
      <c r="C7"/>
      <c r="D7"/>
      <c r="E7"/>
    </row>
    <row r="8" spans="1:5" x14ac:dyDescent="0.2">
      <c r="A8" s="59" t="s">
        <v>103</v>
      </c>
      <c r="B8" s="63" t="s">
        <v>1037</v>
      </c>
      <c r="C8"/>
      <c r="D8"/>
      <c r="E8"/>
    </row>
    <row r="9" spans="1:5" x14ac:dyDescent="0.2">
      <c r="A9" s="59" t="s">
        <v>0</v>
      </c>
      <c r="B9" s="63" t="s">
        <v>110</v>
      </c>
      <c r="C9"/>
      <c r="D9"/>
      <c r="E9"/>
    </row>
    <row r="10" spans="1:5" hidden="1" x14ac:dyDescent="0.2">
      <c r="A10" s="59"/>
      <c r="B10" s="63" t="s">
        <v>109</v>
      </c>
      <c r="C10"/>
      <c r="D10"/>
      <c r="E10"/>
    </row>
    <row r="11" spans="1:5" hidden="1" x14ac:dyDescent="0.2">
      <c r="A11" s="59"/>
      <c r="B11" s="63" t="s">
        <v>108</v>
      </c>
      <c r="C11"/>
      <c r="D11"/>
      <c r="E11"/>
    </row>
    <row r="12" spans="1:5" hidden="1" x14ac:dyDescent="0.2">
      <c r="A12" s="59"/>
      <c r="B12" s="63" t="s">
        <v>130</v>
      </c>
      <c r="C12"/>
      <c r="D12"/>
      <c r="E12"/>
    </row>
    <row r="13" spans="1:5" hidden="1" x14ac:dyDescent="0.2">
      <c r="A13" s="59"/>
      <c r="B13" s="63" t="s">
        <v>110</v>
      </c>
      <c r="C13"/>
      <c r="D13"/>
      <c r="E13"/>
    </row>
    <row r="14" spans="1:5" x14ac:dyDescent="0.2">
      <c r="A14" s="59" t="s">
        <v>106</v>
      </c>
      <c r="B14" s="73" t="s">
        <v>1032</v>
      </c>
      <c r="C14"/>
      <c r="D14"/>
      <c r="E14"/>
    </row>
    <row r="15" spans="1:5" x14ac:dyDescent="0.2">
      <c r="A15" s="59" t="s">
        <v>111</v>
      </c>
      <c r="B15" s="273"/>
      <c r="C15"/>
      <c r="D15"/>
      <c r="E15"/>
    </row>
    <row r="16" spans="1:5" x14ac:dyDescent="0.2">
      <c r="A16"/>
      <c r="B16"/>
      <c r="C16"/>
      <c r="D16"/>
      <c r="E16"/>
    </row>
  </sheetData>
  <phoneticPr fontId="0" type="noConversion"/>
  <dataValidations count="1">
    <dataValidation type="list" allowBlank="1" sqref="B9">
      <formula1>$B$10:$B$13</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eamble3">
    <outlinePr summaryBelow="0"/>
    <pageSetUpPr autoPageBreaks="0" fitToPage="1"/>
  </sheetPr>
  <dimension ref="A1:M141"/>
  <sheetViews>
    <sheetView defaultGridColor="0" colorId="22" zoomScale="80" zoomScaleNormal="80" workbookViewId="0">
      <pane ySplit="1" topLeftCell="A2" activePane="bottomLeft" state="frozen"/>
      <selection pane="bottomLeft"/>
    </sheetView>
  </sheetViews>
  <sheetFormatPr baseColWidth="10" defaultColWidth="12.7109375" defaultRowHeight="12" x14ac:dyDescent="0.2"/>
  <cols>
    <col min="1" max="1" width="2.7109375" customWidth="1"/>
    <col min="2" max="2" width="26.7109375" customWidth="1"/>
  </cols>
  <sheetData>
    <row r="1" spans="1:13" s="74" customFormat="1" ht="33.75" customHeight="1" x14ac:dyDescent="0.2">
      <c r="C1" s="78" t="s">
        <v>32</v>
      </c>
    </row>
    <row r="2" spans="1:13" s="56" customFormat="1" ht="12" customHeight="1" x14ac:dyDescent="0.2"/>
    <row r="3" spans="1:13" x14ac:dyDescent="0.2">
      <c r="A3" s="24" t="s">
        <v>101</v>
      </c>
    </row>
    <row r="4" spans="1:13" x14ac:dyDescent="0.2">
      <c r="A4" s="46" t="s">
        <v>98</v>
      </c>
    </row>
    <row r="6" spans="1:13" ht="18" x14ac:dyDescent="0.2">
      <c r="A6" s="8" t="s">
        <v>88</v>
      </c>
    </row>
    <row r="7" spans="1:13" x14ac:dyDescent="0.2">
      <c r="A7" s="45" t="s">
        <v>89</v>
      </c>
      <c r="B7" s="44"/>
      <c r="C7" s="44"/>
      <c r="D7" s="44"/>
      <c r="E7" s="44"/>
    </row>
    <row r="8" spans="1:13" x14ac:dyDescent="0.2">
      <c r="A8" s="24" t="s">
        <v>43</v>
      </c>
    </row>
    <row r="10" spans="1:13" x14ac:dyDescent="0.2">
      <c r="B10" s="55" t="s">
        <v>23</v>
      </c>
      <c r="C10" s="9">
        <v>100</v>
      </c>
      <c r="D10" s="24" t="s">
        <v>2</v>
      </c>
      <c r="E10" t="s">
        <v>55</v>
      </c>
    </row>
    <row r="12" spans="1:13" x14ac:dyDescent="0.2">
      <c r="B12" s="5" t="s">
        <v>23</v>
      </c>
      <c r="C12" s="9">
        <v>250</v>
      </c>
      <c r="D12" s="24" t="s">
        <v>2</v>
      </c>
      <c r="E12" s="51" t="s">
        <v>73</v>
      </c>
      <c r="F12" s="51"/>
      <c r="G12" s="51"/>
      <c r="H12" s="51"/>
      <c r="I12" s="51"/>
      <c r="J12" s="51"/>
      <c r="K12" s="51"/>
    </row>
    <row r="13" spans="1:13" hidden="1" x14ac:dyDescent="0.2">
      <c r="B13" s="4" t="s">
        <v>75</v>
      </c>
      <c r="C13" s="3">
        <v>100</v>
      </c>
    </row>
    <row r="14" spans="1:13" hidden="1" x14ac:dyDescent="0.2">
      <c r="B14" s="4" t="s">
        <v>76</v>
      </c>
      <c r="C14" s="3">
        <v>300</v>
      </c>
    </row>
    <row r="16" spans="1:13" x14ac:dyDescent="0.2">
      <c r="B16" s="5" t="s">
        <v>23</v>
      </c>
      <c r="C16" s="9">
        <v>300</v>
      </c>
      <c r="D16" s="24" t="s">
        <v>2</v>
      </c>
      <c r="E16" s="51" t="s">
        <v>77</v>
      </c>
      <c r="F16" s="51"/>
      <c r="G16" s="51"/>
      <c r="H16" s="51"/>
      <c r="I16" s="51"/>
      <c r="J16" s="51"/>
      <c r="K16" s="51"/>
      <c r="L16" s="51"/>
      <c r="M16" s="51"/>
    </row>
    <row r="17" spans="1:5" hidden="1" x14ac:dyDescent="0.2">
      <c r="B17" s="4" t="s">
        <v>74</v>
      </c>
      <c r="C17" s="3">
        <v>100</v>
      </c>
    </row>
    <row r="18" spans="1:5" hidden="1" x14ac:dyDescent="0.2">
      <c r="C18" s="3">
        <v>200</v>
      </c>
    </row>
    <row r="19" spans="1:5" hidden="1" x14ac:dyDescent="0.2">
      <c r="C19" s="3">
        <v>300</v>
      </c>
    </row>
    <row r="21" spans="1:5" x14ac:dyDescent="0.2">
      <c r="B21" s="5" t="s">
        <v>24</v>
      </c>
      <c r="C21" s="11">
        <v>100</v>
      </c>
      <c r="D21" s="24" t="s">
        <v>2</v>
      </c>
      <c r="E21" t="s">
        <v>54</v>
      </c>
    </row>
    <row r="23" spans="1:5" x14ac:dyDescent="0.2">
      <c r="B23" s="5" t="s">
        <v>83</v>
      </c>
      <c r="C23" s="54">
        <v>100</v>
      </c>
      <c r="D23" s="24" t="s">
        <v>2</v>
      </c>
      <c r="E23" t="s">
        <v>84</v>
      </c>
    </row>
    <row r="25" spans="1:5" x14ac:dyDescent="0.2">
      <c r="B25" s="5" t="s">
        <v>25</v>
      </c>
      <c r="C25" s="10">
        <v>100</v>
      </c>
      <c r="D25" s="24" t="s">
        <v>3</v>
      </c>
      <c r="E25" t="s">
        <v>58</v>
      </c>
    </row>
    <row r="27" spans="1:5" x14ac:dyDescent="0.2">
      <c r="B27" s="5" t="s">
        <v>26</v>
      </c>
      <c r="C27" s="12">
        <v>100</v>
      </c>
      <c r="D27" s="24" t="s">
        <v>3</v>
      </c>
      <c r="E27" t="s">
        <v>119</v>
      </c>
    </row>
    <row r="29" spans="1:5" x14ac:dyDescent="0.2">
      <c r="B29" s="5" t="s">
        <v>116</v>
      </c>
      <c r="C29" s="64">
        <v>100</v>
      </c>
      <c r="D29" s="24" t="s">
        <v>3</v>
      </c>
      <c r="E29" t="s">
        <v>117</v>
      </c>
    </row>
    <row r="31" spans="1:5" ht="18" x14ac:dyDescent="0.2">
      <c r="A31" s="8" t="s">
        <v>90</v>
      </c>
    </row>
    <row r="32" spans="1:5" x14ac:dyDescent="0.2">
      <c r="A32" s="45" t="s">
        <v>91</v>
      </c>
      <c r="B32" s="44"/>
      <c r="C32" s="44"/>
      <c r="D32" s="44"/>
      <c r="E32" s="44"/>
    </row>
    <row r="33" spans="1:11" x14ac:dyDescent="0.2">
      <c r="A33" s="24" t="s">
        <v>49</v>
      </c>
    </row>
    <row r="35" spans="1:11" x14ac:dyDescent="0.2">
      <c r="B35" s="5" t="s">
        <v>4</v>
      </c>
      <c r="C35" s="13">
        <v>100</v>
      </c>
      <c r="D35" s="24" t="s">
        <v>3</v>
      </c>
      <c r="E35" t="s">
        <v>53</v>
      </c>
    </row>
    <row r="36" spans="1:11" x14ac:dyDescent="0.2">
      <c r="C36" s="13"/>
    </row>
    <row r="37" spans="1:11" x14ac:dyDescent="0.2">
      <c r="B37" s="5" t="s">
        <v>97</v>
      </c>
      <c r="C37" s="69">
        <v>123.45</v>
      </c>
      <c r="E37" t="s">
        <v>57</v>
      </c>
    </row>
    <row r="39" spans="1:11" x14ac:dyDescent="0.2">
      <c r="B39" s="5" t="s">
        <v>118</v>
      </c>
      <c r="C39" s="65">
        <v>0</v>
      </c>
      <c r="D39" s="24" t="s">
        <v>3</v>
      </c>
      <c r="E39" t="s">
        <v>56</v>
      </c>
      <c r="F39" s="51"/>
      <c r="G39" s="51"/>
      <c r="H39" s="51"/>
      <c r="I39" s="51"/>
      <c r="J39" s="51"/>
      <c r="K39" s="51"/>
    </row>
    <row r="41" spans="1:11" x14ac:dyDescent="0.2">
      <c r="B41" s="5" t="s">
        <v>118</v>
      </c>
      <c r="C41" s="65">
        <v>0.1</v>
      </c>
      <c r="D41" s="24" t="s">
        <v>3</v>
      </c>
      <c r="E41" s="51" t="s">
        <v>87</v>
      </c>
      <c r="F41" s="51"/>
      <c r="G41" s="51"/>
      <c r="H41" s="51"/>
      <c r="I41" s="51"/>
      <c r="J41" s="51"/>
      <c r="K41" s="51"/>
    </row>
    <row r="43" spans="1:11" x14ac:dyDescent="0.2">
      <c r="B43" s="5" t="s">
        <v>5</v>
      </c>
      <c r="C43" s="14">
        <v>100</v>
      </c>
      <c r="E43" t="s">
        <v>14</v>
      </c>
    </row>
    <row r="45" spans="1:11" x14ac:dyDescent="0.2">
      <c r="B45" s="5" t="s">
        <v>33</v>
      </c>
      <c r="C45" s="40" t="s">
        <v>33</v>
      </c>
      <c r="D45" s="24" t="s">
        <v>3</v>
      </c>
      <c r="E45" t="s">
        <v>62</v>
      </c>
    </row>
    <row r="47" spans="1:11" x14ac:dyDescent="0.2">
      <c r="B47" s="5" t="s">
        <v>34</v>
      </c>
      <c r="C47" s="41" t="s">
        <v>34</v>
      </c>
      <c r="E47" t="s">
        <v>92</v>
      </c>
    </row>
    <row r="49" spans="1:10" x14ac:dyDescent="0.2">
      <c r="B49" s="5" t="s">
        <v>6</v>
      </c>
      <c r="C49" s="15">
        <v>100</v>
      </c>
      <c r="E49" t="s">
        <v>7</v>
      </c>
    </row>
    <row r="50" spans="1:10" x14ac:dyDescent="0.2">
      <c r="B50" s="5"/>
    </row>
    <row r="51" spans="1:10" x14ac:dyDescent="0.2">
      <c r="B51" s="5" t="s">
        <v>78</v>
      </c>
      <c r="C51" s="52">
        <v>100</v>
      </c>
      <c r="E51" t="s">
        <v>79</v>
      </c>
    </row>
    <row r="53" spans="1:10" ht="18" x14ac:dyDescent="0.2">
      <c r="A53" s="8" t="s">
        <v>45</v>
      </c>
    </row>
    <row r="54" spans="1:10" x14ac:dyDescent="0.2">
      <c r="A54" s="45" t="s">
        <v>51</v>
      </c>
      <c r="B54" s="44"/>
      <c r="C54" s="44"/>
      <c r="D54" s="44"/>
      <c r="E54" s="44"/>
    </row>
    <row r="55" spans="1:10" x14ac:dyDescent="0.2">
      <c r="A55" s="24" t="s">
        <v>80</v>
      </c>
    </row>
    <row r="56" spans="1:10" x14ac:dyDescent="0.2">
      <c r="A56" s="24" t="s">
        <v>82</v>
      </c>
    </row>
    <row r="58" spans="1:10" ht="24" x14ac:dyDescent="0.2">
      <c r="B58" s="1"/>
      <c r="C58" s="1" t="s">
        <v>9</v>
      </c>
      <c r="D58" s="1" t="s">
        <v>17</v>
      </c>
      <c r="E58" s="1" t="s">
        <v>11</v>
      </c>
      <c r="F58" s="1" t="s">
        <v>12</v>
      </c>
      <c r="G58" s="1" t="s">
        <v>10</v>
      </c>
      <c r="H58" s="1" t="s">
        <v>18</v>
      </c>
      <c r="I58" s="1" t="s">
        <v>15</v>
      </c>
      <c r="J58" s="1" t="s">
        <v>16</v>
      </c>
    </row>
    <row r="59" spans="1:10" x14ac:dyDescent="0.2">
      <c r="B59" s="5" t="s">
        <v>59</v>
      </c>
      <c r="C59" s="3">
        <v>1234.56</v>
      </c>
      <c r="D59" s="16">
        <v>123.45</v>
      </c>
      <c r="E59" s="49">
        <v>0.1234</v>
      </c>
      <c r="F59" s="50">
        <v>0.1234</v>
      </c>
      <c r="G59" s="17">
        <v>1234.56</v>
      </c>
      <c r="H59" s="18">
        <v>123.45</v>
      </c>
      <c r="I59" s="47">
        <v>1234.56</v>
      </c>
      <c r="J59" s="48">
        <v>0.1234</v>
      </c>
    </row>
    <row r="60" spans="1:10" x14ac:dyDescent="0.2">
      <c r="B60" s="5" t="s">
        <v>60</v>
      </c>
      <c r="C60" s="3">
        <v>-1234.56</v>
      </c>
      <c r="D60" s="16">
        <v>-123.45</v>
      </c>
      <c r="E60" s="49">
        <v>-0.1234</v>
      </c>
      <c r="F60" s="50">
        <v>-0.1234</v>
      </c>
      <c r="G60" s="17">
        <v>-1234.56</v>
      </c>
      <c r="H60" s="18">
        <v>-123.45</v>
      </c>
      <c r="I60" s="47">
        <v>-1234.56</v>
      </c>
      <c r="J60" s="48">
        <v>-0.1234</v>
      </c>
    </row>
    <row r="61" spans="1:10" x14ac:dyDescent="0.2">
      <c r="B61" s="5" t="s">
        <v>61</v>
      </c>
      <c r="C61" s="3">
        <v>0</v>
      </c>
      <c r="D61" s="16">
        <v>0</v>
      </c>
      <c r="E61" s="49">
        <v>0</v>
      </c>
      <c r="F61" s="50">
        <v>0</v>
      </c>
      <c r="G61" s="17">
        <v>0</v>
      </c>
      <c r="H61" s="18">
        <v>0</v>
      </c>
      <c r="I61" s="47">
        <v>0</v>
      </c>
      <c r="J61" s="48">
        <v>0</v>
      </c>
    </row>
    <row r="62" spans="1:10" ht="12.75" thickBot="1" x14ac:dyDescent="0.25">
      <c r="B62" s="5" t="s">
        <v>8</v>
      </c>
      <c r="C62" s="3" t="s">
        <v>8</v>
      </c>
      <c r="D62" s="16" t="s">
        <v>8</v>
      </c>
      <c r="E62" s="49" t="s">
        <v>8</v>
      </c>
      <c r="F62" s="50" t="s">
        <v>8</v>
      </c>
      <c r="G62" s="17" t="s">
        <v>8</v>
      </c>
      <c r="H62" s="18" t="s">
        <v>8</v>
      </c>
      <c r="I62" s="47" t="s">
        <v>8</v>
      </c>
      <c r="J62" s="48" t="s">
        <v>8</v>
      </c>
    </row>
    <row r="63" spans="1:10" x14ac:dyDescent="0.2">
      <c r="B63" s="39"/>
      <c r="C63" s="39"/>
      <c r="D63" s="39"/>
      <c r="E63" s="39"/>
      <c r="F63" s="39"/>
      <c r="G63" s="39"/>
      <c r="H63" s="39"/>
      <c r="I63" s="39"/>
      <c r="J63" s="39"/>
    </row>
    <row r="64" spans="1:10" ht="24" x14ac:dyDescent="0.2">
      <c r="B64" s="1"/>
      <c r="C64" s="1" t="s">
        <v>65</v>
      </c>
      <c r="D64" s="1" t="s">
        <v>66</v>
      </c>
      <c r="E64" s="1" t="s">
        <v>63</v>
      </c>
      <c r="F64" s="1" t="s">
        <v>64</v>
      </c>
    </row>
    <row r="65" spans="2:6" x14ac:dyDescent="0.2">
      <c r="B65" s="5" t="s">
        <v>59</v>
      </c>
      <c r="C65" s="21">
        <v>1234.56</v>
      </c>
      <c r="D65" s="22">
        <v>123.45</v>
      </c>
      <c r="E65" s="19">
        <v>1234.56</v>
      </c>
      <c r="F65" s="20">
        <v>123.45</v>
      </c>
    </row>
    <row r="66" spans="2:6" x14ac:dyDescent="0.2">
      <c r="B66" s="5" t="s">
        <v>60</v>
      </c>
      <c r="C66" s="21">
        <v>-1234.56</v>
      </c>
      <c r="D66" s="22">
        <v>-123.45</v>
      </c>
      <c r="E66" s="19">
        <v>-1234.56</v>
      </c>
      <c r="F66" s="20">
        <v>-123.45</v>
      </c>
    </row>
    <row r="67" spans="2:6" x14ac:dyDescent="0.2">
      <c r="B67" s="5" t="s">
        <v>61</v>
      </c>
      <c r="C67" s="21">
        <v>0</v>
      </c>
      <c r="D67" s="22">
        <v>0</v>
      </c>
      <c r="E67" s="19">
        <v>0</v>
      </c>
      <c r="F67" s="20">
        <v>0</v>
      </c>
    </row>
    <row r="68" spans="2:6" ht="12.75" thickBot="1" x14ac:dyDescent="0.25">
      <c r="B68" s="5" t="s">
        <v>8</v>
      </c>
      <c r="C68" s="21" t="s">
        <v>8</v>
      </c>
      <c r="D68" s="22" t="s">
        <v>8</v>
      </c>
      <c r="E68" s="19" t="s">
        <v>8</v>
      </c>
      <c r="F68" s="20" t="s">
        <v>8</v>
      </c>
    </row>
    <row r="69" spans="2:6" x14ac:dyDescent="0.2">
      <c r="B69" s="39"/>
      <c r="C69" s="39"/>
      <c r="D69" s="39"/>
      <c r="E69" s="39"/>
      <c r="F69" s="39"/>
    </row>
    <row r="70" spans="2:6" ht="24" x14ac:dyDescent="0.2">
      <c r="B70" s="1"/>
      <c r="C70" s="1" t="s">
        <v>67</v>
      </c>
      <c r="D70" s="1" t="s">
        <v>68</v>
      </c>
      <c r="E70" s="1" t="s">
        <v>20</v>
      </c>
      <c r="F70" s="1" t="s">
        <v>19</v>
      </c>
    </row>
    <row r="71" spans="2:6" x14ac:dyDescent="0.2">
      <c r="B71" s="5" t="s">
        <v>59</v>
      </c>
      <c r="C71" s="27">
        <v>1234.56</v>
      </c>
      <c r="D71" s="28">
        <v>123.45</v>
      </c>
      <c r="E71" s="25">
        <v>1234.56</v>
      </c>
      <c r="F71" s="26">
        <v>123.45</v>
      </c>
    </row>
    <row r="72" spans="2:6" x14ac:dyDescent="0.2">
      <c r="B72" s="5" t="s">
        <v>60</v>
      </c>
      <c r="C72" s="27">
        <v>-1234.56</v>
      </c>
      <c r="D72" s="28">
        <v>-123.45</v>
      </c>
      <c r="E72" s="25">
        <v>-1234.56</v>
      </c>
      <c r="F72" s="26">
        <v>-123.45</v>
      </c>
    </row>
    <row r="73" spans="2:6" x14ac:dyDescent="0.2">
      <c r="B73" s="5" t="s">
        <v>61</v>
      </c>
      <c r="C73" s="27">
        <v>0</v>
      </c>
      <c r="D73" s="28">
        <v>0</v>
      </c>
      <c r="E73" s="25">
        <v>0</v>
      </c>
      <c r="F73" s="26">
        <v>0</v>
      </c>
    </row>
    <row r="74" spans="2:6" ht="12.75" thickBot="1" x14ac:dyDescent="0.25">
      <c r="B74" s="5" t="s">
        <v>8</v>
      </c>
      <c r="C74" s="27" t="s">
        <v>8</v>
      </c>
      <c r="D74" s="28" t="s">
        <v>8</v>
      </c>
      <c r="E74" s="25" t="s">
        <v>8</v>
      </c>
      <c r="F74" s="26" t="s">
        <v>8</v>
      </c>
    </row>
    <row r="75" spans="2:6" x14ac:dyDescent="0.2">
      <c r="B75" s="39"/>
      <c r="C75" s="39"/>
      <c r="D75" s="39"/>
      <c r="E75" s="39"/>
      <c r="F75" s="39"/>
    </row>
    <row r="76" spans="2:6" ht="24" x14ac:dyDescent="0.2">
      <c r="B76" s="1"/>
      <c r="C76" s="1" t="s">
        <v>69</v>
      </c>
      <c r="D76" s="1" t="s">
        <v>70</v>
      </c>
      <c r="E76" s="1" t="s">
        <v>22</v>
      </c>
      <c r="F76" s="1" t="s">
        <v>21</v>
      </c>
    </row>
    <row r="77" spans="2:6" x14ac:dyDescent="0.2">
      <c r="B77" s="5" t="s">
        <v>59</v>
      </c>
      <c r="C77" s="31">
        <v>1234.56</v>
      </c>
      <c r="D77" s="32">
        <v>123.45</v>
      </c>
      <c r="E77" s="29">
        <v>1234.56</v>
      </c>
      <c r="F77" s="30">
        <v>123.45</v>
      </c>
    </row>
    <row r="78" spans="2:6" x14ac:dyDescent="0.2">
      <c r="B78" s="5" t="s">
        <v>60</v>
      </c>
      <c r="C78" s="31">
        <v>-1234.56</v>
      </c>
      <c r="D78" s="32">
        <v>-123.45</v>
      </c>
      <c r="E78" s="29">
        <v>-1234.56</v>
      </c>
      <c r="F78" s="30">
        <v>-123.45</v>
      </c>
    </row>
    <row r="79" spans="2:6" x14ac:dyDescent="0.2">
      <c r="B79" s="5" t="s">
        <v>61</v>
      </c>
      <c r="C79" s="31">
        <v>0</v>
      </c>
      <c r="D79" s="32">
        <v>0</v>
      </c>
      <c r="E79" s="29">
        <v>0</v>
      </c>
      <c r="F79" s="30">
        <v>0</v>
      </c>
    </row>
    <row r="80" spans="2:6" ht="12.75" thickBot="1" x14ac:dyDescent="0.25">
      <c r="B80" s="5" t="s">
        <v>8</v>
      </c>
      <c r="C80" s="31" t="s">
        <v>8</v>
      </c>
      <c r="D80" s="32" t="s">
        <v>8</v>
      </c>
      <c r="E80" s="29" t="s">
        <v>8</v>
      </c>
      <c r="F80" s="30" t="s">
        <v>8</v>
      </c>
    </row>
    <row r="81" spans="1:6" x14ac:dyDescent="0.2">
      <c r="B81" s="39"/>
      <c r="C81" s="39"/>
      <c r="D81" s="39"/>
      <c r="E81" s="39"/>
      <c r="F81" s="39"/>
    </row>
    <row r="82" spans="1:6" ht="24" x14ac:dyDescent="0.2">
      <c r="B82" s="1"/>
      <c r="C82" s="1" t="s">
        <v>13</v>
      </c>
      <c r="D82" s="1" t="s">
        <v>71</v>
      </c>
      <c r="E82" s="1" t="s">
        <v>72</v>
      </c>
    </row>
    <row r="83" spans="1:6" ht="12.75" thickBot="1" x14ac:dyDescent="0.25">
      <c r="B83" s="5" t="s">
        <v>13</v>
      </c>
      <c r="C83" s="23">
        <v>37591</v>
      </c>
      <c r="D83" s="71">
        <v>37591</v>
      </c>
      <c r="E83" s="33">
        <v>37591</v>
      </c>
    </row>
    <row r="84" spans="1:6" x14ac:dyDescent="0.2">
      <c r="B84" s="39"/>
      <c r="C84" s="39"/>
      <c r="D84" s="39"/>
      <c r="E84" s="39"/>
    </row>
    <row r="85" spans="1:6" ht="18" x14ac:dyDescent="0.2">
      <c r="A85" s="8" t="s">
        <v>86</v>
      </c>
    </row>
    <row r="86" spans="1:6" x14ac:dyDescent="0.2">
      <c r="A86" s="45" t="s">
        <v>85</v>
      </c>
      <c r="B86" s="44"/>
      <c r="C86" s="44"/>
      <c r="D86" s="44"/>
      <c r="E86" s="44"/>
    </row>
    <row r="87" spans="1:6" x14ac:dyDescent="0.2">
      <c r="A87" s="24" t="s">
        <v>44</v>
      </c>
    </row>
    <row r="89" spans="1:6" ht="23.25" x14ac:dyDescent="0.2">
      <c r="B89" s="42" t="s">
        <v>35</v>
      </c>
      <c r="C89" s="42" t="s">
        <v>47</v>
      </c>
      <c r="E89" t="s">
        <v>39</v>
      </c>
    </row>
    <row r="91" spans="1:6" ht="18" x14ac:dyDescent="0.2">
      <c r="B91" s="8" t="s">
        <v>36</v>
      </c>
      <c r="C91" s="8" t="s">
        <v>47</v>
      </c>
      <c r="E91" t="s">
        <v>40</v>
      </c>
    </row>
    <row r="93" spans="1:6" ht="15.75" x14ac:dyDescent="0.2">
      <c r="B93" s="35" t="s">
        <v>37</v>
      </c>
      <c r="C93" s="35" t="s">
        <v>47</v>
      </c>
      <c r="E93" t="s">
        <v>41</v>
      </c>
    </row>
    <row r="95" spans="1:6" x14ac:dyDescent="0.2">
      <c r="B95" s="34" t="s">
        <v>38</v>
      </c>
      <c r="C95" s="34" t="s">
        <v>47</v>
      </c>
      <c r="E95" t="s">
        <v>42</v>
      </c>
    </row>
    <row r="97" spans="1:7" ht="18" x14ac:dyDescent="0.2">
      <c r="A97" s="8" t="s">
        <v>46</v>
      </c>
    </row>
    <row r="98" spans="1:7" x14ac:dyDescent="0.2">
      <c r="A98" s="45" t="s">
        <v>52</v>
      </c>
      <c r="B98" s="44"/>
      <c r="C98" s="44"/>
      <c r="D98" s="44"/>
      <c r="E98" s="44"/>
    </row>
    <row r="99" spans="1:7" x14ac:dyDescent="0.2">
      <c r="A99" s="24" t="s">
        <v>49</v>
      </c>
    </row>
    <row r="101" spans="1:7" ht="15.75" x14ac:dyDescent="0.2">
      <c r="A101" s="35" t="s">
        <v>99</v>
      </c>
    </row>
    <row r="102" spans="1:7" x14ac:dyDescent="0.2">
      <c r="B102" s="66" t="s">
        <v>120</v>
      </c>
      <c r="C102" s="1" t="s">
        <v>115</v>
      </c>
      <c r="D102" s="1" t="s">
        <v>115</v>
      </c>
      <c r="E102" s="1" t="s">
        <v>115</v>
      </c>
      <c r="F102" s="1" t="s">
        <v>115</v>
      </c>
    </row>
    <row r="103" spans="1:7" x14ac:dyDescent="0.2">
      <c r="B103" s="5" t="s">
        <v>27</v>
      </c>
    </row>
    <row r="104" spans="1:7" x14ac:dyDescent="0.2">
      <c r="B104" s="5" t="s">
        <v>27</v>
      </c>
    </row>
    <row r="105" spans="1:7" ht="12.75" thickBot="1" x14ac:dyDescent="0.25">
      <c r="B105" s="5" t="s">
        <v>27</v>
      </c>
    </row>
    <row r="106" spans="1:7" x14ac:dyDescent="0.2">
      <c r="B106" s="39" t="s">
        <v>31</v>
      </c>
      <c r="C106" s="39"/>
      <c r="D106" s="39"/>
      <c r="E106" s="39"/>
      <c r="F106" s="39"/>
    </row>
    <row r="108" spans="1:7" ht="15.75" x14ac:dyDescent="0.2">
      <c r="A108" s="35" t="s">
        <v>100</v>
      </c>
    </row>
    <row r="109" spans="1:7" x14ac:dyDescent="0.2">
      <c r="B109" s="66"/>
      <c r="C109" s="70"/>
      <c r="D109" s="70" t="s">
        <v>129</v>
      </c>
      <c r="E109" s="70"/>
      <c r="F109" s="70" t="s">
        <v>129</v>
      </c>
      <c r="G109" s="70"/>
    </row>
    <row r="110" spans="1:7" ht="24" x14ac:dyDescent="0.2">
      <c r="B110" s="66" t="s">
        <v>120</v>
      </c>
      <c r="C110" s="67" t="s">
        <v>121</v>
      </c>
      <c r="D110" s="1" t="s">
        <v>115</v>
      </c>
      <c r="E110" s="1" t="s">
        <v>115</v>
      </c>
      <c r="F110" s="1" t="s">
        <v>115</v>
      </c>
      <c r="G110" s="1" t="s">
        <v>115</v>
      </c>
    </row>
    <row r="111" spans="1:7" x14ac:dyDescent="0.2">
      <c r="B111" s="5" t="s">
        <v>27</v>
      </c>
      <c r="D111" s="53" t="s">
        <v>81</v>
      </c>
      <c r="E111" s="53"/>
      <c r="F111" s="38" t="s">
        <v>48</v>
      </c>
      <c r="G111" s="38"/>
    </row>
    <row r="112" spans="1:7" ht="12.75" thickBot="1" x14ac:dyDescent="0.25">
      <c r="B112" s="4" t="s">
        <v>28</v>
      </c>
      <c r="D112" s="53"/>
      <c r="E112" s="53"/>
      <c r="F112" s="38"/>
      <c r="G112" s="38"/>
    </row>
    <row r="113" spans="1:9" ht="12.75" thickBot="1" x14ac:dyDescent="0.25">
      <c r="B113" s="7" t="s">
        <v>30</v>
      </c>
      <c r="C113" s="36"/>
      <c r="D113" s="36"/>
      <c r="E113" s="36"/>
      <c r="F113" s="60"/>
      <c r="G113" s="60"/>
    </row>
    <row r="114" spans="1:9" x14ac:dyDescent="0.2">
      <c r="B114" s="6" t="s">
        <v>29</v>
      </c>
      <c r="C114" s="37"/>
      <c r="D114" s="37"/>
      <c r="E114" s="37"/>
      <c r="F114" s="37"/>
      <c r="G114" s="37"/>
    </row>
    <row r="117" spans="1:9" ht="23.25" x14ac:dyDescent="0.2">
      <c r="A117" s="42" t="s">
        <v>50</v>
      </c>
    </row>
    <row r="118" spans="1:9" x14ac:dyDescent="0.2">
      <c r="A118" s="24" t="s">
        <v>113</v>
      </c>
    </row>
    <row r="120" spans="1:9" ht="15.75" x14ac:dyDescent="0.2">
      <c r="A120" s="35" t="s">
        <v>96</v>
      </c>
    </row>
    <row r="121" spans="1:9" x14ac:dyDescent="0.2">
      <c r="B121" s="66" t="s">
        <v>123</v>
      </c>
      <c r="C121" s="67" t="s">
        <v>124</v>
      </c>
      <c r="D121" s="67" t="s">
        <v>1</v>
      </c>
      <c r="E121" s="1">
        <v>2000</v>
      </c>
      <c r="F121" s="1">
        <v>2001</v>
      </c>
      <c r="G121" s="1">
        <v>2002</v>
      </c>
      <c r="H121" s="1">
        <v>2003</v>
      </c>
      <c r="I121" s="43" t="s">
        <v>122</v>
      </c>
    </row>
    <row r="122" spans="1:9" x14ac:dyDescent="0.2">
      <c r="B122" s="5" t="s">
        <v>95</v>
      </c>
      <c r="C122" t="s">
        <v>125</v>
      </c>
      <c r="D122" s="24" t="s">
        <v>128</v>
      </c>
      <c r="E122" s="11">
        <v>1000000</v>
      </c>
      <c r="F122" s="10">
        <f t="shared" ref="F122:G124" si="0">E122+($H122-$E122)/3</f>
        <v>1000000</v>
      </c>
      <c r="G122" s="10">
        <f t="shared" si="0"/>
        <v>1000000</v>
      </c>
      <c r="H122" s="9">
        <v>1000000</v>
      </c>
    </row>
    <row r="123" spans="1:9" x14ac:dyDescent="0.2">
      <c r="B123" s="5" t="s">
        <v>93</v>
      </c>
      <c r="C123" t="s">
        <v>125</v>
      </c>
      <c r="D123" s="24" t="s">
        <v>128</v>
      </c>
      <c r="E123" s="11">
        <v>100000</v>
      </c>
      <c r="F123" s="10">
        <f t="shared" si="0"/>
        <v>133333.33333333334</v>
      </c>
      <c r="G123" s="10">
        <f t="shared" si="0"/>
        <v>166666.66666666669</v>
      </c>
      <c r="H123" s="9">
        <v>200000</v>
      </c>
    </row>
    <row r="124" spans="1:9" x14ac:dyDescent="0.2">
      <c r="B124" s="5" t="s">
        <v>94</v>
      </c>
      <c r="C124" t="s">
        <v>125</v>
      </c>
      <c r="D124" s="24" t="s">
        <v>128</v>
      </c>
      <c r="E124" s="54">
        <v>50000</v>
      </c>
      <c r="F124" s="10">
        <f t="shared" si="0"/>
        <v>100000</v>
      </c>
      <c r="G124" s="10">
        <f t="shared" si="0"/>
        <v>150000</v>
      </c>
      <c r="H124" s="9">
        <v>200000</v>
      </c>
    </row>
    <row r="125" spans="1:9" x14ac:dyDescent="0.2">
      <c r="B125" s="6" t="s">
        <v>97</v>
      </c>
      <c r="C125" s="37" t="s">
        <v>125</v>
      </c>
      <c r="D125" s="37"/>
      <c r="E125" s="57">
        <f>SUM(E122:E124)</f>
        <v>1150000</v>
      </c>
      <c r="F125" s="57">
        <f>SUM(F122:F124)</f>
        <v>1233333.3333333333</v>
      </c>
      <c r="G125" s="57">
        <f>SUM(G122:G124)</f>
        <v>1316666.6666666667</v>
      </c>
      <c r="H125" s="57">
        <f>SUM(H122:H124)</f>
        <v>1400000</v>
      </c>
    </row>
    <row r="126" spans="1:9" x14ac:dyDescent="0.2">
      <c r="B126" s="56"/>
      <c r="D126" s="56"/>
      <c r="E126" s="56"/>
      <c r="F126" s="56"/>
      <c r="G126" s="56"/>
    </row>
    <row r="127" spans="1:9" ht="15.75" x14ac:dyDescent="0.2">
      <c r="A127" s="35" t="s">
        <v>96</v>
      </c>
    </row>
    <row r="128" spans="1:9" x14ac:dyDescent="0.2">
      <c r="B128" s="66" t="s">
        <v>123</v>
      </c>
      <c r="C128" s="67" t="s">
        <v>124</v>
      </c>
      <c r="D128" s="67" t="s">
        <v>1</v>
      </c>
      <c r="E128" s="1">
        <v>2000</v>
      </c>
      <c r="F128" s="1">
        <v>2001</v>
      </c>
      <c r="G128" s="1">
        <v>2002</v>
      </c>
      <c r="H128" s="1">
        <v>2003</v>
      </c>
    </row>
    <row r="129" spans="1:9" x14ac:dyDescent="0.2">
      <c r="B129" s="5" t="s">
        <v>95</v>
      </c>
      <c r="C129" t="s">
        <v>125</v>
      </c>
      <c r="D129" s="24" t="s">
        <v>126</v>
      </c>
      <c r="E129" s="12">
        <f t="array" ref="E129:H131">$E$122:$H$124</f>
        <v>1000000</v>
      </c>
      <c r="F129" s="12">
        <v>1000000</v>
      </c>
      <c r="G129" s="12">
        <v>1000000</v>
      </c>
      <c r="H129" s="12">
        <v>1000000</v>
      </c>
    </row>
    <row r="130" spans="1:9" x14ac:dyDescent="0.2">
      <c r="B130" s="5" t="s">
        <v>93</v>
      </c>
      <c r="C130" t="s">
        <v>125</v>
      </c>
      <c r="D130" s="24" t="s">
        <v>126</v>
      </c>
      <c r="E130" s="12">
        <v>100000</v>
      </c>
      <c r="F130" s="12">
        <v>133333.33333333334</v>
      </c>
      <c r="G130" s="12">
        <v>166666.66666666669</v>
      </c>
      <c r="H130" s="12">
        <v>200000</v>
      </c>
    </row>
    <row r="131" spans="1:9" x14ac:dyDescent="0.2">
      <c r="B131" s="5" t="s">
        <v>94</v>
      </c>
      <c r="C131" t="s">
        <v>125</v>
      </c>
      <c r="D131" s="24" t="s">
        <v>127</v>
      </c>
      <c r="E131" s="68">
        <v>50000</v>
      </c>
      <c r="F131" s="68">
        <v>100000</v>
      </c>
      <c r="G131" s="68">
        <v>150000</v>
      </c>
      <c r="H131" s="68">
        <v>200000</v>
      </c>
    </row>
    <row r="132" spans="1:9" x14ac:dyDescent="0.2">
      <c r="B132" s="6" t="s">
        <v>97</v>
      </c>
      <c r="C132" s="37" t="s">
        <v>125</v>
      </c>
      <c r="D132" s="37"/>
      <c r="E132" s="57">
        <f>SUM(E129:E131)</f>
        <v>1150000</v>
      </c>
      <c r="F132" s="57">
        <f>SUM(F129:F131)</f>
        <v>1233333.3333333333</v>
      </c>
      <c r="G132" s="57">
        <f>SUM(G129:G131)</f>
        <v>1316666.6666666667</v>
      </c>
      <c r="H132" s="57">
        <f>SUM(H129:H131)</f>
        <v>1400000</v>
      </c>
    </row>
    <row r="133" spans="1:9" x14ac:dyDescent="0.2">
      <c r="B133" s="56"/>
      <c r="C133" s="56"/>
      <c r="D133" s="56"/>
      <c r="E133" s="56"/>
      <c r="F133" s="56"/>
      <c r="G133" s="56"/>
    </row>
    <row r="135" spans="1:9" ht="15.75" x14ac:dyDescent="0.2">
      <c r="A135" s="35" t="s">
        <v>102</v>
      </c>
    </row>
    <row r="136" spans="1:9" x14ac:dyDescent="0.2">
      <c r="B136" s="66" t="s">
        <v>123</v>
      </c>
      <c r="C136" s="67" t="s">
        <v>124</v>
      </c>
      <c r="D136" s="67" t="s">
        <v>1</v>
      </c>
      <c r="E136" s="1">
        <v>2000</v>
      </c>
      <c r="F136" s="1">
        <v>2001</v>
      </c>
      <c r="G136" s="1">
        <v>2002</v>
      </c>
      <c r="H136" s="1">
        <v>2003</v>
      </c>
    </row>
    <row r="137" spans="1:9" x14ac:dyDescent="0.2">
      <c r="B137" s="5" t="s">
        <v>95</v>
      </c>
      <c r="C137" t="s">
        <v>125</v>
      </c>
      <c r="D137" s="24"/>
      <c r="E137" s="3"/>
      <c r="F137" s="13">
        <f t="shared" ref="F137:H139" si="1">(F129+E129)/2</f>
        <v>1000000</v>
      </c>
      <c r="G137" s="13">
        <f t="shared" si="1"/>
        <v>1000000</v>
      </c>
      <c r="H137" s="13">
        <f t="shared" si="1"/>
        <v>1000000</v>
      </c>
    </row>
    <row r="138" spans="1:9" x14ac:dyDescent="0.2">
      <c r="B138" s="5" t="s">
        <v>93</v>
      </c>
      <c r="C138" t="s">
        <v>125</v>
      </c>
      <c r="D138" s="24"/>
      <c r="E138" s="3"/>
      <c r="F138" s="13">
        <f t="shared" si="1"/>
        <v>116666.66666666667</v>
      </c>
      <c r="G138" s="13">
        <f t="shared" si="1"/>
        <v>150000</v>
      </c>
      <c r="H138" s="13">
        <f t="shared" si="1"/>
        <v>183333.33333333334</v>
      </c>
    </row>
    <row r="139" spans="1:9" x14ac:dyDescent="0.2">
      <c r="B139" s="5" t="s">
        <v>94</v>
      </c>
      <c r="C139" t="s">
        <v>125</v>
      </c>
      <c r="D139" s="24"/>
      <c r="E139" s="3"/>
      <c r="F139" s="13">
        <f t="shared" si="1"/>
        <v>75000</v>
      </c>
      <c r="G139" s="13">
        <f t="shared" si="1"/>
        <v>125000</v>
      </c>
      <c r="H139" s="13">
        <f t="shared" si="1"/>
        <v>175000</v>
      </c>
    </row>
    <row r="140" spans="1:9" x14ac:dyDescent="0.2">
      <c r="B140" s="62" t="s">
        <v>97</v>
      </c>
      <c r="C140" s="72" t="s">
        <v>125</v>
      </c>
      <c r="D140" s="72"/>
      <c r="E140" s="61"/>
      <c r="F140" s="61">
        <f>SUM(F137:F139)</f>
        <v>1191666.6666666667</v>
      </c>
      <c r="G140" s="61">
        <f>SUM(G137:G139)</f>
        <v>1275000</v>
      </c>
      <c r="H140" s="61">
        <f>SUM(H137:H139)</f>
        <v>1358333.3333333333</v>
      </c>
      <c r="I140" s="43" t="s">
        <v>112</v>
      </c>
    </row>
    <row r="141" spans="1:9" x14ac:dyDescent="0.2">
      <c r="B141" s="56"/>
      <c r="C141" s="56"/>
      <c r="D141" s="56"/>
      <c r="E141" s="56"/>
      <c r="F141" s="56"/>
    </row>
  </sheetData>
  <phoneticPr fontId="0" type="noConversion"/>
  <conditionalFormatting sqref="C41">
    <cfRule type="cellIs" dxfId="17" priority="1" stopIfTrue="1" operator="notEqual">
      <formula>0</formula>
    </cfRule>
  </conditionalFormatting>
  <dataValidations disablePrompts="1" count="2">
    <dataValidation type="list" showInputMessage="1" showErrorMessage="1" errorTitle="Input Parameter" error="Please select value from list" promptTitle="Input Parameter" prompt="Select from list" sqref="C16">
      <formula1>$C$17:$C$19</formula1>
    </dataValidation>
    <dataValidation type="decimal" showInputMessage="1" showErrorMessage="1" errorTitle="Input Parameter" error="Value must lie between 100 and 300" promptTitle="Input Parameter" prompt="Value must lie between 100 and 300" sqref="C12">
      <formula1>C13</formula1>
      <formula2>C14</formula2>
    </dataValidation>
  </dataValidations>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oddFooter xml:space="preserve">&amp;L&amp;F : &amp;A&amp;CPrinted at &amp;T on &amp;D&amp;RCommercial in confidence © Analysys Mason </oddFooter>
  </headerFooter>
  <rowBreaks count="3" manualBreakCount="3">
    <brk id="52" max="16383" man="1"/>
    <brk id="84" max="16383" man="1"/>
    <brk id="1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269"/>
  <sheetViews>
    <sheetView showGridLines="0" defaultGridColor="0" colorId="22" zoomScale="85" zoomScaleNormal="85" workbookViewId="0">
      <pane ySplit="1" topLeftCell="A2" activePane="bottomLeft" state="frozen"/>
      <selection pane="bottomLeft" activeCell="A2" sqref="A2"/>
    </sheetView>
  </sheetViews>
  <sheetFormatPr baseColWidth="10" defaultColWidth="12.7109375" defaultRowHeight="12" x14ac:dyDescent="0.2"/>
  <cols>
    <col min="1" max="1" width="6.7109375" customWidth="1"/>
    <col min="3" max="3" width="32" customWidth="1"/>
    <col min="4" max="4" width="24.5703125" customWidth="1"/>
    <col min="6" max="6" width="47.28515625" bestFit="1" customWidth="1"/>
    <col min="9" max="9" width="33.42578125" bestFit="1" customWidth="1"/>
    <col min="14" max="14" width="12.7109375" style="151"/>
  </cols>
  <sheetData>
    <row r="1" spans="3:14" s="78" customFormat="1" ht="33.75" customHeight="1" x14ac:dyDescent="0.2">
      <c r="C1" s="78" t="s">
        <v>155</v>
      </c>
      <c r="D1" s="81"/>
      <c r="L1" s="78" t="s">
        <v>114</v>
      </c>
      <c r="N1" s="130"/>
    </row>
    <row r="3" spans="3:14" x14ac:dyDescent="0.2">
      <c r="C3" s="105" t="s">
        <v>172</v>
      </c>
      <c r="D3" s="82"/>
    </row>
    <row r="4" spans="3:14" s="82" customFormat="1" x14ac:dyDescent="0.2">
      <c r="C4" s="264">
        <v>100</v>
      </c>
      <c r="D4" s="85" t="s">
        <v>173</v>
      </c>
      <c r="N4" s="151"/>
    </row>
    <row r="5" spans="3:14" s="82" customFormat="1" x14ac:dyDescent="0.2">
      <c r="C5" s="264">
        <v>1000</v>
      </c>
      <c r="D5" s="85" t="s">
        <v>174</v>
      </c>
      <c r="N5" s="151"/>
    </row>
    <row r="6" spans="3:14" s="82" customFormat="1" x14ac:dyDescent="0.2">
      <c r="C6" s="264">
        <v>1000000</v>
      </c>
      <c r="D6" s="85" t="s">
        <v>175</v>
      </c>
      <c r="N6" s="151"/>
    </row>
    <row r="7" spans="3:14" s="82" customFormat="1" x14ac:dyDescent="0.2">
      <c r="C7"/>
      <c r="D7"/>
      <c r="N7" s="151"/>
    </row>
    <row r="8" spans="3:14" s="82" customFormat="1" x14ac:dyDescent="0.2">
      <c r="C8" s="105" t="s">
        <v>176</v>
      </c>
      <c r="N8" s="151"/>
    </row>
    <row r="9" spans="3:14" s="82" customFormat="1" x14ac:dyDescent="0.2">
      <c r="C9" s="106" t="s">
        <v>177</v>
      </c>
      <c r="D9" s="85" t="s">
        <v>178</v>
      </c>
      <c r="N9" s="151"/>
    </row>
    <row r="10" spans="3:14" s="82" customFormat="1" x14ac:dyDescent="0.2">
      <c r="C10" s="83" t="s">
        <v>179</v>
      </c>
      <c r="D10" s="107" t="s">
        <v>179</v>
      </c>
      <c r="N10" s="151"/>
    </row>
    <row r="11" spans="3:14" s="82" customFormat="1" x14ac:dyDescent="0.2">
      <c r="C11" s="108" t="s">
        <v>180</v>
      </c>
      <c r="D11" s="107" t="s">
        <v>181</v>
      </c>
      <c r="N11" s="151"/>
    </row>
    <row r="12" spans="3:14" s="82" customFormat="1" x14ac:dyDescent="0.2">
      <c r="N12" s="151"/>
    </row>
    <row r="13" spans="3:14" s="82" customFormat="1" x14ac:dyDescent="0.2">
      <c r="C13" s="105" t="s">
        <v>182</v>
      </c>
      <c r="N13" s="151"/>
    </row>
    <row r="14" spans="3:14" s="82" customFormat="1" x14ac:dyDescent="0.2">
      <c r="C14" s="106" t="s">
        <v>183</v>
      </c>
      <c r="D14" s="85" t="s">
        <v>185</v>
      </c>
      <c r="N14" s="151"/>
    </row>
    <row r="15" spans="3:14" s="82" customFormat="1" x14ac:dyDescent="0.2">
      <c r="C15" s="83" t="s">
        <v>184</v>
      </c>
      <c r="D15" s="107" t="s">
        <v>186</v>
      </c>
      <c r="N15" s="151"/>
    </row>
    <row r="16" spans="3:14" s="118" customFormat="1" x14ac:dyDescent="0.2">
      <c r="C16" s="107" t="s">
        <v>205</v>
      </c>
      <c r="D16" s="107"/>
      <c r="N16" s="151"/>
    </row>
    <row r="17" spans="2:14" s="82" customFormat="1" x14ac:dyDescent="0.2">
      <c r="N17" s="151"/>
    </row>
    <row r="18" spans="2:14" s="151" customFormat="1" x14ac:dyDescent="0.2">
      <c r="C18" s="105" t="s">
        <v>566</v>
      </c>
    </row>
    <row r="19" spans="2:14" s="151" customFormat="1" x14ac:dyDescent="0.2">
      <c r="C19" s="124">
        <v>1</v>
      </c>
    </row>
    <row r="20" spans="2:14" s="151" customFormat="1" x14ac:dyDescent="0.2">
      <c r="C20" s="124">
        <v>0</v>
      </c>
    </row>
    <row r="21" spans="2:14" s="151" customFormat="1" x14ac:dyDescent="0.2">
      <c r="C21" s="152" t="s">
        <v>567</v>
      </c>
    </row>
    <row r="22" spans="2:14" s="151" customFormat="1" x14ac:dyDescent="0.2"/>
    <row r="23" spans="2:14" x14ac:dyDescent="0.2">
      <c r="C23" s="103" t="s">
        <v>156</v>
      </c>
    </row>
    <row r="24" spans="2:14" x14ac:dyDescent="0.2">
      <c r="B24" s="84">
        <v>1</v>
      </c>
      <c r="C24" s="101">
        <v>2015</v>
      </c>
    </row>
    <row r="25" spans="2:14" x14ac:dyDescent="0.2">
      <c r="B25" s="100">
        <f>B24+1</f>
        <v>2</v>
      </c>
      <c r="C25" s="104">
        <f>C24+1</f>
        <v>2016</v>
      </c>
    </row>
    <row r="26" spans="2:14" x14ac:dyDescent="0.2">
      <c r="B26" s="100">
        <f t="shared" ref="B26:B33" si="0">B25+1</f>
        <v>3</v>
      </c>
      <c r="C26" s="104">
        <f t="shared" ref="C26:C33" si="1">C25+1</f>
        <v>2017</v>
      </c>
    </row>
    <row r="27" spans="2:14" x14ac:dyDescent="0.2">
      <c r="B27" s="100">
        <f t="shared" si="0"/>
        <v>4</v>
      </c>
      <c r="C27" s="104">
        <f t="shared" si="1"/>
        <v>2018</v>
      </c>
    </row>
    <row r="28" spans="2:14" x14ac:dyDescent="0.2">
      <c r="B28" s="100">
        <f t="shared" si="0"/>
        <v>5</v>
      </c>
      <c r="C28" s="104">
        <f t="shared" si="1"/>
        <v>2019</v>
      </c>
    </row>
    <row r="29" spans="2:14" x14ac:dyDescent="0.2">
      <c r="B29" s="100">
        <f t="shared" si="0"/>
        <v>6</v>
      </c>
      <c r="C29" s="104">
        <f t="shared" si="1"/>
        <v>2020</v>
      </c>
    </row>
    <row r="30" spans="2:14" x14ac:dyDescent="0.2">
      <c r="B30" s="100">
        <f t="shared" si="0"/>
        <v>7</v>
      </c>
      <c r="C30" s="104">
        <f t="shared" si="1"/>
        <v>2021</v>
      </c>
    </row>
    <row r="31" spans="2:14" x14ac:dyDescent="0.2">
      <c r="B31" s="100">
        <f t="shared" si="0"/>
        <v>8</v>
      </c>
      <c r="C31" s="104">
        <f t="shared" si="1"/>
        <v>2022</v>
      </c>
    </row>
    <row r="32" spans="2:14" x14ac:dyDescent="0.2">
      <c r="B32" s="100">
        <f t="shared" si="0"/>
        <v>9</v>
      </c>
      <c r="C32" s="104">
        <f t="shared" si="1"/>
        <v>2023</v>
      </c>
    </row>
    <row r="33" spans="2:3" x14ac:dyDescent="0.2">
      <c r="B33" s="100">
        <f t="shared" si="0"/>
        <v>10</v>
      </c>
      <c r="C33" s="104">
        <f t="shared" si="1"/>
        <v>2024</v>
      </c>
    </row>
    <row r="34" spans="2:3" x14ac:dyDescent="0.2">
      <c r="C34" s="99" t="s">
        <v>157</v>
      </c>
    </row>
    <row r="36" spans="2:3" s="151" customFormat="1" x14ac:dyDescent="0.2">
      <c r="C36" s="154" t="s">
        <v>303</v>
      </c>
    </row>
    <row r="37" spans="2:3" s="151" customFormat="1" x14ac:dyDescent="0.2">
      <c r="B37" s="153">
        <v>1</v>
      </c>
      <c r="C37" s="124">
        <v>0</v>
      </c>
    </row>
    <row r="38" spans="2:3" s="151" customFormat="1" x14ac:dyDescent="0.2">
      <c r="B38" s="155">
        <f>B37+1</f>
        <v>2</v>
      </c>
      <c r="C38" s="104">
        <f>C37+1</f>
        <v>1</v>
      </c>
    </row>
    <row r="39" spans="2:3" s="151" customFormat="1" x14ac:dyDescent="0.2">
      <c r="B39" s="155">
        <f t="shared" ref="B39:C45" si="2">B38+1</f>
        <v>3</v>
      </c>
      <c r="C39" s="104">
        <f t="shared" si="2"/>
        <v>2</v>
      </c>
    </row>
    <row r="40" spans="2:3" s="151" customFormat="1" x14ac:dyDescent="0.2">
      <c r="B40" s="155">
        <f t="shared" si="2"/>
        <v>4</v>
      </c>
      <c r="C40" s="104">
        <f t="shared" si="2"/>
        <v>3</v>
      </c>
    </row>
    <row r="41" spans="2:3" s="151" customFormat="1" x14ac:dyDescent="0.2">
      <c r="B41" s="155">
        <f t="shared" si="2"/>
        <v>5</v>
      </c>
      <c r="C41" s="104">
        <f t="shared" si="2"/>
        <v>4</v>
      </c>
    </row>
    <row r="42" spans="2:3" s="151" customFormat="1" x14ac:dyDescent="0.2">
      <c r="B42" s="155">
        <f t="shared" si="2"/>
        <v>6</v>
      </c>
      <c r="C42" s="104">
        <f t="shared" si="2"/>
        <v>5</v>
      </c>
    </row>
    <row r="43" spans="2:3" s="151" customFormat="1" x14ac:dyDescent="0.2">
      <c r="B43" s="155">
        <f t="shared" si="2"/>
        <v>7</v>
      </c>
      <c r="C43" s="104">
        <f t="shared" si="2"/>
        <v>6</v>
      </c>
    </row>
    <row r="44" spans="2:3" s="151" customFormat="1" x14ac:dyDescent="0.2">
      <c r="B44" s="155">
        <f t="shared" si="2"/>
        <v>8</v>
      </c>
      <c r="C44" s="104">
        <f t="shared" si="2"/>
        <v>7</v>
      </c>
    </row>
    <row r="45" spans="2:3" s="151" customFormat="1" x14ac:dyDescent="0.2">
      <c r="B45" s="155">
        <f t="shared" si="2"/>
        <v>9</v>
      </c>
      <c r="C45" s="104">
        <f t="shared" si="2"/>
        <v>8</v>
      </c>
    </row>
    <row r="46" spans="2:3" s="151" customFormat="1" x14ac:dyDescent="0.2">
      <c r="B46" s="155">
        <f t="shared" ref="B46" si="3">B45+1</f>
        <v>10</v>
      </c>
      <c r="C46" s="104">
        <f t="shared" ref="C46" si="4">C45+1</f>
        <v>9</v>
      </c>
    </row>
    <row r="47" spans="2:3" s="151" customFormat="1" x14ac:dyDescent="0.2">
      <c r="B47" s="155">
        <f t="shared" ref="B47" si="5">B46+1</f>
        <v>11</v>
      </c>
      <c r="C47" s="104">
        <f t="shared" ref="C47" si="6">C46+1</f>
        <v>10</v>
      </c>
    </row>
    <row r="48" spans="2:3" s="151" customFormat="1" x14ac:dyDescent="0.2">
      <c r="B48" s="155">
        <f t="shared" ref="B48" si="7">B47+1</f>
        <v>12</v>
      </c>
      <c r="C48" s="104">
        <f t="shared" ref="C48" si="8">C47+1</f>
        <v>11</v>
      </c>
    </row>
    <row r="49" spans="2:3" s="151" customFormat="1" x14ac:dyDescent="0.2">
      <c r="B49" s="155">
        <f t="shared" ref="B49" si="9">B48+1</f>
        <v>13</v>
      </c>
      <c r="C49" s="104">
        <f t="shared" ref="C49:C55" si="10">C48+1</f>
        <v>12</v>
      </c>
    </row>
    <row r="50" spans="2:3" s="151" customFormat="1" x14ac:dyDescent="0.2">
      <c r="B50" s="155">
        <f t="shared" ref="B50" si="11">B49+1</f>
        <v>14</v>
      </c>
      <c r="C50" s="104">
        <f t="shared" si="10"/>
        <v>13</v>
      </c>
    </row>
    <row r="51" spans="2:3" s="151" customFormat="1" x14ac:dyDescent="0.2">
      <c r="B51" s="155">
        <f t="shared" ref="B51" si="12">B50+1</f>
        <v>15</v>
      </c>
      <c r="C51" s="104">
        <f t="shared" si="10"/>
        <v>14</v>
      </c>
    </row>
    <row r="52" spans="2:3" s="151" customFormat="1" x14ac:dyDescent="0.2">
      <c r="B52" s="155">
        <f t="shared" ref="B52" si="13">B51+1</f>
        <v>16</v>
      </c>
      <c r="C52" s="104">
        <f t="shared" si="10"/>
        <v>15</v>
      </c>
    </row>
    <row r="53" spans="2:3" s="151" customFormat="1" x14ac:dyDescent="0.2">
      <c r="B53" s="155">
        <f t="shared" ref="B53" si="14">B52+1</f>
        <v>17</v>
      </c>
      <c r="C53" s="104">
        <f t="shared" si="10"/>
        <v>16</v>
      </c>
    </row>
    <row r="54" spans="2:3" s="151" customFormat="1" x14ac:dyDescent="0.2">
      <c r="B54" s="155">
        <f t="shared" ref="B54" si="15">B53+1</f>
        <v>18</v>
      </c>
      <c r="C54" s="104">
        <f t="shared" si="10"/>
        <v>17</v>
      </c>
    </row>
    <row r="55" spans="2:3" s="151" customFormat="1" x14ac:dyDescent="0.2">
      <c r="B55" s="155">
        <f t="shared" ref="B55" si="16">B54+1</f>
        <v>19</v>
      </c>
      <c r="C55" s="104">
        <f t="shared" si="10"/>
        <v>18</v>
      </c>
    </row>
    <row r="56" spans="2:3" s="151" customFormat="1" x14ac:dyDescent="0.2">
      <c r="C56" s="152" t="s">
        <v>304</v>
      </c>
    </row>
    <row r="57" spans="2:3" s="151" customFormat="1" x14ac:dyDescent="0.2">
      <c r="C57" s="152"/>
    </row>
    <row r="58" spans="2:3" x14ac:dyDescent="0.2">
      <c r="C58" s="103" t="s">
        <v>662</v>
      </c>
    </row>
    <row r="59" spans="2:3" x14ac:dyDescent="0.2">
      <c r="B59" s="151"/>
      <c r="C59" s="101">
        <v>0</v>
      </c>
    </row>
    <row r="60" spans="2:3" s="151" customFormat="1" x14ac:dyDescent="0.2">
      <c r="C60" s="104">
        <f>C59+1</f>
        <v>1</v>
      </c>
    </row>
    <row r="61" spans="2:3" x14ac:dyDescent="0.2">
      <c r="B61" s="151"/>
      <c r="C61" s="104">
        <f>C60+1</f>
        <v>2</v>
      </c>
    </row>
    <row r="62" spans="2:3" s="151" customFormat="1" x14ac:dyDescent="0.2">
      <c r="C62" s="104">
        <f>C61+1</f>
        <v>3</v>
      </c>
    </row>
    <row r="63" spans="2:3" x14ac:dyDescent="0.2">
      <c r="C63" s="99" t="s">
        <v>159</v>
      </c>
    </row>
    <row r="65" spans="3:3" x14ac:dyDescent="0.2">
      <c r="C65" s="112" t="s">
        <v>148</v>
      </c>
    </row>
    <row r="66" spans="3:3" x14ac:dyDescent="0.2">
      <c r="C66" s="110" t="s">
        <v>187</v>
      </c>
    </row>
    <row r="67" spans="3:3" x14ac:dyDescent="0.2">
      <c r="C67" s="110" t="s">
        <v>188</v>
      </c>
    </row>
    <row r="68" spans="3:3" x14ac:dyDescent="0.2">
      <c r="C68" s="110" t="s">
        <v>189</v>
      </c>
    </row>
    <row r="69" spans="3:3" x14ac:dyDescent="0.2">
      <c r="C69" s="151" t="s">
        <v>964</v>
      </c>
    </row>
    <row r="70" spans="3:3" x14ac:dyDescent="0.2">
      <c r="C70" s="113" t="str">
        <f>spare</f>
        <v>espacio vacante</v>
      </c>
    </row>
    <row r="71" spans="3:3" x14ac:dyDescent="0.2">
      <c r="C71" s="111" t="s">
        <v>190</v>
      </c>
    </row>
    <row r="73" spans="3:3" x14ac:dyDescent="0.2">
      <c r="C73" s="112" t="s">
        <v>149</v>
      </c>
    </row>
    <row r="74" spans="3:3" x14ac:dyDescent="0.2">
      <c r="C74" s="114" t="s">
        <v>191</v>
      </c>
    </row>
    <row r="75" spans="3:3" x14ac:dyDescent="0.2">
      <c r="C75" s="114" t="s">
        <v>667</v>
      </c>
    </row>
    <row r="76" spans="3:3" x14ac:dyDescent="0.2">
      <c r="C76" s="155" t="str">
        <f>spare</f>
        <v>espacio vacante</v>
      </c>
    </row>
    <row r="77" spans="3:3" x14ac:dyDescent="0.2">
      <c r="C77" s="117" t="str">
        <f>spare</f>
        <v>espacio vacante</v>
      </c>
    </row>
    <row r="78" spans="3:3" x14ac:dyDescent="0.2">
      <c r="C78" s="117" t="str">
        <f>spare</f>
        <v>espacio vacante</v>
      </c>
    </row>
    <row r="79" spans="3:3" x14ac:dyDescent="0.2">
      <c r="C79" s="115" t="s">
        <v>192</v>
      </c>
    </row>
    <row r="81" spans="3:14" x14ac:dyDescent="0.2">
      <c r="C81" s="116" t="s">
        <v>152</v>
      </c>
    </row>
    <row r="82" spans="3:14" x14ac:dyDescent="0.2">
      <c r="C82" s="114" t="s">
        <v>193</v>
      </c>
    </row>
    <row r="83" spans="3:14" x14ac:dyDescent="0.2">
      <c r="C83" s="114" t="s">
        <v>195</v>
      </c>
    </row>
    <row r="84" spans="3:14" x14ac:dyDescent="0.2">
      <c r="C84" s="114" t="s">
        <v>196</v>
      </c>
    </row>
    <row r="85" spans="3:14" x14ac:dyDescent="0.2">
      <c r="C85" s="114" t="s">
        <v>197</v>
      </c>
    </row>
    <row r="86" spans="3:14" x14ac:dyDescent="0.2">
      <c r="C86" s="117" t="str">
        <f>spare</f>
        <v>espacio vacante</v>
      </c>
    </row>
    <row r="87" spans="3:14" x14ac:dyDescent="0.2">
      <c r="C87" s="115" t="s">
        <v>194</v>
      </c>
    </row>
    <row r="89" spans="3:14" x14ac:dyDescent="0.2">
      <c r="C89" s="116" t="s">
        <v>198</v>
      </c>
    </row>
    <row r="90" spans="3:14" x14ac:dyDescent="0.2">
      <c r="C90" s="151">
        <v>12</v>
      </c>
      <c r="D90" s="151">
        <v>12</v>
      </c>
      <c r="E90" s="151">
        <v>15</v>
      </c>
      <c r="F90" s="151">
        <v>3</v>
      </c>
      <c r="K90" s="151"/>
      <c r="N90"/>
    </row>
    <row r="91" spans="3:14" x14ac:dyDescent="0.2">
      <c r="C91" s="151">
        <f>C90+3</f>
        <v>15</v>
      </c>
      <c r="D91" s="151">
        <f>D90+3</f>
        <v>15</v>
      </c>
      <c r="E91" s="151">
        <f>E90+3</f>
        <v>18</v>
      </c>
      <c r="F91" s="151">
        <f>F90+1</f>
        <v>4</v>
      </c>
      <c r="K91" s="151"/>
      <c r="N91"/>
    </row>
    <row r="92" spans="3:14" x14ac:dyDescent="0.2">
      <c r="C92" s="151">
        <f t="shared" ref="C92:E120" si="17">C91+3</f>
        <v>18</v>
      </c>
      <c r="D92" s="151">
        <f t="shared" si="17"/>
        <v>18</v>
      </c>
      <c r="E92" s="151">
        <f t="shared" si="17"/>
        <v>21</v>
      </c>
      <c r="F92" s="151">
        <f t="shared" ref="F92:F99" si="18">F91+1</f>
        <v>5</v>
      </c>
      <c r="K92" s="151"/>
      <c r="N92"/>
    </row>
    <row r="93" spans="3:14" x14ac:dyDescent="0.2">
      <c r="C93" s="151">
        <f t="shared" si="17"/>
        <v>21</v>
      </c>
      <c r="D93" s="151">
        <f t="shared" si="17"/>
        <v>21</v>
      </c>
      <c r="E93" s="151">
        <f t="shared" si="17"/>
        <v>24</v>
      </c>
      <c r="F93" s="151">
        <f t="shared" si="18"/>
        <v>6</v>
      </c>
      <c r="K93" s="151"/>
      <c r="N93"/>
    </row>
    <row r="94" spans="3:14" s="151" customFormat="1" x14ac:dyDescent="0.2">
      <c r="C94" s="151">
        <f t="shared" si="17"/>
        <v>24</v>
      </c>
      <c r="D94" s="151">
        <f t="shared" si="17"/>
        <v>24</v>
      </c>
      <c r="E94" s="151">
        <f t="shared" si="17"/>
        <v>27</v>
      </c>
      <c r="F94" s="151">
        <f t="shared" si="18"/>
        <v>7</v>
      </c>
    </row>
    <row r="95" spans="3:14" s="151" customFormat="1" x14ac:dyDescent="0.2">
      <c r="C95" s="151">
        <f t="shared" si="17"/>
        <v>27</v>
      </c>
      <c r="D95" s="151">
        <f t="shared" si="17"/>
        <v>27</v>
      </c>
      <c r="E95" s="151">
        <f t="shared" si="17"/>
        <v>30</v>
      </c>
      <c r="F95" s="151">
        <f t="shared" si="18"/>
        <v>8</v>
      </c>
    </row>
    <row r="96" spans="3:14" s="151" customFormat="1" x14ac:dyDescent="0.2">
      <c r="C96" s="151">
        <f t="shared" si="17"/>
        <v>30</v>
      </c>
      <c r="D96" s="151">
        <f t="shared" si="17"/>
        <v>30</v>
      </c>
      <c r="E96" s="151">
        <f t="shared" si="17"/>
        <v>33</v>
      </c>
      <c r="F96" s="151">
        <f t="shared" si="18"/>
        <v>9</v>
      </c>
    </row>
    <row r="97" spans="3:6" s="151" customFormat="1" x14ac:dyDescent="0.2">
      <c r="C97" s="151">
        <f t="shared" si="17"/>
        <v>33</v>
      </c>
      <c r="D97" s="151">
        <f t="shared" si="17"/>
        <v>33</v>
      </c>
      <c r="E97" s="151">
        <f t="shared" si="17"/>
        <v>36</v>
      </c>
      <c r="F97" s="151">
        <f t="shared" si="18"/>
        <v>10</v>
      </c>
    </row>
    <row r="98" spans="3:6" s="151" customFormat="1" x14ac:dyDescent="0.2">
      <c r="C98" s="151">
        <f t="shared" si="17"/>
        <v>36</v>
      </c>
      <c r="D98" s="151">
        <f t="shared" si="17"/>
        <v>36</v>
      </c>
      <c r="E98" s="151">
        <f t="shared" si="17"/>
        <v>39</v>
      </c>
      <c r="F98" s="151">
        <f t="shared" si="18"/>
        <v>11</v>
      </c>
    </row>
    <row r="99" spans="3:6" s="151" customFormat="1" x14ac:dyDescent="0.2">
      <c r="C99" s="151">
        <f t="shared" si="17"/>
        <v>39</v>
      </c>
      <c r="D99" s="151">
        <f t="shared" si="17"/>
        <v>39</v>
      </c>
      <c r="E99" s="151">
        <f t="shared" si="17"/>
        <v>42</v>
      </c>
      <c r="F99" s="151">
        <f t="shared" si="18"/>
        <v>12</v>
      </c>
    </row>
    <row r="100" spans="3:6" s="151" customFormat="1" x14ac:dyDescent="0.2">
      <c r="C100" s="151">
        <f t="shared" si="17"/>
        <v>42</v>
      </c>
      <c r="D100" s="151">
        <f t="shared" si="17"/>
        <v>42</v>
      </c>
      <c r="E100" s="152" t="s">
        <v>950</v>
      </c>
      <c r="F100" s="152" t="s">
        <v>987</v>
      </c>
    </row>
    <row r="101" spans="3:6" s="151" customFormat="1" x14ac:dyDescent="0.2">
      <c r="C101" s="151">
        <f t="shared" si="17"/>
        <v>45</v>
      </c>
      <c r="D101" s="151">
        <f t="shared" si="17"/>
        <v>45</v>
      </c>
    </row>
    <row r="102" spans="3:6" s="151" customFormat="1" x14ac:dyDescent="0.2">
      <c r="C102" s="151">
        <f t="shared" si="17"/>
        <v>48</v>
      </c>
      <c r="D102" s="151">
        <f t="shared" si="17"/>
        <v>48</v>
      </c>
    </row>
    <row r="103" spans="3:6" s="151" customFormat="1" x14ac:dyDescent="0.2">
      <c r="C103" s="151">
        <f t="shared" si="17"/>
        <v>51</v>
      </c>
      <c r="D103" s="151">
        <f t="shared" si="17"/>
        <v>51</v>
      </c>
    </row>
    <row r="104" spans="3:6" s="151" customFormat="1" x14ac:dyDescent="0.2">
      <c r="C104" s="151">
        <f t="shared" si="17"/>
        <v>54</v>
      </c>
      <c r="D104" s="151">
        <f t="shared" si="17"/>
        <v>54</v>
      </c>
    </row>
    <row r="105" spans="3:6" s="151" customFormat="1" x14ac:dyDescent="0.2">
      <c r="C105" s="151">
        <f t="shared" si="17"/>
        <v>57</v>
      </c>
      <c r="D105" s="151">
        <f t="shared" si="17"/>
        <v>57</v>
      </c>
    </row>
    <row r="106" spans="3:6" s="151" customFormat="1" x14ac:dyDescent="0.2">
      <c r="C106" s="151">
        <f t="shared" si="17"/>
        <v>60</v>
      </c>
      <c r="D106" s="151">
        <f t="shared" si="17"/>
        <v>60</v>
      </c>
    </row>
    <row r="107" spans="3:6" s="151" customFormat="1" x14ac:dyDescent="0.2">
      <c r="C107" s="151">
        <f t="shared" si="17"/>
        <v>63</v>
      </c>
      <c r="D107" s="151">
        <f t="shared" si="17"/>
        <v>63</v>
      </c>
    </row>
    <row r="108" spans="3:6" s="151" customFormat="1" x14ac:dyDescent="0.2">
      <c r="C108" s="151">
        <f t="shared" si="17"/>
        <v>66</v>
      </c>
      <c r="D108" s="151">
        <f t="shared" si="17"/>
        <v>66</v>
      </c>
    </row>
    <row r="109" spans="3:6" s="151" customFormat="1" x14ac:dyDescent="0.2">
      <c r="C109" s="151">
        <f t="shared" si="17"/>
        <v>69</v>
      </c>
      <c r="D109" s="151">
        <f t="shared" si="17"/>
        <v>69</v>
      </c>
    </row>
    <row r="110" spans="3:6" s="151" customFormat="1" x14ac:dyDescent="0.2">
      <c r="C110" s="151">
        <f t="shared" si="17"/>
        <v>72</v>
      </c>
      <c r="D110" s="151">
        <f t="shared" si="17"/>
        <v>72</v>
      </c>
    </row>
    <row r="111" spans="3:6" s="151" customFormat="1" x14ac:dyDescent="0.2">
      <c r="C111" s="151">
        <f t="shared" si="17"/>
        <v>75</v>
      </c>
      <c r="D111" s="151">
        <f t="shared" si="17"/>
        <v>75</v>
      </c>
    </row>
    <row r="112" spans="3:6" s="151" customFormat="1" x14ac:dyDescent="0.2">
      <c r="C112" s="151">
        <f t="shared" si="17"/>
        <v>78</v>
      </c>
      <c r="D112" s="151">
        <f t="shared" si="17"/>
        <v>78</v>
      </c>
    </row>
    <row r="113" spans="3:14" s="151" customFormat="1" x14ac:dyDescent="0.2">
      <c r="C113" s="151">
        <f t="shared" si="17"/>
        <v>81</v>
      </c>
      <c r="D113" s="151">
        <f t="shared" si="17"/>
        <v>81</v>
      </c>
    </row>
    <row r="114" spans="3:14" s="151" customFormat="1" x14ac:dyDescent="0.2">
      <c r="C114" s="152" t="s">
        <v>949</v>
      </c>
      <c r="D114" s="151">
        <f t="shared" si="17"/>
        <v>84</v>
      </c>
    </row>
    <row r="115" spans="3:14" s="151" customFormat="1" x14ac:dyDescent="0.2">
      <c r="D115" s="151">
        <f t="shared" si="17"/>
        <v>87</v>
      </c>
    </row>
    <row r="116" spans="3:14" s="151" customFormat="1" x14ac:dyDescent="0.2">
      <c r="D116" s="151">
        <f t="shared" si="17"/>
        <v>90</v>
      </c>
    </row>
    <row r="117" spans="3:14" s="151" customFormat="1" x14ac:dyDescent="0.2">
      <c r="D117" s="151">
        <f t="shared" si="17"/>
        <v>93</v>
      </c>
    </row>
    <row r="118" spans="3:14" s="151" customFormat="1" x14ac:dyDescent="0.2">
      <c r="D118" s="151">
        <f t="shared" si="17"/>
        <v>96</v>
      </c>
    </row>
    <row r="119" spans="3:14" s="151" customFormat="1" x14ac:dyDescent="0.2">
      <c r="D119" s="151">
        <f t="shared" si="17"/>
        <v>99</v>
      </c>
    </row>
    <row r="120" spans="3:14" s="151" customFormat="1" x14ac:dyDescent="0.2">
      <c r="D120" s="151">
        <f t="shared" si="17"/>
        <v>102</v>
      </c>
    </row>
    <row r="121" spans="3:14" x14ac:dyDescent="0.2">
      <c r="D121" s="152" t="s">
        <v>948</v>
      </c>
      <c r="K121" s="151"/>
      <c r="N121"/>
    </row>
    <row r="123" spans="3:14" s="151" customFormat="1" x14ac:dyDescent="0.2">
      <c r="C123" s="154" t="s">
        <v>952</v>
      </c>
    </row>
    <row r="124" spans="3:14" s="151" customFormat="1" x14ac:dyDescent="0.2">
      <c r="G124" s="274" t="s">
        <v>953</v>
      </c>
      <c r="H124" s="274" t="s">
        <v>953</v>
      </c>
      <c r="I124" s="274" t="s">
        <v>953</v>
      </c>
      <c r="J124" s="274" t="s">
        <v>956</v>
      </c>
    </row>
    <row r="125" spans="3:14" s="151" customFormat="1" x14ac:dyDescent="0.2">
      <c r="G125" s="274" t="s">
        <v>954</v>
      </c>
      <c r="H125" s="274" t="s">
        <v>954</v>
      </c>
      <c r="I125" s="274" t="s">
        <v>954</v>
      </c>
      <c r="J125" s="274" t="s">
        <v>955</v>
      </c>
    </row>
    <row r="126" spans="3:14" s="151" customFormat="1" x14ac:dyDescent="0.2">
      <c r="G126" s="274" t="s">
        <v>955</v>
      </c>
      <c r="H126" s="274" t="s">
        <v>955</v>
      </c>
      <c r="I126" s="274" t="s">
        <v>955</v>
      </c>
      <c r="J126" s="152" t="s">
        <v>986</v>
      </c>
    </row>
    <row r="127" spans="3:14" s="151" customFormat="1" x14ac:dyDescent="0.2">
      <c r="G127" s="152" t="s">
        <v>957</v>
      </c>
      <c r="H127" s="152" t="s">
        <v>958</v>
      </c>
      <c r="I127" s="152" t="s">
        <v>959</v>
      </c>
    </row>
    <row r="128" spans="3:14" s="151" customFormat="1" x14ac:dyDescent="0.2"/>
    <row r="129" spans="3:3" x14ac:dyDescent="0.2">
      <c r="C129" s="123" t="s">
        <v>203</v>
      </c>
    </row>
    <row r="130" spans="3:3" x14ac:dyDescent="0.2">
      <c r="C130" t="s">
        <v>199</v>
      </c>
    </row>
    <row r="131" spans="3:3" x14ac:dyDescent="0.2">
      <c r="C131" t="s">
        <v>200</v>
      </c>
    </row>
    <row r="132" spans="3:3" x14ac:dyDescent="0.2">
      <c r="C132" t="s">
        <v>201</v>
      </c>
    </row>
    <row r="133" spans="3:3" x14ac:dyDescent="0.2">
      <c r="C133" t="s">
        <v>202</v>
      </c>
    </row>
    <row r="134" spans="3:3" x14ac:dyDescent="0.2">
      <c r="C134" s="119" t="s">
        <v>204</v>
      </c>
    </row>
    <row r="136" spans="3:3" x14ac:dyDescent="0.2">
      <c r="C136" s="135" t="s">
        <v>209</v>
      </c>
    </row>
    <row r="137" spans="3:3" x14ac:dyDescent="0.2">
      <c r="C137" t="s">
        <v>210</v>
      </c>
    </row>
    <row r="138" spans="3:3" x14ac:dyDescent="0.2">
      <c r="C138" t="s">
        <v>211</v>
      </c>
    </row>
    <row r="139" spans="3:3" s="151" customFormat="1" x14ac:dyDescent="0.2">
      <c r="C139" s="151" t="s">
        <v>934</v>
      </c>
    </row>
    <row r="140" spans="3:3" x14ac:dyDescent="0.2">
      <c r="C140" s="133" t="s">
        <v>212</v>
      </c>
    </row>
    <row r="142" spans="3:3" x14ac:dyDescent="0.2">
      <c r="C142" s="135" t="s">
        <v>144</v>
      </c>
    </row>
    <row r="143" spans="3:3" x14ac:dyDescent="0.2">
      <c r="C143" s="132" t="s">
        <v>922</v>
      </c>
    </row>
    <row r="144" spans="3:3" x14ac:dyDescent="0.2">
      <c r="C144" s="132" t="s">
        <v>213</v>
      </c>
    </row>
    <row r="145" spans="2:16" x14ac:dyDescent="0.2">
      <c r="C145" s="133" t="s">
        <v>214</v>
      </c>
    </row>
    <row r="147" spans="2:16" x14ac:dyDescent="0.2">
      <c r="C147" s="135" t="s">
        <v>215</v>
      </c>
    </row>
    <row r="148" spans="2:16" x14ac:dyDescent="0.2">
      <c r="C148" s="137" t="s">
        <v>217</v>
      </c>
    </row>
    <row r="149" spans="2:16" x14ac:dyDescent="0.2">
      <c r="C149" s="137" t="s">
        <v>218</v>
      </c>
    </row>
    <row r="150" spans="2:16" x14ac:dyDescent="0.2">
      <c r="C150" s="133" t="s">
        <v>216</v>
      </c>
    </row>
    <row r="152" spans="2:16" x14ac:dyDescent="0.2">
      <c r="C152" s="140" t="s">
        <v>219</v>
      </c>
      <c r="D152" s="137"/>
      <c r="F152" s="154" t="s">
        <v>555</v>
      </c>
      <c r="H152" s="151"/>
      <c r="I152" s="154" t="s">
        <v>558</v>
      </c>
      <c r="L152" s="154" t="s">
        <v>565</v>
      </c>
      <c r="P152" s="154" t="s">
        <v>592</v>
      </c>
    </row>
    <row r="153" spans="2:16" x14ac:dyDescent="0.2">
      <c r="B153" s="122">
        <v>1</v>
      </c>
      <c r="C153" s="151" t="s">
        <v>153</v>
      </c>
      <c r="D153" s="137"/>
      <c r="E153" s="153">
        <v>1</v>
      </c>
      <c r="F153" s="151" t="s">
        <v>220</v>
      </c>
      <c r="H153" s="153">
        <v>1</v>
      </c>
      <c r="I153" s="151" t="s">
        <v>559</v>
      </c>
      <c r="K153" s="153">
        <v>1</v>
      </c>
      <c r="L153" t="s">
        <v>233</v>
      </c>
      <c r="O153" s="153">
        <v>1</v>
      </c>
      <c r="P153" s="151" t="s">
        <v>311</v>
      </c>
    </row>
    <row r="154" spans="2:16" x14ac:dyDescent="0.2">
      <c r="B154" s="139">
        <f>B153+1</f>
        <v>2</v>
      </c>
      <c r="C154" s="151" t="s">
        <v>220</v>
      </c>
      <c r="E154" s="155">
        <f>E153+1</f>
        <v>2</v>
      </c>
      <c r="F154" s="151" t="s">
        <v>476</v>
      </c>
      <c r="H154" s="155">
        <f>H153+1</f>
        <v>2</v>
      </c>
      <c r="I154" t="s">
        <v>560</v>
      </c>
      <c r="K154" s="155">
        <f>K153+1</f>
        <v>2</v>
      </c>
      <c r="L154" s="158" t="s">
        <v>313</v>
      </c>
      <c r="O154" s="155">
        <f>O153+1</f>
        <v>2</v>
      </c>
      <c r="P154" s="158" t="s">
        <v>591</v>
      </c>
    </row>
    <row r="155" spans="2:16" x14ac:dyDescent="0.2">
      <c r="B155" s="139">
        <f t="shared" ref="B155:B172" si="19">B154+1</f>
        <v>3</v>
      </c>
      <c r="C155" s="151" t="s">
        <v>476</v>
      </c>
      <c r="E155" s="155">
        <f t="shared" ref="E155:E162" si="20">E154+1</f>
        <v>3</v>
      </c>
      <c r="F155" s="151" t="s">
        <v>477</v>
      </c>
      <c r="H155" s="155">
        <f>H154+1</f>
        <v>3</v>
      </c>
      <c r="I155" s="151" t="s">
        <v>561</v>
      </c>
      <c r="K155" s="155">
        <f>K154+1</f>
        <v>3</v>
      </c>
      <c r="L155" s="158" t="s">
        <v>568</v>
      </c>
      <c r="O155" s="155">
        <f t="shared" ref="O155:O162" si="21">O154+1</f>
        <v>3</v>
      </c>
      <c r="P155" s="158" t="s">
        <v>593</v>
      </c>
    </row>
    <row r="156" spans="2:16" x14ac:dyDescent="0.2">
      <c r="B156" s="139">
        <f t="shared" si="19"/>
        <v>4</v>
      </c>
      <c r="C156" s="151" t="s">
        <v>477</v>
      </c>
      <c r="E156" s="155">
        <f t="shared" si="20"/>
        <v>4</v>
      </c>
      <c r="F156" s="158" t="s">
        <v>752</v>
      </c>
      <c r="H156" s="155">
        <f>H155+1</f>
        <v>4</v>
      </c>
      <c r="I156" s="151" t="s">
        <v>562</v>
      </c>
      <c r="K156" s="155">
        <f>K155+1</f>
        <v>4</v>
      </c>
      <c r="L156" s="158" t="s">
        <v>569</v>
      </c>
      <c r="O156" s="155">
        <f t="shared" si="21"/>
        <v>4</v>
      </c>
      <c r="P156" s="158" t="s">
        <v>594</v>
      </c>
    </row>
    <row r="157" spans="2:16" x14ac:dyDescent="0.2">
      <c r="B157" s="139">
        <f t="shared" si="19"/>
        <v>5</v>
      </c>
      <c r="C157" s="158" t="s">
        <v>752</v>
      </c>
      <c r="E157" s="155">
        <f t="shared" si="20"/>
        <v>5</v>
      </c>
      <c r="F157" s="151" t="s">
        <v>279</v>
      </c>
      <c r="H157" s="155">
        <f>H156+1</f>
        <v>5</v>
      </c>
      <c r="I157" s="158" t="s">
        <v>563</v>
      </c>
      <c r="K157" s="155">
        <f>K156+1</f>
        <v>5</v>
      </c>
      <c r="L157" s="158" t="s">
        <v>570</v>
      </c>
      <c r="O157" s="155">
        <f t="shared" si="21"/>
        <v>5</v>
      </c>
      <c r="P157" s="151" t="s">
        <v>312</v>
      </c>
    </row>
    <row r="158" spans="2:16" x14ac:dyDescent="0.2">
      <c r="B158" s="139">
        <f t="shared" si="19"/>
        <v>6</v>
      </c>
      <c r="C158" s="151" t="s">
        <v>279</v>
      </c>
      <c r="E158" s="155">
        <f t="shared" si="20"/>
        <v>6</v>
      </c>
      <c r="F158" s="151" t="s">
        <v>281</v>
      </c>
      <c r="H158" s="155">
        <f>H157+1</f>
        <v>6</v>
      </c>
      <c r="I158" s="158" t="s">
        <v>598</v>
      </c>
      <c r="K158" s="155">
        <f>K157+1</f>
        <v>6</v>
      </c>
      <c r="L158" s="155" t="str">
        <f t="shared" ref="L158" si="22">spare</f>
        <v>espacio vacante</v>
      </c>
      <c r="O158" s="155">
        <f t="shared" si="21"/>
        <v>6</v>
      </c>
      <c r="P158" s="158" t="s">
        <v>595</v>
      </c>
    </row>
    <row r="159" spans="2:16" x14ac:dyDescent="0.2">
      <c r="B159" s="139">
        <f t="shared" si="19"/>
        <v>7</v>
      </c>
      <c r="C159" s="151" t="s">
        <v>281</v>
      </c>
      <c r="E159" s="155">
        <f t="shared" si="20"/>
        <v>7</v>
      </c>
      <c r="F159" s="151" t="s">
        <v>556</v>
      </c>
      <c r="I159" s="152" t="s">
        <v>564</v>
      </c>
      <c r="O159" s="155">
        <f t="shared" si="21"/>
        <v>7</v>
      </c>
      <c r="P159" s="158" t="s">
        <v>596</v>
      </c>
    </row>
    <row r="160" spans="2:16" x14ac:dyDescent="0.2">
      <c r="B160" s="139">
        <f t="shared" si="19"/>
        <v>8</v>
      </c>
      <c r="C160" s="151" t="s">
        <v>154</v>
      </c>
      <c r="E160" s="155">
        <f t="shared" si="20"/>
        <v>8</v>
      </c>
      <c r="F160" s="155" t="str">
        <f t="shared" ref="F160:F162" si="23">spare</f>
        <v>espacio vacante</v>
      </c>
      <c r="O160" s="155">
        <f t="shared" si="21"/>
        <v>8</v>
      </c>
      <c r="P160" s="158" t="s">
        <v>597</v>
      </c>
    </row>
    <row r="161" spans="2:16" x14ac:dyDescent="0.2">
      <c r="B161" s="139">
        <f t="shared" si="19"/>
        <v>9</v>
      </c>
      <c r="C161" s="151" t="s">
        <v>206</v>
      </c>
      <c r="E161" s="155">
        <f t="shared" si="20"/>
        <v>9</v>
      </c>
      <c r="F161" s="155" t="str">
        <f t="shared" si="23"/>
        <v>espacio vacante</v>
      </c>
      <c r="O161" s="155">
        <f t="shared" si="21"/>
        <v>9</v>
      </c>
      <c r="P161" t="str">
        <f>spare</f>
        <v>espacio vacante</v>
      </c>
    </row>
    <row r="162" spans="2:16" x14ac:dyDescent="0.2">
      <c r="B162" s="139">
        <f t="shared" si="19"/>
        <v>10</v>
      </c>
      <c r="C162" s="155" t="str">
        <f t="shared" ref="C162:C172" si="24">spare</f>
        <v>espacio vacante</v>
      </c>
      <c r="E162" s="155">
        <f t="shared" si="20"/>
        <v>10</v>
      </c>
      <c r="F162" s="155" t="str">
        <f t="shared" si="23"/>
        <v>espacio vacante</v>
      </c>
      <c r="O162" s="155">
        <f t="shared" si="21"/>
        <v>10</v>
      </c>
      <c r="P162" t="str">
        <f>spare</f>
        <v>espacio vacante</v>
      </c>
    </row>
    <row r="163" spans="2:16" x14ac:dyDescent="0.2">
      <c r="B163" s="139">
        <f t="shared" si="19"/>
        <v>11</v>
      </c>
      <c r="C163" s="155" t="str">
        <f t="shared" si="24"/>
        <v>espacio vacante</v>
      </c>
      <c r="F163" s="152" t="s">
        <v>557</v>
      </c>
      <c r="P163" s="152" t="s">
        <v>571</v>
      </c>
    </row>
    <row r="164" spans="2:16" x14ac:dyDescent="0.2">
      <c r="B164" s="139">
        <f t="shared" si="19"/>
        <v>12</v>
      </c>
      <c r="C164" s="155" t="str">
        <f t="shared" si="24"/>
        <v>espacio vacante</v>
      </c>
    </row>
    <row r="165" spans="2:16" x14ac:dyDescent="0.2">
      <c r="B165" s="139">
        <f t="shared" si="19"/>
        <v>13</v>
      </c>
      <c r="C165" s="155" t="str">
        <f t="shared" si="24"/>
        <v>espacio vacante</v>
      </c>
    </row>
    <row r="166" spans="2:16" x14ac:dyDescent="0.2">
      <c r="B166" s="139">
        <f t="shared" si="19"/>
        <v>14</v>
      </c>
      <c r="C166" s="155" t="str">
        <f t="shared" si="24"/>
        <v>espacio vacante</v>
      </c>
    </row>
    <row r="167" spans="2:16" x14ac:dyDescent="0.2">
      <c r="B167" s="139">
        <f t="shared" si="19"/>
        <v>15</v>
      </c>
      <c r="C167" s="155" t="str">
        <f t="shared" si="24"/>
        <v>espacio vacante</v>
      </c>
    </row>
    <row r="168" spans="2:16" x14ac:dyDescent="0.2">
      <c r="B168" s="139">
        <f t="shared" si="19"/>
        <v>16</v>
      </c>
      <c r="C168" s="155" t="str">
        <f t="shared" si="24"/>
        <v>espacio vacante</v>
      </c>
    </row>
    <row r="169" spans="2:16" x14ac:dyDescent="0.2">
      <c r="B169" s="139">
        <f>B168+1</f>
        <v>17</v>
      </c>
      <c r="C169" s="155" t="str">
        <f t="shared" si="24"/>
        <v>espacio vacante</v>
      </c>
    </row>
    <row r="170" spans="2:16" x14ac:dyDescent="0.2">
      <c r="B170" s="139">
        <f t="shared" si="19"/>
        <v>18</v>
      </c>
      <c r="C170" s="155" t="str">
        <f t="shared" si="24"/>
        <v>espacio vacante</v>
      </c>
    </row>
    <row r="171" spans="2:16" x14ac:dyDescent="0.2">
      <c r="B171" s="139">
        <f>B170+1</f>
        <v>19</v>
      </c>
      <c r="C171" s="155" t="str">
        <f t="shared" si="24"/>
        <v>espacio vacante</v>
      </c>
    </row>
    <row r="172" spans="2:16" x14ac:dyDescent="0.2">
      <c r="B172" s="139">
        <f t="shared" si="19"/>
        <v>20</v>
      </c>
      <c r="C172" s="155" t="str">
        <f t="shared" si="24"/>
        <v>espacio vacante</v>
      </c>
    </row>
    <row r="173" spans="2:16" x14ac:dyDescent="0.2">
      <c r="C173" s="138" t="s">
        <v>222</v>
      </c>
    </row>
    <row r="175" spans="2:16" x14ac:dyDescent="0.2">
      <c r="C175" s="128" t="s">
        <v>228</v>
      </c>
    </row>
    <row r="176" spans="2:16" x14ac:dyDescent="0.2">
      <c r="B176" s="109">
        <v>1</v>
      </c>
      <c r="C176" s="126" t="s">
        <v>224</v>
      </c>
    </row>
    <row r="177" spans="2:14" x14ac:dyDescent="0.2">
      <c r="B177" s="125">
        <f>B176+1</f>
        <v>2</v>
      </c>
      <c r="C177" s="126" t="s">
        <v>225</v>
      </c>
    </row>
    <row r="178" spans="2:14" x14ac:dyDescent="0.2">
      <c r="B178" s="125">
        <f t="shared" ref="B178:B180" si="25">B177+1</f>
        <v>3</v>
      </c>
      <c r="C178" s="126" t="s">
        <v>226</v>
      </c>
    </row>
    <row r="179" spans="2:14" x14ac:dyDescent="0.2">
      <c r="B179" s="125">
        <f t="shared" si="25"/>
        <v>4</v>
      </c>
      <c r="C179" s="125" t="str">
        <f>spare</f>
        <v>espacio vacante</v>
      </c>
    </row>
    <row r="180" spans="2:14" x14ac:dyDescent="0.2">
      <c r="B180" s="125">
        <f t="shared" si="25"/>
        <v>5</v>
      </c>
      <c r="C180" s="125" t="str">
        <f>spare</f>
        <v>espacio vacante</v>
      </c>
    </row>
    <row r="181" spans="2:14" x14ac:dyDescent="0.2">
      <c r="C181" s="129" t="s">
        <v>229</v>
      </c>
    </row>
    <row r="182" spans="2:14" s="131" customFormat="1" x14ac:dyDescent="0.2">
      <c r="C182" s="147"/>
      <c r="N182" s="151"/>
    </row>
    <row r="183" spans="2:14" x14ac:dyDescent="0.2">
      <c r="C183" s="149" t="s">
        <v>234</v>
      </c>
    </row>
    <row r="184" spans="2:14" x14ac:dyDescent="0.2">
      <c r="B184" s="148">
        <v>1</v>
      </c>
      <c r="C184" s="131" t="s">
        <v>148</v>
      </c>
    </row>
    <row r="185" spans="2:14" x14ac:dyDescent="0.2">
      <c r="B185" s="150">
        <f>B184+1</f>
        <v>2</v>
      </c>
      <c r="C185" s="131" t="s">
        <v>233</v>
      </c>
    </row>
    <row r="186" spans="2:14" x14ac:dyDescent="0.2">
      <c r="B186" s="150">
        <f t="shared" ref="B186:B196" si="26">B185+1</f>
        <v>3</v>
      </c>
      <c r="C186" t="s">
        <v>241</v>
      </c>
    </row>
    <row r="187" spans="2:14" s="151" customFormat="1" x14ac:dyDescent="0.2">
      <c r="B187" s="155">
        <f t="shared" si="26"/>
        <v>4</v>
      </c>
      <c r="C187" s="151" t="s">
        <v>311</v>
      </c>
    </row>
    <row r="188" spans="2:14" s="151" customFormat="1" x14ac:dyDescent="0.2">
      <c r="B188" s="155">
        <f t="shared" si="26"/>
        <v>5</v>
      </c>
      <c r="C188" s="158" t="s">
        <v>591</v>
      </c>
    </row>
    <row r="189" spans="2:14" s="151" customFormat="1" x14ac:dyDescent="0.2">
      <c r="B189" s="155">
        <f t="shared" si="26"/>
        <v>6</v>
      </c>
      <c r="C189" s="158" t="s">
        <v>593</v>
      </c>
    </row>
    <row r="190" spans="2:14" s="151" customFormat="1" x14ac:dyDescent="0.2">
      <c r="B190" s="155">
        <f t="shared" si="26"/>
        <v>7</v>
      </c>
      <c r="C190" s="158" t="s">
        <v>594</v>
      </c>
    </row>
    <row r="191" spans="2:14" s="151" customFormat="1" x14ac:dyDescent="0.2">
      <c r="B191" s="155">
        <f t="shared" si="26"/>
        <v>8</v>
      </c>
      <c r="C191" s="151" t="s">
        <v>312</v>
      </c>
    </row>
    <row r="192" spans="2:14" x14ac:dyDescent="0.2">
      <c r="B192" s="155">
        <f t="shared" si="26"/>
        <v>9</v>
      </c>
      <c r="C192" s="158" t="s">
        <v>595</v>
      </c>
    </row>
    <row r="193" spans="2:3" s="151" customFormat="1" x14ac:dyDescent="0.2">
      <c r="B193" s="155">
        <f t="shared" si="26"/>
        <v>10</v>
      </c>
      <c r="C193" s="158" t="s">
        <v>596</v>
      </c>
    </row>
    <row r="194" spans="2:3" s="151" customFormat="1" x14ac:dyDescent="0.2">
      <c r="B194" s="155">
        <f t="shared" si="26"/>
        <v>11</v>
      </c>
      <c r="C194" s="158" t="s">
        <v>597</v>
      </c>
    </row>
    <row r="195" spans="2:3" s="151" customFormat="1" x14ac:dyDescent="0.2">
      <c r="B195" s="155">
        <f t="shared" si="26"/>
        <v>12</v>
      </c>
      <c r="C195" s="158" t="str">
        <f>spare</f>
        <v>espacio vacante</v>
      </c>
    </row>
    <row r="196" spans="2:3" s="151" customFormat="1" x14ac:dyDescent="0.2">
      <c r="B196" s="155">
        <f t="shared" si="26"/>
        <v>13</v>
      </c>
      <c r="C196" s="158" t="str">
        <f>spare</f>
        <v>espacio vacante</v>
      </c>
    </row>
    <row r="197" spans="2:3" x14ac:dyDescent="0.2">
      <c r="C197" s="147" t="s">
        <v>235</v>
      </c>
    </row>
    <row r="198" spans="2:3" x14ac:dyDescent="0.2">
      <c r="C198" s="131"/>
    </row>
    <row r="199" spans="2:3" x14ac:dyDescent="0.2">
      <c r="C199" s="154" t="s">
        <v>237</v>
      </c>
    </row>
    <row r="200" spans="2:3" x14ac:dyDescent="0.2">
      <c r="B200" s="153">
        <v>1</v>
      </c>
      <c r="C200" s="151" t="s">
        <v>300</v>
      </c>
    </row>
    <row r="201" spans="2:3" x14ac:dyDescent="0.2">
      <c r="B201" s="155">
        <f>B200+1</f>
        <v>2</v>
      </c>
      <c r="C201" s="151" t="s">
        <v>236</v>
      </c>
    </row>
    <row r="202" spans="2:3" x14ac:dyDescent="0.2">
      <c r="B202" s="155">
        <f t="shared" ref="B202:B204" si="27">B201+1</f>
        <v>3</v>
      </c>
      <c r="C202" s="151" t="s">
        <v>225</v>
      </c>
    </row>
    <row r="203" spans="2:3" x14ac:dyDescent="0.2">
      <c r="B203" s="155">
        <f t="shared" si="27"/>
        <v>4</v>
      </c>
      <c r="C203" s="151" t="s">
        <v>226</v>
      </c>
    </row>
    <row r="204" spans="2:3" x14ac:dyDescent="0.2">
      <c r="B204" s="155">
        <f t="shared" si="27"/>
        <v>5</v>
      </c>
      <c r="C204" s="155" t="str">
        <f>spare</f>
        <v>espacio vacante</v>
      </c>
    </row>
    <row r="205" spans="2:3" x14ac:dyDescent="0.2">
      <c r="C205" s="152" t="s">
        <v>238</v>
      </c>
    </row>
    <row r="207" spans="2:3" x14ac:dyDescent="0.2">
      <c r="C207" s="154" t="s">
        <v>299</v>
      </c>
    </row>
    <row r="208" spans="2:3" x14ac:dyDescent="0.2">
      <c r="C208" t="s">
        <v>296</v>
      </c>
    </row>
    <row r="209" spans="2:3" x14ac:dyDescent="0.2">
      <c r="C209" t="s">
        <v>297</v>
      </c>
    </row>
    <row r="210" spans="2:3" x14ac:dyDescent="0.2">
      <c r="C210" s="107" t="s">
        <v>298</v>
      </c>
    </row>
    <row r="212" spans="2:3" x14ac:dyDescent="0.2">
      <c r="B212" s="151"/>
      <c r="C212" s="154" t="s">
        <v>404</v>
      </c>
    </row>
    <row r="213" spans="2:3" x14ac:dyDescent="0.2">
      <c r="B213" s="151"/>
      <c r="C213" s="151" t="s">
        <v>397</v>
      </c>
    </row>
    <row r="214" spans="2:3" x14ac:dyDescent="0.2">
      <c r="B214" s="151"/>
      <c r="C214" s="151" t="s">
        <v>398</v>
      </c>
    </row>
    <row r="215" spans="2:3" x14ac:dyDescent="0.2">
      <c r="B215" s="151"/>
      <c r="C215" t="s">
        <v>399</v>
      </c>
    </row>
    <row r="216" spans="2:3" x14ac:dyDescent="0.2">
      <c r="C216" s="152" t="s">
        <v>396</v>
      </c>
    </row>
    <row r="218" spans="2:3" x14ac:dyDescent="0.2">
      <c r="C218" s="154" t="s">
        <v>394</v>
      </c>
    </row>
    <row r="219" spans="2:3" x14ac:dyDescent="0.2">
      <c r="C219" t="s">
        <v>459</v>
      </c>
    </row>
    <row r="220" spans="2:3" x14ac:dyDescent="0.2">
      <c r="C220" s="152" t="s">
        <v>460</v>
      </c>
    </row>
    <row r="222" spans="2:3" x14ac:dyDescent="0.2">
      <c r="C222" s="154" t="s">
        <v>464</v>
      </c>
    </row>
    <row r="223" spans="2:3" x14ac:dyDescent="0.2">
      <c r="C223" s="153">
        <v>0</v>
      </c>
    </row>
    <row r="224" spans="2:3" x14ac:dyDescent="0.2">
      <c r="C224" s="153">
        <v>1</v>
      </c>
    </row>
    <row r="225" spans="3:3" x14ac:dyDescent="0.2">
      <c r="C225" s="152" t="s">
        <v>465</v>
      </c>
    </row>
    <row r="228" spans="3:3" x14ac:dyDescent="0.2">
      <c r="C228" s="154" t="s">
        <v>599</v>
      </c>
    </row>
    <row r="229" spans="3:3" x14ac:dyDescent="0.2">
      <c r="C229" t="s">
        <v>309</v>
      </c>
    </row>
    <row r="230" spans="3:3" x14ac:dyDescent="0.2">
      <c r="C230" t="s">
        <v>308</v>
      </c>
    </row>
    <row r="231" spans="3:3" x14ac:dyDescent="0.2">
      <c r="C231" t="s">
        <v>244</v>
      </c>
    </row>
    <row r="232" spans="3:3" x14ac:dyDescent="0.2">
      <c r="C232" t="s">
        <v>206</v>
      </c>
    </row>
    <row r="233" spans="3:3" x14ac:dyDescent="0.2">
      <c r="C233" s="152" t="s">
        <v>600</v>
      </c>
    </row>
    <row r="235" spans="3:3" x14ac:dyDescent="0.2">
      <c r="C235" s="105" t="s">
        <v>745</v>
      </c>
    </row>
    <row r="236" spans="3:3" x14ac:dyDescent="0.2">
      <c r="C236" t="s">
        <v>749</v>
      </c>
    </row>
    <row r="237" spans="3:3" x14ac:dyDescent="0.2">
      <c r="C237" t="s">
        <v>748</v>
      </c>
    </row>
    <row r="238" spans="3:3" x14ac:dyDescent="0.2">
      <c r="C238" t="s">
        <v>750</v>
      </c>
    </row>
    <row r="239" spans="3:3" x14ac:dyDescent="0.2">
      <c r="C239" s="209" t="s">
        <v>747</v>
      </c>
    </row>
    <row r="241" spans="3:4" x14ac:dyDescent="0.2">
      <c r="C241" s="105" t="s">
        <v>942</v>
      </c>
    </row>
    <row r="242" spans="3:4" x14ac:dyDescent="0.2">
      <c r="C242" s="242">
        <v>3.5169999999999999</v>
      </c>
      <c r="D242" s="152" t="s">
        <v>943</v>
      </c>
    </row>
    <row r="243" spans="3:4" x14ac:dyDescent="0.2">
      <c r="C243" s="264">
        <v>24</v>
      </c>
      <c r="D243" s="152" t="s">
        <v>944</v>
      </c>
    </row>
    <row r="244" spans="3:4" x14ac:dyDescent="0.2">
      <c r="C244" s="264">
        <v>30</v>
      </c>
      <c r="D244" s="152" t="s">
        <v>945</v>
      </c>
    </row>
    <row r="245" spans="3:4" x14ac:dyDescent="0.2">
      <c r="C245" s="264">
        <v>12</v>
      </c>
      <c r="D245" s="152" t="s">
        <v>946</v>
      </c>
    </row>
    <row r="247" spans="3:4" x14ac:dyDescent="0.2">
      <c r="C247" s="154" t="s">
        <v>978</v>
      </c>
    </row>
    <row r="248" spans="3:4" x14ac:dyDescent="0.2">
      <c r="C248" s="153" t="s">
        <v>318</v>
      </c>
    </row>
    <row r="249" spans="3:4" x14ac:dyDescent="0.2">
      <c r="C249" s="153" t="s">
        <v>979</v>
      </c>
    </row>
    <row r="250" spans="3:4" x14ac:dyDescent="0.2">
      <c r="C250" s="152" t="s">
        <v>980</v>
      </c>
    </row>
    <row r="252" spans="3:4" x14ac:dyDescent="0.2">
      <c r="C252" s="154" t="s">
        <v>988</v>
      </c>
    </row>
    <row r="253" spans="3:4" x14ac:dyDescent="0.2">
      <c r="C253" s="153" t="s">
        <v>318</v>
      </c>
    </row>
    <row r="254" spans="3:4" x14ac:dyDescent="0.2">
      <c r="C254" s="153" t="s">
        <v>990</v>
      </c>
    </row>
    <row r="255" spans="3:4" x14ac:dyDescent="0.2">
      <c r="C255" s="152" t="s">
        <v>989</v>
      </c>
    </row>
    <row r="257" spans="3:4" x14ac:dyDescent="0.2">
      <c r="C257" s="154" t="s">
        <v>140</v>
      </c>
    </row>
    <row r="258" spans="3:4" x14ac:dyDescent="0.2">
      <c r="C258" s="309">
        <v>0.14269999999999999</v>
      </c>
      <c r="D258" t="s">
        <v>990</v>
      </c>
    </row>
    <row r="259" spans="3:4" x14ac:dyDescent="0.2">
      <c r="C259" s="332"/>
      <c r="D259" t="s">
        <v>318</v>
      </c>
    </row>
    <row r="260" spans="3:4" x14ac:dyDescent="0.2">
      <c r="C260" s="152" t="s">
        <v>997</v>
      </c>
    </row>
    <row r="262" spans="3:4" x14ac:dyDescent="0.2">
      <c r="C262" s="151"/>
    </row>
    <row r="263" spans="3:4" x14ac:dyDescent="0.2">
      <c r="C263" s="151"/>
      <c r="D263" s="152"/>
    </row>
    <row r="264" spans="3:4" x14ac:dyDescent="0.2">
      <c r="C264" s="151"/>
      <c r="D264" s="152"/>
    </row>
    <row r="265" spans="3:4" x14ac:dyDescent="0.2">
      <c r="C265" s="151"/>
      <c r="D265" s="152"/>
    </row>
    <row r="266" spans="3:4" x14ac:dyDescent="0.2">
      <c r="C266" s="151"/>
    </row>
    <row r="267" spans="3:4" x14ac:dyDescent="0.2">
      <c r="C267" s="151"/>
      <c r="D267" s="320"/>
    </row>
    <row r="268" spans="3:4" x14ac:dyDescent="0.2">
      <c r="C268" s="151"/>
    </row>
    <row r="269" spans="3:4" x14ac:dyDescent="0.2">
      <c r="C269" s="151"/>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T143"/>
  <sheetViews>
    <sheetView showGridLines="0" tabSelected="1" defaultGridColor="0" colorId="22" zoomScale="80" zoomScaleNormal="80" workbookViewId="0">
      <pane ySplit="3" topLeftCell="A4" activePane="bottomLeft" state="frozen"/>
      <selection pane="bottomLeft"/>
    </sheetView>
  </sheetViews>
  <sheetFormatPr baseColWidth="10" defaultColWidth="12.7109375" defaultRowHeight="12" outlineLevelRow="1" x14ac:dyDescent="0.2"/>
  <cols>
    <col min="1" max="1" width="4" customWidth="1"/>
    <col min="2" max="2" width="5" customWidth="1"/>
    <col min="3" max="3" width="4.5703125" customWidth="1"/>
    <col min="4" max="4" width="39.85546875" customWidth="1"/>
    <col min="5" max="5" width="14.28515625" customWidth="1"/>
    <col min="6" max="6" width="22.7109375" style="74" customWidth="1"/>
    <col min="7" max="7" width="34" customWidth="1"/>
    <col min="8" max="8" width="14.7109375" style="151" customWidth="1"/>
    <col min="10" max="10" width="19.5703125" customWidth="1"/>
  </cols>
  <sheetData>
    <row r="1" spans="1:20" s="75" customFormat="1" ht="33.75" customHeight="1" x14ac:dyDescent="0.2">
      <c r="A1" s="75" t="s">
        <v>114</v>
      </c>
      <c r="D1" s="79" t="s">
        <v>132</v>
      </c>
    </row>
    <row r="3" spans="1:20" x14ac:dyDescent="0.2">
      <c r="D3" s="86" t="s">
        <v>133</v>
      </c>
      <c r="E3" s="86" t="s">
        <v>134</v>
      </c>
      <c r="F3" s="275" t="s">
        <v>135</v>
      </c>
      <c r="G3" s="86" t="s">
        <v>136</v>
      </c>
      <c r="H3" s="86" t="s">
        <v>394</v>
      </c>
      <c r="I3" s="86" t="s">
        <v>394</v>
      </c>
      <c r="J3" s="86" t="s">
        <v>137</v>
      </c>
      <c r="O3" s="151"/>
    </row>
    <row r="5" spans="1:20" s="151" customFormat="1" x14ac:dyDescent="0.2">
      <c r="D5" s="154" t="s">
        <v>908</v>
      </c>
      <c r="E5" s="227" t="str">
        <f>IF(AND(H20="OK",H21="OK",H22="OK",H77="OK",H78="OK",H79="OK",F84="OK",I124="OK",I125="OK",I126="OK",L124="OK",L125="OK",L126="OK"),"OK",actualizar.seleccion)</f>
        <v>OK</v>
      </c>
      <c r="F5" s="304" t="str">
        <f>IF(E5&lt;&gt;"OK","Por favor verificar las opciones que ha selecionado y cambie los parametros en que si pide actualizar seleccion","")</f>
        <v/>
      </c>
    </row>
    <row r="6" spans="1:20" s="151" customFormat="1" x14ac:dyDescent="0.2">
      <c r="F6" s="74"/>
    </row>
    <row r="7" spans="1:20" x14ac:dyDescent="0.2">
      <c r="A7" s="136" t="s">
        <v>208</v>
      </c>
      <c r="B7" s="134"/>
      <c r="C7" s="134"/>
      <c r="D7" s="134"/>
      <c r="E7" s="134"/>
      <c r="F7" s="277"/>
      <c r="G7" s="134"/>
      <c r="H7" s="143"/>
      <c r="I7" s="134"/>
      <c r="J7" s="134"/>
      <c r="K7" s="134"/>
      <c r="L7" s="134"/>
      <c r="M7" s="134"/>
      <c r="N7" s="134"/>
      <c r="O7" s="134"/>
      <c r="P7" s="134"/>
      <c r="Q7" s="134"/>
      <c r="R7" s="134"/>
      <c r="S7" s="134"/>
    </row>
    <row r="8" spans="1:20" x14ac:dyDescent="0.2">
      <c r="B8" s="160" t="s">
        <v>584</v>
      </c>
      <c r="C8" s="160"/>
      <c r="D8" s="160"/>
      <c r="E8" s="160"/>
      <c r="F8" s="278"/>
      <c r="G8" s="160"/>
      <c r="H8" s="160"/>
      <c r="I8" s="160"/>
      <c r="J8" s="160"/>
      <c r="K8" s="160"/>
      <c r="L8" s="160"/>
      <c r="M8" s="160"/>
      <c r="N8" s="160"/>
      <c r="O8" s="160"/>
      <c r="P8" s="160"/>
      <c r="Q8" s="160"/>
      <c r="R8" s="160"/>
      <c r="S8" s="160"/>
      <c r="T8" s="151"/>
    </row>
    <row r="9" spans="1:20" x14ac:dyDescent="0.2">
      <c r="C9" s="128"/>
      <c r="T9" s="151"/>
    </row>
    <row r="10" spans="1:20" x14ac:dyDescent="0.2">
      <c r="D10" s="154" t="str">
        <f>Precio!C223</f>
        <v>Servicios</v>
      </c>
      <c r="F10" s="276" t="str">
        <f>Precio!G212</f>
        <v>Capex</v>
      </c>
      <c r="G10" s="154" t="str">
        <f>Precio!H212</f>
        <v>Opex</v>
      </c>
      <c r="H10" s="154" t="str">
        <f>Precio!I212</f>
        <v>Gasto annual</v>
      </c>
      <c r="T10" s="151"/>
    </row>
    <row r="11" spans="1:20" x14ac:dyDescent="0.2">
      <c r="D11" s="145" t="str">
        <f>Precio!C224</f>
        <v>Espacio en piso</v>
      </c>
      <c r="E11" s="145" t="str">
        <f>Precio!E224</f>
        <v>MXN/año/m2</v>
      </c>
      <c r="F11" s="302">
        <f>Precio!G224</f>
        <v>564.07564982278529</v>
      </c>
      <c r="G11" s="224">
        <f>Precio!H224</f>
        <v>263.91905604481678</v>
      </c>
      <c r="H11" s="224">
        <f>Precio!I224</f>
        <v>827.99470586760197</v>
      </c>
    </row>
    <row r="12" spans="1:20" x14ac:dyDescent="0.2">
      <c r="D12" s="145" t="str">
        <f>Precio!C225</f>
        <v>Espacio en torre</v>
      </c>
      <c r="E12" s="145" t="str">
        <f>Precio!E225</f>
        <v>MXN/año/#</v>
      </c>
      <c r="F12" s="302">
        <f>Precio!G225</f>
        <v>249130.10194903053</v>
      </c>
      <c r="G12" s="224">
        <f>Precio!H225</f>
        <v>66149.408878800052</v>
      </c>
      <c r="H12" s="224">
        <f>Precio!I225</f>
        <v>315279.51082783059</v>
      </c>
    </row>
    <row r="13" spans="1:20" x14ac:dyDescent="0.2">
      <c r="D13" s="145" t="str">
        <f>Precio!C226</f>
        <v>Fuente de energia de respaldo</v>
      </c>
      <c r="E13" s="145" t="str">
        <f>Precio!E226</f>
        <v>MXN/año/kWh</v>
      </c>
      <c r="F13" s="302">
        <f>Precio!G226</f>
        <v>0</v>
      </c>
      <c r="G13" s="224">
        <f>Precio!H226</f>
        <v>0</v>
      </c>
      <c r="H13" s="224">
        <f>Precio!I226</f>
        <v>0</v>
      </c>
    </row>
    <row r="14" spans="1:20" x14ac:dyDescent="0.2">
      <c r="D14" s="145" t="str">
        <f>Precio!C227</f>
        <v>Aire acondicionado</v>
      </c>
      <c r="E14" s="145" t="str">
        <f>Precio!E227</f>
        <v>MXN/año/tons</v>
      </c>
      <c r="F14" s="302">
        <f>Precio!G227</f>
        <v>0</v>
      </c>
      <c r="G14" s="224">
        <f>Precio!H227</f>
        <v>0</v>
      </c>
      <c r="H14" s="224">
        <f>Precio!I227</f>
        <v>0</v>
      </c>
    </row>
    <row r="15" spans="1:20" x14ac:dyDescent="0.2">
      <c r="G15" s="151"/>
    </row>
    <row r="16" spans="1:20" x14ac:dyDescent="0.2">
      <c r="A16" s="89" t="s">
        <v>131</v>
      </c>
      <c r="B16" s="88"/>
      <c r="C16" s="88"/>
      <c r="D16" s="88"/>
      <c r="E16" s="88"/>
      <c r="F16" s="277"/>
      <c r="G16" s="88"/>
      <c r="H16" s="143"/>
      <c r="I16" s="88"/>
      <c r="J16" s="88"/>
      <c r="K16" s="88"/>
      <c r="L16" s="88"/>
      <c r="M16" s="88"/>
      <c r="N16" s="88"/>
      <c r="O16" s="88"/>
      <c r="P16" s="88"/>
      <c r="Q16" s="88"/>
      <c r="R16" s="88"/>
      <c r="S16" s="88"/>
    </row>
    <row r="17" spans="1:19" x14ac:dyDescent="0.2">
      <c r="A17" s="90"/>
      <c r="B17" s="160" t="s">
        <v>131</v>
      </c>
      <c r="C17" s="160"/>
      <c r="D17" s="160"/>
      <c r="E17" s="160"/>
      <c r="F17" s="278"/>
      <c r="G17" s="160"/>
      <c r="H17" s="160"/>
      <c r="I17" s="160"/>
      <c r="J17" s="160"/>
      <c r="K17" s="160"/>
      <c r="L17" s="160"/>
      <c r="M17" s="160"/>
      <c r="N17" s="160"/>
      <c r="O17" s="160"/>
      <c r="P17" s="160"/>
      <c r="Q17" s="160"/>
      <c r="R17" s="160"/>
      <c r="S17" s="160"/>
    </row>
    <row r="18" spans="1:19" s="151" customFormat="1" x14ac:dyDescent="0.2">
      <c r="C18" s="159" t="s">
        <v>147</v>
      </c>
      <c r="D18" s="159"/>
      <c r="E18" s="159"/>
      <c r="F18" s="272"/>
      <c r="G18" s="159"/>
      <c r="H18" s="159"/>
      <c r="I18" s="159"/>
      <c r="J18" s="159"/>
      <c r="K18" s="159"/>
      <c r="L18" s="159"/>
      <c r="M18" s="159"/>
      <c r="N18" s="159"/>
      <c r="O18" s="159"/>
      <c r="P18" s="159"/>
      <c r="Q18" s="159"/>
      <c r="R18" s="159"/>
      <c r="S18" s="159"/>
    </row>
    <row r="19" spans="1:19" s="151" customFormat="1" x14ac:dyDescent="0.2">
      <c r="D19" t="s">
        <v>148</v>
      </c>
      <c r="E19"/>
      <c r="F19" s="279" t="s">
        <v>187</v>
      </c>
      <c r="G19" s="99" t="s">
        <v>165</v>
      </c>
      <c r="H19" s="152"/>
    </row>
    <row r="20" spans="1:19" s="151" customFormat="1" x14ac:dyDescent="0.2">
      <c r="C20"/>
      <c r="D20" t="s">
        <v>151</v>
      </c>
      <c r="E20" s="151" t="s">
        <v>961</v>
      </c>
      <c r="F20" s="279">
        <v>39</v>
      </c>
      <c r="G20" s="99" t="s">
        <v>167</v>
      </c>
      <c r="H20" s="255" t="str">
        <f>IF(AND(tipo.torre.activo=L!C66,OR(rango.altura.activo&gt;L!C113,rango.altura.activo&lt;L!C90)),"Error",
IF(AND(tipo.torre.activo=L!C67,OR(rango.altura.activo&gt;L!D120,rango.altura.activo&lt;L!D90)),"Error",
IF(AND(tipo.torre.activo=L!C68,OR(rango.altura.activo&gt;L!E99,rango.altura.activo&lt;L!E90)),"Error",
IF(AND(tipo.torre.activo=L!C69,OR(rango.altura.activo&gt;L!F99,rango.altura.activo&lt;L!F90)),"Error",
"OK"))))</f>
        <v>OK</v>
      </c>
      <c r="I20"/>
      <c r="K20"/>
      <c r="L20"/>
      <c r="M20"/>
      <c r="N20"/>
      <c r="O20"/>
      <c r="P20"/>
      <c r="Q20"/>
      <c r="R20"/>
      <c r="S20"/>
    </row>
    <row r="21" spans="1:19" s="151" customFormat="1" x14ac:dyDescent="0.2">
      <c r="D21" t="s">
        <v>149</v>
      </c>
      <c r="E21"/>
      <c r="F21" s="279" t="s">
        <v>191</v>
      </c>
      <c r="G21" s="99" t="s">
        <v>166</v>
      </c>
      <c r="H21" s="255" t="str">
        <f>IF(AND(tipo.torre.activo="Arriostrada",rango.altura.activo&gt;=30,tipo.ubicacion.activo="Azotea"),"Error","OK")</f>
        <v>OK</v>
      </c>
      <c r="I21"/>
      <c r="K21"/>
      <c r="L21"/>
      <c r="M21"/>
      <c r="N21"/>
      <c r="P21"/>
      <c r="Q21"/>
      <c r="R21"/>
      <c r="S21"/>
    </row>
    <row r="22" spans="1:19" s="151" customFormat="1" x14ac:dyDescent="0.2">
      <c r="D22" s="151" t="s">
        <v>951</v>
      </c>
      <c r="E22" s="151" t="s">
        <v>962</v>
      </c>
      <c r="F22" s="279" t="s">
        <v>954</v>
      </c>
      <c r="G22" s="152" t="s">
        <v>960</v>
      </c>
      <c r="H22" s="255" t="str">
        <f>IF(AND(tipo.torre.activo="Mástil",viento.activo="181-220 km/h"),"Error",IF(AND(tipo.torre.activo="Mástil",viento.activo="130-180 km/h"),"Error",IF(AND(tipo.torre.activo&lt;&gt;"Mástil",viento.activo="130-220 km/h"),"Error","OK")))</f>
        <v>OK</v>
      </c>
    </row>
    <row r="23" spans="1:19" s="151" customFormat="1" x14ac:dyDescent="0.2"/>
    <row r="24" spans="1:19" s="151" customFormat="1" x14ac:dyDescent="0.2">
      <c r="C24"/>
      <c r="D24" s="151" t="s">
        <v>915</v>
      </c>
      <c r="F24" s="279" t="s">
        <v>183</v>
      </c>
      <c r="G24" s="209" t="s">
        <v>601</v>
      </c>
      <c r="H24" s="152"/>
      <c r="I24"/>
      <c r="J24" s="154"/>
      <c r="K24"/>
      <c r="L24"/>
      <c r="M24"/>
      <c r="N24"/>
      <c r="O24"/>
      <c r="P24"/>
      <c r="Q24"/>
      <c r="R24"/>
      <c r="S24"/>
    </row>
    <row r="25" spans="1:19" s="151" customFormat="1" x14ac:dyDescent="0.2">
      <c r="C25"/>
      <c r="D25" t="s">
        <v>152</v>
      </c>
      <c r="E25"/>
      <c r="F25" s="279" t="s">
        <v>193</v>
      </c>
      <c r="G25" s="87" t="s">
        <v>168</v>
      </c>
      <c r="H25" s="107"/>
      <c r="I25"/>
      <c r="J25"/>
      <c r="K25"/>
      <c r="L25"/>
      <c r="M25"/>
      <c r="N25"/>
      <c r="Q25"/>
      <c r="R25"/>
      <c r="S25"/>
    </row>
    <row r="26" spans="1:19" s="151" customFormat="1" x14ac:dyDescent="0.2">
      <c r="C26"/>
      <c r="D26" t="s">
        <v>249</v>
      </c>
      <c r="E26"/>
      <c r="F26" s="279" t="s">
        <v>201</v>
      </c>
      <c r="G26" s="87" t="s">
        <v>250</v>
      </c>
      <c r="H26" s="107"/>
      <c r="I26"/>
      <c r="J26"/>
      <c r="K26"/>
      <c r="L26"/>
      <c r="M26"/>
      <c r="N26"/>
      <c r="O26"/>
      <c r="P26"/>
      <c r="Q26"/>
      <c r="R26"/>
      <c r="S26"/>
    </row>
    <row r="27" spans="1:19" s="151" customFormat="1" hidden="1" outlineLevel="1" x14ac:dyDescent="0.2">
      <c r="F27" s="74"/>
    </row>
    <row r="28" spans="1:19" s="151" customFormat="1" hidden="1" outlineLevel="1" x14ac:dyDescent="0.2">
      <c r="D28" s="151" t="s">
        <v>493</v>
      </c>
      <c r="F28" s="288" t="str">
        <f>tipo.ubicacion.activo&amp;propriedad.predio.activo&amp;geotipo.activo</f>
        <v>TerrenoTercero en arrendamientoDistrito Federal</v>
      </c>
      <c r="G28" s="107" t="s">
        <v>495</v>
      </c>
    </row>
    <row r="29" spans="1:19" s="151" customFormat="1" hidden="1" outlineLevel="1" x14ac:dyDescent="0.2">
      <c r="D29" s="151" t="s">
        <v>494</v>
      </c>
      <c r="F29" s="288" t="str">
        <f>tipo.torre.activo&amp;rango.altura.activo&amp;viento.activo</f>
        <v>Autosoportada39181-220 km/h</v>
      </c>
      <c r="G29" s="107" t="s">
        <v>496</v>
      </c>
    </row>
    <row r="30" spans="1:19" s="151" customFormat="1" collapsed="1" x14ac:dyDescent="0.2">
      <c r="F30" s="74"/>
    </row>
    <row r="31" spans="1:19" x14ac:dyDescent="0.2">
      <c r="A31" s="151"/>
      <c r="B31" s="151"/>
      <c r="C31" s="159" t="s">
        <v>1023</v>
      </c>
      <c r="D31" s="159"/>
      <c r="E31" s="159"/>
      <c r="F31" s="272"/>
      <c r="G31" s="159"/>
      <c r="H31" s="159"/>
      <c r="I31" s="159"/>
      <c r="J31" s="159"/>
      <c r="K31" s="159"/>
      <c r="L31" s="159"/>
      <c r="M31" s="159"/>
      <c r="N31" s="159"/>
      <c r="O31" s="159"/>
      <c r="P31" s="159"/>
      <c r="Q31" s="159"/>
      <c r="R31" s="159"/>
      <c r="S31" s="159"/>
    </row>
    <row r="32" spans="1:19" x14ac:dyDescent="0.2">
      <c r="A32" s="151"/>
      <c r="B32" s="151"/>
      <c r="C32" s="91"/>
      <c r="D32" s="91" t="s">
        <v>138</v>
      </c>
      <c r="E32" s="91" t="s">
        <v>139</v>
      </c>
      <c r="F32" s="279">
        <v>2015</v>
      </c>
      <c r="G32" s="99" t="s">
        <v>158</v>
      </c>
      <c r="H32" s="152"/>
      <c r="O32" s="151"/>
    </row>
    <row r="33" spans="1:19" s="151" customFormat="1" x14ac:dyDescent="0.2">
      <c r="D33" s="93" t="s">
        <v>140</v>
      </c>
      <c r="E33" s="94" t="s">
        <v>141</v>
      </c>
      <c r="F33" s="280">
        <v>0.14269999999999999</v>
      </c>
      <c r="G33" s="99" t="s">
        <v>161</v>
      </c>
      <c r="H33" s="152"/>
      <c r="I33"/>
      <c r="J33" t="s">
        <v>1034</v>
      </c>
    </row>
    <row r="34" spans="1:19" s="151" customFormat="1" ht="6" customHeight="1" x14ac:dyDescent="0.2">
      <c r="F34" s="74"/>
      <c r="O34" s="211"/>
    </row>
    <row r="35" spans="1:19" s="151" customFormat="1" x14ac:dyDescent="0.2">
      <c r="D35" t="s">
        <v>662</v>
      </c>
      <c r="E35" t="s">
        <v>150</v>
      </c>
      <c r="F35" s="281">
        <v>1</v>
      </c>
      <c r="G35" s="99" t="s">
        <v>160</v>
      </c>
      <c r="H35" s="155"/>
      <c r="J35" s="174" t="s">
        <v>588</v>
      </c>
    </row>
    <row r="36" spans="1:19" s="151" customFormat="1" hidden="1" outlineLevel="1" x14ac:dyDescent="0.2">
      <c r="D36" s="163" t="s">
        <v>575</v>
      </c>
      <c r="F36" s="283">
        <f>IF(numero.operadores.activo&gt;=1,1,0)</f>
        <v>1</v>
      </c>
      <c r="G36" s="152" t="s">
        <v>578</v>
      </c>
      <c r="H36" s="155"/>
      <c r="J36" s="154"/>
    </row>
    <row r="37" spans="1:19" s="151" customFormat="1" hidden="1" outlineLevel="1" x14ac:dyDescent="0.2">
      <c r="D37" s="163" t="s">
        <v>576</v>
      </c>
      <c r="F37" s="283">
        <f>IF(numero.operadores.activo&gt;=2,1,0)</f>
        <v>0</v>
      </c>
      <c r="G37" s="152" t="s">
        <v>579</v>
      </c>
      <c r="H37" s="155"/>
      <c r="J37" s="154"/>
    </row>
    <row r="38" spans="1:19" s="151" customFormat="1" hidden="1" outlineLevel="1" x14ac:dyDescent="0.2">
      <c r="D38" s="163" t="s">
        <v>577</v>
      </c>
      <c r="F38" s="283">
        <f>IF(numero.operadores.activo&gt;=3,1,0)</f>
        <v>0</v>
      </c>
      <c r="G38" s="152" t="s">
        <v>580</v>
      </c>
      <c r="H38" s="155"/>
      <c r="J38" s="154"/>
    </row>
    <row r="39" spans="1:19" ht="12.75" customHeight="1" collapsed="1" x14ac:dyDescent="0.2">
      <c r="A39" s="151"/>
      <c r="F39" s="284"/>
      <c r="H39" s="152"/>
      <c r="J39" s="151"/>
      <c r="O39" s="211"/>
    </row>
    <row r="40" spans="1:19" s="151" customFormat="1" x14ac:dyDescent="0.2">
      <c r="C40" s="159" t="s">
        <v>669</v>
      </c>
      <c r="D40" s="159"/>
      <c r="E40" s="159"/>
      <c r="F40" s="272"/>
      <c r="G40" s="159"/>
      <c r="H40" s="159"/>
      <c r="I40" s="159"/>
      <c r="J40" s="159"/>
      <c r="K40" s="159"/>
      <c r="L40" s="159"/>
      <c r="M40" s="159"/>
      <c r="N40" s="159"/>
      <c r="O40" s="159"/>
      <c r="P40" s="159"/>
      <c r="Q40" s="159"/>
      <c r="R40" s="159"/>
      <c r="S40" s="159"/>
    </row>
    <row r="41" spans="1:19" s="151" customFormat="1" x14ac:dyDescent="0.2">
      <c r="D41" s="154" t="s">
        <v>318</v>
      </c>
      <c r="F41" s="289"/>
      <c r="G41" s="107"/>
      <c r="H41" s="107"/>
      <c r="O41" s="211"/>
    </row>
    <row r="42" spans="1:19" s="151" customFormat="1" x14ac:dyDescent="0.2">
      <c r="D42" s="163" t="s">
        <v>472</v>
      </c>
      <c r="E42" s="151" t="s">
        <v>150</v>
      </c>
      <c r="F42" s="281">
        <v>3</v>
      </c>
      <c r="G42" s="107" t="s">
        <v>479</v>
      </c>
      <c r="H42" s="230">
        <f>F42*1</f>
        <v>3</v>
      </c>
      <c r="O42" s="211"/>
    </row>
    <row r="43" spans="1:19" s="151" customFormat="1" x14ac:dyDescent="0.2">
      <c r="D43" s="163" t="s">
        <v>473</v>
      </c>
      <c r="E43" s="151" t="s">
        <v>150</v>
      </c>
      <c r="F43" s="281">
        <v>1</v>
      </c>
      <c r="G43" s="107" t="s">
        <v>480</v>
      </c>
      <c r="H43" s="230">
        <f t="shared" ref="H43:H44" si="0">F43*1</f>
        <v>1</v>
      </c>
      <c r="O43" s="211"/>
    </row>
    <row r="44" spans="1:19" s="151" customFormat="1" x14ac:dyDescent="0.2">
      <c r="D44" s="163" t="s">
        <v>670</v>
      </c>
      <c r="E44" s="151" t="s">
        <v>239</v>
      </c>
      <c r="F44" s="282">
        <v>3</v>
      </c>
      <c r="G44" s="107" t="s">
        <v>487</v>
      </c>
      <c r="H44" s="230">
        <f t="shared" si="0"/>
        <v>3</v>
      </c>
      <c r="J44" s="151" t="s">
        <v>742</v>
      </c>
      <c r="O44" s="211"/>
    </row>
    <row r="45" spans="1:19" s="151" customFormat="1" x14ac:dyDescent="0.2">
      <c r="F45" s="291"/>
      <c r="G45" s="107"/>
      <c r="H45" s="251"/>
      <c r="O45" s="211"/>
    </row>
    <row r="46" spans="1:19" s="151" customFormat="1" x14ac:dyDescent="0.2">
      <c r="D46" s="154" t="s">
        <v>412</v>
      </c>
      <c r="F46" s="291"/>
      <c r="G46" s="107"/>
      <c r="H46" s="251"/>
      <c r="O46" s="211"/>
    </row>
    <row r="47" spans="1:19" s="151" customFormat="1" x14ac:dyDescent="0.2">
      <c r="D47" s="163" t="s">
        <v>472</v>
      </c>
      <c r="E47" s="151" t="s">
        <v>150</v>
      </c>
      <c r="F47" s="281">
        <v>3</v>
      </c>
      <c r="G47" s="107" t="s">
        <v>481</v>
      </c>
      <c r="H47" s="230">
        <f>F47*cs1.activo</f>
        <v>3</v>
      </c>
      <c r="O47" s="211"/>
    </row>
    <row r="48" spans="1:19" s="151" customFormat="1" x14ac:dyDescent="0.2">
      <c r="D48" s="163" t="s">
        <v>473</v>
      </c>
      <c r="E48" s="151" t="s">
        <v>150</v>
      </c>
      <c r="F48" s="281">
        <v>1</v>
      </c>
      <c r="G48" s="107" t="s">
        <v>482</v>
      </c>
      <c r="H48" s="230">
        <f>F48*cs1.activo</f>
        <v>1</v>
      </c>
      <c r="O48" s="211"/>
    </row>
    <row r="49" spans="1:19" s="151" customFormat="1" x14ac:dyDescent="0.2">
      <c r="D49" s="163" t="s">
        <v>670</v>
      </c>
      <c r="E49" s="151" t="s">
        <v>239</v>
      </c>
      <c r="F49" s="282">
        <v>3</v>
      </c>
      <c r="G49" s="107" t="s">
        <v>488</v>
      </c>
      <c r="H49" s="230">
        <f>F49*cs1.activo</f>
        <v>3</v>
      </c>
      <c r="J49" s="151" t="s">
        <v>742</v>
      </c>
      <c r="O49" s="211"/>
    </row>
    <row r="50" spans="1:19" s="151" customFormat="1" x14ac:dyDescent="0.2">
      <c r="F50" s="291"/>
      <c r="G50" s="107"/>
      <c r="H50" s="251"/>
      <c r="O50" s="211"/>
    </row>
    <row r="51" spans="1:19" s="151" customFormat="1" x14ac:dyDescent="0.2">
      <c r="D51" s="154" t="s">
        <v>414</v>
      </c>
      <c r="F51" s="291"/>
      <c r="G51" s="107"/>
      <c r="H51" s="251"/>
      <c r="O51" s="211"/>
    </row>
    <row r="52" spans="1:19" s="151" customFormat="1" x14ac:dyDescent="0.2">
      <c r="D52" s="163" t="s">
        <v>472</v>
      </c>
      <c r="E52" s="151" t="s">
        <v>150</v>
      </c>
      <c r="F52" s="281">
        <v>3</v>
      </c>
      <c r="G52" s="107" t="s">
        <v>483</v>
      </c>
      <c r="H52" s="230">
        <f>F52*cs2.activo</f>
        <v>0</v>
      </c>
      <c r="O52" s="211"/>
    </row>
    <row r="53" spans="1:19" s="151" customFormat="1" x14ac:dyDescent="0.2">
      <c r="D53" s="163" t="s">
        <v>473</v>
      </c>
      <c r="E53" s="151" t="s">
        <v>150</v>
      </c>
      <c r="F53" s="281">
        <v>1</v>
      </c>
      <c r="G53" s="107" t="s">
        <v>484</v>
      </c>
      <c r="H53" s="230">
        <f>F53*cs2.activo</f>
        <v>0</v>
      </c>
      <c r="O53" s="211"/>
    </row>
    <row r="54" spans="1:19" s="151" customFormat="1" x14ac:dyDescent="0.2">
      <c r="D54" s="163" t="s">
        <v>670</v>
      </c>
      <c r="E54" s="151" t="s">
        <v>239</v>
      </c>
      <c r="F54" s="282">
        <v>3</v>
      </c>
      <c r="G54" s="107" t="s">
        <v>489</v>
      </c>
      <c r="H54" s="230">
        <f>F54*cs2.activo</f>
        <v>0</v>
      </c>
      <c r="J54" s="151" t="s">
        <v>742</v>
      </c>
      <c r="O54" s="211"/>
    </row>
    <row r="55" spans="1:19" s="151" customFormat="1" x14ac:dyDescent="0.2">
      <c r="D55" s="154"/>
      <c r="F55" s="291"/>
      <c r="G55" s="107"/>
      <c r="H55" s="251"/>
      <c r="O55" s="211"/>
    </row>
    <row r="56" spans="1:19" s="151" customFormat="1" x14ac:dyDescent="0.2">
      <c r="D56" s="154" t="s">
        <v>415</v>
      </c>
      <c r="F56" s="291"/>
      <c r="G56" s="107"/>
      <c r="H56" s="251"/>
      <c r="O56" s="211"/>
    </row>
    <row r="57" spans="1:19" s="151" customFormat="1" x14ac:dyDescent="0.2">
      <c r="D57" s="163" t="s">
        <v>472</v>
      </c>
      <c r="E57" s="151" t="s">
        <v>150</v>
      </c>
      <c r="F57" s="281">
        <v>3</v>
      </c>
      <c r="G57" s="107" t="s">
        <v>485</v>
      </c>
      <c r="H57" s="230">
        <f>F57*cs3.activo</f>
        <v>0</v>
      </c>
      <c r="O57" s="211"/>
    </row>
    <row r="58" spans="1:19" s="151" customFormat="1" x14ac:dyDescent="0.2">
      <c r="D58" s="163" t="s">
        <v>473</v>
      </c>
      <c r="E58" s="151" t="s">
        <v>150</v>
      </c>
      <c r="F58" s="281">
        <v>1</v>
      </c>
      <c r="G58" s="107" t="s">
        <v>486</v>
      </c>
      <c r="H58" s="230">
        <f>F58*cs3.activo</f>
        <v>0</v>
      </c>
      <c r="O58" s="211"/>
    </row>
    <row r="59" spans="1:19" s="151" customFormat="1" x14ac:dyDescent="0.2">
      <c r="D59" s="163" t="s">
        <v>670</v>
      </c>
      <c r="E59" s="151" t="s">
        <v>239</v>
      </c>
      <c r="F59" s="282">
        <v>3</v>
      </c>
      <c r="G59" s="107" t="s">
        <v>490</v>
      </c>
      <c r="H59" s="230">
        <f>F59*cs3.activo</f>
        <v>0</v>
      </c>
      <c r="J59" s="151" t="s">
        <v>742</v>
      </c>
      <c r="O59" s="211"/>
    </row>
    <row r="60" spans="1:19" s="151" customFormat="1" outlineLevel="1" x14ac:dyDescent="0.2">
      <c r="F60" s="291"/>
      <c r="G60" s="107"/>
      <c r="H60" s="107"/>
      <c r="O60" s="211"/>
    </row>
    <row r="61" spans="1:19" s="151" customFormat="1" outlineLevel="1" x14ac:dyDescent="0.2">
      <c r="D61" s="151" t="s">
        <v>693</v>
      </c>
      <c r="E61" s="151" t="s">
        <v>150</v>
      </c>
      <c r="F61" s="283">
        <f>SUM(F42:F43,F47:F48,F52:F53,F57:F58)</f>
        <v>16</v>
      </c>
      <c r="G61" s="107" t="s">
        <v>694</v>
      </c>
      <c r="H61" s="107"/>
      <c r="O61" s="211"/>
    </row>
    <row r="62" spans="1:19" x14ac:dyDescent="0.2">
      <c r="A62" s="151"/>
      <c r="B62" s="151"/>
    </row>
    <row r="63" spans="1:19" s="151" customFormat="1" x14ac:dyDescent="0.2">
      <c r="C63" s="159" t="s">
        <v>1024</v>
      </c>
      <c r="D63" s="159"/>
      <c r="E63" s="159"/>
      <c r="F63" s="272"/>
      <c r="G63" s="159"/>
      <c r="H63" s="159"/>
      <c r="I63" s="159"/>
      <c r="J63" s="159"/>
      <c r="K63" s="159"/>
      <c r="L63" s="159"/>
      <c r="M63" s="159"/>
      <c r="N63" s="159"/>
      <c r="O63" s="159"/>
      <c r="P63" s="159"/>
      <c r="Q63" s="159"/>
      <c r="R63" s="159"/>
      <c r="S63" s="159"/>
    </row>
    <row r="64" spans="1:19" s="151" customFormat="1" x14ac:dyDescent="0.2">
      <c r="D64" s="154"/>
      <c r="F64" s="74"/>
    </row>
    <row r="65" spans="1:15" s="151" customFormat="1" x14ac:dyDescent="0.2">
      <c r="D65" s="151" t="s">
        <v>663</v>
      </c>
      <c r="E65" s="151" t="s">
        <v>651</v>
      </c>
      <c r="F65" s="281">
        <v>3</v>
      </c>
      <c r="G65" s="152" t="s">
        <v>305</v>
      </c>
      <c r="H65" s="230">
        <f>F65</f>
        <v>3</v>
      </c>
    </row>
    <row r="66" spans="1:15" s="151" customFormat="1" x14ac:dyDescent="0.2">
      <c r="D66" s="92" t="s">
        <v>664</v>
      </c>
      <c r="E66" s="151" t="s">
        <v>651</v>
      </c>
      <c r="F66" s="281">
        <v>3</v>
      </c>
      <c r="G66" s="152" t="s">
        <v>366</v>
      </c>
      <c r="H66" s="230">
        <f>F66*cs1.activo</f>
        <v>3</v>
      </c>
    </row>
    <row r="67" spans="1:15" x14ac:dyDescent="0.2">
      <c r="A67" s="151"/>
      <c r="D67" s="151" t="s">
        <v>665</v>
      </c>
      <c r="E67" s="151" t="s">
        <v>651</v>
      </c>
      <c r="F67" s="281">
        <v>3</v>
      </c>
      <c r="G67" s="152" t="s">
        <v>367</v>
      </c>
      <c r="H67" s="230">
        <f>F67*cs2.activo</f>
        <v>0</v>
      </c>
      <c r="O67" s="151"/>
    </row>
    <row r="68" spans="1:15" s="97" customFormat="1" x14ac:dyDescent="0.2">
      <c r="A68" s="151"/>
      <c r="D68" s="151" t="s">
        <v>666</v>
      </c>
      <c r="E68" s="151" t="s">
        <v>651</v>
      </c>
      <c r="F68" s="281">
        <v>3</v>
      </c>
      <c r="G68" s="152" t="s">
        <v>395</v>
      </c>
      <c r="H68" s="230">
        <f>F68*cs3.activo</f>
        <v>0</v>
      </c>
      <c r="O68" s="151"/>
    </row>
    <row r="69" spans="1:15" s="151" customFormat="1" x14ac:dyDescent="0.2">
      <c r="F69" s="74"/>
    </row>
    <row r="70" spans="1:15" s="151" customFormat="1" x14ac:dyDescent="0.2">
      <c r="D70" s="151" t="s">
        <v>911</v>
      </c>
      <c r="F70" s="289"/>
      <c r="G70" s="107"/>
      <c r="O70" s="211"/>
    </row>
    <row r="71" spans="1:15" s="151" customFormat="1" x14ac:dyDescent="0.2">
      <c r="D71" s="163" t="s">
        <v>368</v>
      </c>
      <c r="F71" s="279" t="s">
        <v>297</v>
      </c>
      <c r="G71" s="107" t="s">
        <v>400</v>
      </c>
      <c r="H71" s="104" t="str">
        <f>IF(F71="Indoor","Sí","No")</f>
        <v>No</v>
      </c>
      <c r="O71" s="211"/>
    </row>
    <row r="72" spans="1:15" s="151" customFormat="1" x14ac:dyDescent="0.2">
      <c r="D72" s="163" t="s">
        <v>412</v>
      </c>
      <c r="F72" s="279" t="s">
        <v>297</v>
      </c>
      <c r="G72" s="107" t="s">
        <v>401</v>
      </c>
      <c r="H72" s="107"/>
      <c r="I72" s="155">
        <f>IF(indoor.outdoor.CS1.activo="Indoor",1,0)</f>
        <v>0</v>
      </c>
      <c r="O72" s="211"/>
    </row>
    <row r="73" spans="1:15" s="151" customFormat="1" x14ac:dyDescent="0.2">
      <c r="D73" s="163" t="s">
        <v>414</v>
      </c>
      <c r="F73" s="279" t="s">
        <v>297</v>
      </c>
      <c r="G73" s="107" t="s">
        <v>402</v>
      </c>
      <c r="H73" s="107"/>
      <c r="I73" s="155">
        <f>IF(indoor.outdoor.CS2.activo="Indoor",1,0)</f>
        <v>0</v>
      </c>
      <c r="O73" s="211"/>
    </row>
    <row r="74" spans="1:15" s="151" customFormat="1" x14ac:dyDescent="0.2">
      <c r="D74" s="163" t="s">
        <v>415</v>
      </c>
      <c r="F74" s="279" t="s">
        <v>297</v>
      </c>
      <c r="G74" s="107" t="s">
        <v>403</v>
      </c>
      <c r="H74" s="107"/>
      <c r="I74" s="155">
        <f>IF(indoor.outdoor.CS3.activo="Indoor",1,0)</f>
        <v>0</v>
      </c>
      <c r="O74" s="211"/>
    </row>
    <row r="75" spans="1:15" s="151" customFormat="1" ht="4.5" customHeight="1" x14ac:dyDescent="0.2">
      <c r="F75" s="74"/>
      <c r="H75" s="107"/>
      <c r="O75" s="211"/>
    </row>
    <row r="76" spans="1:15" s="151" customFormat="1" x14ac:dyDescent="0.2">
      <c r="D76" s="151" t="s">
        <v>912</v>
      </c>
      <c r="F76" s="74"/>
      <c r="H76" s="255" t="str">
        <f>IF(COUNTIF($I$77:$I$79,"Caseta compartida CS")=1,"Error","OK")</f>
        <v>OK</v>
      </c>
      <c r="I76" s="155" t="s">
        <v>394</v>
      </c>
      <c r="O76" s="211"/>
    </row>
    <row r="77" spans="1:15" s="151" customFormat="1" x14ac:dyDescent="0.2">
      <c r="D77" s="163" t="s">
        <v>412</v>
      </c>
      <c r="F77" s="279" t="s">
        <v>397</v>
      </c>
      <c r="G77" s="152" t="s">
        <v>405</v>
      </c>
      <c r="H77" s="210" t="str">
        <f>IF(AND(predio.activo="No",comparticion.caseta.CS1&lt;&gt;"Caseta del AEP"),actualizar.seleccion,"OK")</f>
        <v>OK</v>
      </c>
      <c r="I77" s="155">
        <f>IF(AND(cs1.activo,indoor.outdoor.CS1.activo="Indoor"),comparticion.caseta.CS1,0)</f>
        <v>0</v>
      </c>
      <c r="O77" s="211"/>
    </row>
    <row r="78" spans="1:15" s="151" customFormat="1" x14ac:dyDescent="0.2">
      <c r="D78" s="163" t="s">
        <v>414</v>
      </c>
      <c r="F78" s="279" t="s">
        <v>397</v>
      </c>
      <c r="G78" s="152" t="s">
        <v>406</v>
      </c>
      <c r="H78" s="210" t="str">
        <f>IF(AND(predio.activo="No",comparticion.caseta.CS2&lt;&gt;"Caseta del AEP"),actualizar.seleccion,"OK")</f>
        <v>OK</v>
      </c>
      <c r="I78" s="155">
        <f>IF(AND(cs2.activo,indoor.outdoor.CS2.activo="Indoor"),comparticion.caseta.CS2,0)</f>
        <v>0</v>
      </c>
      <c r="O78" s="211"/>
    </row>
    <row r="79" spans="1:15" s="151" customFormat="1" x14ac:dyDescent="0.2">
      <c r="D79" s="163" t="s">
        <v>415</v>
      </c>
      <c r="F79" s="279" t="s">
        <v>397</v>
      </c>
      <c r="G79" s="152" t="s">
        <v>407</v>
      </c>
      <c r="H79" s="210" t="str">
        <f>IF(AND(predio.activo="No",comparticion.caseta.CS3&lt;&gt;"Caseta del AEP"),actualizar.seleccion,"OK")</f>
        <v>OK</v>
      </c>
      <c r="I79" s="155">
        <f>IF(AND(cs3.activo,indoor.outdoor.CS3.activo="Indoor"),comparticion.caseta.CS3,0)</f>
        <v>0</v>
      </c>
      <c r="O79" s="211"/>
    </row>
    <row r="80" spans="1:15" s="151" customFormat="1" x14ac:dyDescent="0.2">
      <c r="F80" s="74"/>
    </row>
    <row r="81" spans="3:19" s="151" customFormat="1" outlineLevel="1" x14ac:dyDescent="0.2">
      <c r="D81" s="151" t="s">
        <v>1025</v>
      </c>
      <c r="E81" s="151" t="s">
        <v>1026</v>
      </c>
      <c r="F81" s="319">
        <f>ROUNDDOWN('Caracteristicas tecnicas'!F68/'Caracteristicas tecnicas'!F19,0)*('Caracteristicas tecnicas'!F67/'Caracteristicas tecnicas'!F20)-markup.operacion.caseta</f>
        <v>14</v>
      </c>
      <c r="G81" s="107" t="s">
        <v>307</v>
      </c>
      <c r="H81" s="107"/>
      <c r="J81" s="151" t="s">
        <v>668</v>
      </c>
      <c r="O81" s="211"/>
    </row>
    <row r="82" spans="3:19" s="151" customFormat="1" outlineLevel="1" x14ac:dyDescent="0.2">
      <c r="D82" s="151" t="s">
        <v>983</v>
      </c>
      <c r="F82" s="279" t="s">
        <v>318</v>
      </c>
      <c r="G82" s="152" t="s">
        <v>981</v>
      </c>
      <c r="H82" s="151" t="s">
        <v>1030</v>
      </c>
    </row>
    <row r="83" spans="3:19" s="151" customFormat="1" outlineLevel="1" x14ac:dyDescent="0.2">
      <c r="F83" s="74"/>
    </row>
    <row r="84" spans="3:19" s="151" customFormat="1" outlineLevel="1" x14ac:dyDescent="0.2">
      <c r="D84" s="151" t="s">
        <v>756</v>
      </c>
      <c r="F84" s="290" t="str">
        <f>IF(Dimensionado!F105&lt;=area.usable.indoor.caseta,"OK",actualizar.seleccion)</f>
        <v>OK</v>
      </c>
    </row>
    <row r="85" spans="3:19" s="151" customFormat="1" outlineLevel="1" x14ac:dyDescent="0.2">
      <c r="F85" s="74"/>
    </row>
    <row r="86" spans="3:19" s="151" customFormat="1" x14ac:dyDescent="0.2">
      <c r="C86" s="159" t="s">
        <v>142</v>
      </c>
      <c r="D86" s="159"/>
      <c r="E86" s="159"/>
      <c r="F86" s="272"/>
      <c r="G86" s="159"/>
      <c r="H86" s="159"/>
      <c r="I86" s="159"/>
      <c r="J86" s="159"/>
      <c r="K86" s="159"/>
      <c r="L86" s="159"/>
      <c r="M86" s="159"/>
      <c r="N86" s="159"/>
      <c r="O86" s="159"/>
      <c r="P86" s="159"/>
      <c r="Q86" s="159"/>
      <c r="R86" s="159"/>
      <c r="S86" s="159"/>
    </row>
    <row r="87" spans="3:19" s="151" customFormat="1" x14ac:dyDescent="0.2">
      <c r="C87"/>
      <c r="D87" s="96"/>
      <c r="E87"/>
      <c r="F87" s="74"/>
      <c r="G87"/>
      <c r="I87"/>
      <c r="J87"/>
      <c r="K87"/>
      <c r="L87"/>
      <c r="M87"/>
      <c r="N87"/>
      <c r="O87"/>
      <c r="P87"/>
      <c r="Q87"/>
      <c r="R87"/>
      <c r="S87"/>
    </row>
    <row r="88" spans="3:19" s="151" customFormat="1" x14ac:dyDescent="0.2">
      <c r="D88" s="95" t="s">
        <v>143</v>
      </c>
      <c r="E88"/>
      <c r="F88" s="279" t="s">
        <v>211</v>
      </c>
      <c r="G88" s="99" t="s">
        <v>162</v>
      </c>
      <c r="H88" s="152"/>
      <c r="I88"/>
      <c r="J88"/>
      <c r="K88"/>
      <c r="L88"/>
      <c r="M88"/>
      <c r="N88"/>
      <c r="O88"/>
      <c r="P88"/>
      <c r="Q88"/>
      <c r="R88"/>
      <c r="S88"/>
    </row>
    <row r="89" spans="3:19" s="151" customFormat="1" x14ac:dyDescent="0.2">
      <c r="D89" s="95" t="s">
        <v>144</v>
      </c>
      <c r="E89"/>
      <c r="F89" s="285" t="s">
        <v>922</v>
      </c>
      <c r="G89" s="99" t="s">
        <v>163</v>
      </c>
      <c r="H89" s="152"/>
      <c r="I89"/>
      <c r="K89"/>
      <c r="L89"/>
      <c r="M89"/>
      <c r="P89"/>
      <c r="Q89"/>
      <c r="R89"/>
      <c r="S89"/>
    </row>
    <row r="90" spans="3:19" s="151" customFormat="1" x14ac:dyDescent="0.2">
      <c r="D90" s="95" t="s">
        <v>145</v>
      </c>
      <c r="E90"/>
      <c r="F90" s="285" t="s">
        <v>217</v>
      </c>
      <c r="G90" s="99" t="s">
        <v>164</v>
      </c>
      <c r="H90" s="152"/>
      <c r="I90"/>
      <c r="J90" t="s">
        <v>114</v>
      </c>
      <c r="K90"/>
      <c r="L90"/>
      <c r="M90"/>
      <c r="P90"/>
      <c r="Q90"/>
      <c r="R90"/>
      <c r="S90"/>
    </row>
    <row r="91" spans="3:19" s="151" customFormat="1" x14ac:dyDescent="0.2">
      <c r="D91" s="151" t="s">
        <v>928</v>
      </c>
      <c r="E91" s="151" t="s">
        <v>141</v>
      </c>
      <c r="F91" s="286">
        <v>0</v>
      </c>
      <c r="G91" s="152" t="s">
        <v>930</v>
      </c>
      <c r="H91" s="152"/>
    </row>
    <row r="92" spans="3:19" s="151" customFormat="1" x14ac:dyDescent="0.2">
      <c r="D92" s="151" t="s">
        <v>929</v>
      </c>
      <c r="E92" s="151" t="s">
        <v>141</v>
      </c>
      <c r="F92" s="286">
        <v>0</v>
      </c>
      <c r="G92" s="152" t="s">
        <v>931</v>
      </c>
      <c r="H92" s="152"/>
    </row>
    <row r="93" spans="3:19" s="151" customFormat="1" x14ac:dyDescent="0.2">
      <c r="D93" s="151" t="s">
        <v>999</v>
      </c>
      <c r="F93" s="310">
        <v>1</v>
      </c>
      <c r="G93" s="152" t="s">
        <v>1000</v>
      </c>
      <c r="H93" s="152"/>
    </row>
    <row r="94" spans="3:19" s="151" customFormat="1" x14ac:dyDescent="0.2">
      <c r="D94"/>
      <c r="E94"/>
      <c r="F94" s="74"/>
      <c r="G94"/>
      <c r="I94"/>
      <c r="J94"/>
      <c r="K94"/>
      <c r="L94"/>
      <c r="M94"/>
      <c r="O94" s="211"/>
      <c r="P94"/>
      <c r="Q94"/>
      <c r="R94"/>
      <c r="S94"/>
    </row>
    <row r="95" spans="3:19" s="151" customFormat="1" outlineLevel="1" x14ac:dyDescent="0.2">
      <c r="D95" s="98" t="s">
        <v>146</v>
      </c>
      <c r="E95"/>
      <c r="F95" s="74"/>
      <c r="G95"/>
      <c r="I95"/>
      <c r="J95"/>
      <c r="K95"/>
      <c r="L95"/>
      <c r="M95"/>
      <c r="O95" s="211"/>
      <c r="P95"/>
      <c r="Q95"/>
      <c r="R95"/>
      <c r="S95"/>
    </row>
    <row r="96" spans="3:19" s="151" customFormat="1" outlineLevel="1" x14ac:dyDescent="0.2">
      <c r="D96" s="102" t="str">
        <f>D88</f>
        <v>Vida útil</v>
      </c>
      <c r="E96"/>
      <c r="F96" s="287">
        <f>MATCH(vida.util.activo,vida.util,0)</f>
        <v>2</v>
      </c>
      <c r="G96" s="99" t="s">
        <v>169</v>
      </c>
      <c r="H96" s="152"/>
      <c r="I96"/>
      <c r="J96"/>
      <c r="K96"/>
      <c r="L96"/>
      <c r="M96"/>
      <c r="O96" s="211"/>
      <c r="P96"/>
      <c r="Q96"/>
      <c r="R96"/>
      <c r="S96"/>
    </row>
    <row r="97" spans="2:19" s="151" customFormat="1" outlineLevel="1" x14ac:dyDescent="0.2">
      <c r="C97"/>
      <c r="D97" s="102" t="str">
        <f>D89</f>
        <v>Costos considerados</v>
      </c>
      <c r="E97"/>
      <c r="F97" s="287">
        <f>MATCH(costos.considerados.activo,costos.considerados,0)</f>
        <v>1</v>
      </c>
      <c r="G97" s="99" t="s">
        <v>170</v>
      </c>
      <c r="H97" s="152"/>
      <c r="I97"/>
      <c r="J97"/>
      <c r="K97"/>
      <c r="L97"/>
      <c r="M97"/>
      <c r="O97" s="211"/>
      <c r="P97"/>
      <c r="Q97"/>
      <c r="R97"/>
      <c r="S97"/>
    </row>
    <row r="98" spans="2:19" s="151" customFormat="1" outlineLevel="1" x14ac:dyDescent="0.2">
      <c r="C98"/>
      <c r="D98" s="102" t="str">
        <f>D90</f>
        <v>Perfil de la recuperación de costes</v>
      </c>
      <c r="E98"/>
      <c r="F98" s="287">
        <f>MATCH(perfil.recuperacion.costos.activo,perfil.recuperacion.costos,0)</f>
        <v>1</v>
      </c>
      <c r="G98" s="99" t="s">
        <v>171</v>
      </c>
      <c r="H98" s="152"/>
      <c r="I98"/>
      <c r="J98"/>
      <c r="K98"/>
      <c r="L98"/>
      <c r="M98"/>
      <c r="O98" s="211"/>
      <c r="P98"/>
      <c r="Q98"/>
      <c r="R98"/>
      <c r="S98"/>
    </row>
    <row r="99" spans="2:19" s="151" customFormat="1" x14ac:dyDescent="0.2">
      <c r="F99" s="74"/>
    </row>
    <row r="100" spans="2:19" s="151" customFormat="1" x14ac:dyDescent="0.2">
      <c r="D100" s="105" t="s">
        <v>745</v>
      </c>
      <c r="F100" s="74"/>
    </row>
    <row r="101" spans="2:19" s="151" customFormat="1" x14ac:dyDescent="0.2">
      <c r="D101" s="151" t="s">
        <v>746</v>
      </c>
      <c r="F101" s="279" t="s">
        <v>748</v>
      </c>
      <c r="G101" s="209" t="s">
        <v>751</v>
      </c>
    </row>
    <row r="102" spans="2:19" s="151" customFormat="1" outlineLevel="1" x14ac:dyDescent="0.2">
      <c r="D102" s="163" t="s">
        <v>936</v>
      </c>
      <c r="E102" s="151" t="s">
        <v>1027</v>
      </c>
      <c r="F102" s="336">
        <v>1835.2063864248962</v>
      </c>
      <c r="G102" s="152" t="s">
        <v>916</v>
      </c>
      <c r="H102" s="230">
        <f>F102*F104</f>
        <v>917.6031932124481</v>
      </c>
    </row>
    <row r="103" spans="2:19" s="151" customFormat="1" outlineLevel="1" x14ac:dyDescent="0.2">
      <c r="D103" s="163" t="s">
        <v>937</v>
      </c>
      <c r="E103" s="151" t="s">
        <v>1027</v>
      </c>
      <c r="F103" s="339">
        <v>3109.2299756093776</v>
      </c>
      <c r="G103" s="152" t="s">
        <v>917</v>
      </c>
      <c r="H103" s="230">
        <f>F103*F104</f>
        <v>1554.6149878046888</v>
      </c>
    </row>
    <row r="104" spans="2:19" s="151" customFormat="1" outlineLevel="1" x14ac:dyDescent="0.2">
      <c r="D104" s="163" t="s">
        <v>935</v>
      </c>
      <c r="E104" s="151" t="s">
        <v>141</v>
      </c>
      <c r="F104" s="286">
        <v>0.5</v>
      </c>
      <c r="G104" s="152"/>
    </row>
    <row r="105" spans="2:19" s="151" customFormat="1" x14ac:dyDescent="0.2">
      <c r="F105" s="74"/>
    </row>
    <row r="106" spans="2:19" s="151" customFormat="1" x14ac:dyDescent="0.2">
      <c r="B106" s="143"/>
      <c r="C106" s="143"/>
      <c r="D106" s="143"/>
      <c r="E106" s="143"/>
      <c r="F106" s="277"/>
      <c r="G106" s="143"/>
      <c r="H106" s="143"/>
      <c r="I106" s="143"/>
      <c r="J106" s="143"/>
      <c r="K106" s="143"/>
      <c r="L106" s="143"/>
      <c r="M106" s="143"/>
      <c r="N106" s="143"/>
      <c r="O106" s="143"/>
      <c r="P106" s="143"/>
      <c r="Q106" s="143"/>
      <c r="R106" s="143"/>
      <c r="S106" s="143"/>
    </row>
    <row r="107" spans="2:19" s="151" customFormat="1" x14ac:dyDescent="0.2">
      <c r="B107" s="160" t="s">
        <v>242</v>
      </c>
      <c r="C107" s="160"/>
      <c r="D107" s="160"/>
      <c r="E107" s="160"/>
      <c r="F107" s="278"/>
      <c r="G107" s="160"/>
      <c r="H107" s="160"/>
      <c r="I107" s="160"/>
      <c r="J107" s="160"/>
      <c r="K107" s="160"/>
      <c r="L107" s="160"/>
      <c r="M107" s="160"/>
      <c r="N107" s="160"/>
      <c r="O107" s="160"/>
      <c r="P107" s="160"/>
      <c r="Q107" s="160"/>
      <c r="R107" s="160"/>
      <c r="S107" s="160"/>
    </row>
    <row r="108" spans="2:19" s="151" customFormat="1" x14ac:dyDescent="0.2">
      <c r="B108" s="157"/>
      <c r="C108" s="159" t="s">
        <v>283</v>
      </c>
      <c r="D108" s="159"/>
      <c r="E108" s="159"/>
      <c r="F108" s="272"/>
      <c r="G108" s="159"/>
      <c r="H108" s="159"/>
      <c r="I108" s="159"/>
      <c r="J108" s="159"/>
      <c r="K108" s="159"/>
      <c r="L108" s="159"/>
      <c r="M108" s="159"/>
      <c r="N108" s="159"/>
      <c r="O108" s="159"/>
      <c r="P108" s="159"/>
      <c r="Q108" s="159"/>
      <c r="R108" s="159"/>
      <c r="S108" s="159"/>
    </row>
    <row r="109" spans="2:19" s="151" customFormat="1" x14ac:dyDescent="0.2">
      <c r="B109" s="157"/>
      <c r="C109" s="157"/>
      <c r="D109" s="157"/>
      <c r="E109" s="157"/>
      <c r="F109" s="292"/>
      <c r="G109" s="157"/>
      <c r="H109" s="157"/>
      <c r="I109" s="157"/>
      <c r="J109" s="157"/>
      <c r="K109" s="157"/>
      <c r="L109" s="157"/>
      <c r="M109" s="157"/>
      <c r="N109" s="157"/>
      <c r="P109" s="157"/>
      <c r="Q109" s="157"/>
      <c r="R109" s="157"/>
      <c r="S109" s="157"/>
    </row>
    <row r="110" spans="2:19" s="151" customFormat="1" x14ac:dyDescent="0.2">
      <c r="B110" s="157"/>
      <c r="C110" s="157"/>
      <c r="D110" s="105" t="s">
        <v>206</v>
      </c>
      <c r="E110" s="157"/>
      <c r="F110" s="292"/>
      <c r="G110" s="157"/>
      <c r="H110" s="157"/>
      <c r="I110" s="157"/>
      <c r="J110" s="157"/>
      <c r="K110" s="157"/>
      <c r="L110" s="157"/>
      <c r="M110" s="157"/>
      <c r="N110" s="157"/>
      <c r="P110" s="157"/>
      <c r="Q110" s="157"/>
      <c r="R110" s="157"/>
      <c r="S110" s="157"/>
    </row>
    <row r="111" spans="2:19" s="151" customFormat="1" x14ac:dyDescent="0.2">
      <c r="D111" s="252" t="s">
        <v>673</v>
      </c>
      <c r="E111" s="157"/>
      <c r="F111" s="293">
        <f>IF(caseta.AEP.activo="Sí",1,0)</f>
        <v>0</v>
      </c>
      <c r="G111" s="107" t="s">
        <v>674</v>
      </c>
      <c r="H111" s="157"/>
      <c r="I111" s="157"/>
      <c r="K111" s="157"/>
      <c r="L111" s="157"/>
      <c r="M111" s="157"/>
      <c r="N111" s="157"/>
      <c r="O111" s="211"/>
      <c r="P111" s="157"/>
      <c r="Q111" s="157"/>
      <c r="R111" s="157"/>
      <c r="S111" s="157"/>
    </row>
    <row r="112" spans="2:19" s="151" customFormat="1" x14ac:dyDescent="0.2">
      <c r="B112" s="157"/>
      <c r="C112" s="157"/>
      <c r="D112" s="163" t="s">
        <v>320</v>
      </c>
      <c r="E112" s="155">
        <f>IF(comparticion.aire.acondicionado.activo="No",0,1)</f>
        <v>0</v>
      </c>
      <c r="F112" s="279" t="s">
        <v>184</v>
      </c>
      <c r="G112" s="107" t="s">
        <v>321</v>
      </c>
      <c r="H112" s="24" t="str">
        <f>IF(AND(aire.acondicionado.activo=0,comparticion.aire.acondicionado.activo="Sí"),actualizar.seleccion,"OK")</f>
        <v>OK</v>
      </c>
      <c r="I112" s="157"/>
      <c r="K112" s="157"/>
      <c r="L112" s="157"/>
      <c r="M112" s="157"/>
      <c r="N112" s="157"/>
      <c r="P112" s="157"/>
      <c r="Q112" s="157"/>
      <c r="R112" s="157"/>
      <c r="S112" s="157"/>
    </row>
    <row r="113" spans="2:19" s="151" customFormat="1" ht="24" x14ac:dyDescent="0.2">
      <c r="B113" s="157"/>
      <c r="C113" s="157"/>
      <c r="D113" s="253" t="s">
        <v>675</v>
      </c>
      <c r="E113" s="151" t="s">
        <v>925</v>
      </c>
      <c r="F113" s="294">
        <v>0.1</v>
      </c>
      <c r="G113" s="107" t="s">
        <v>290</v>
      </c>
      <c r="H113" s="107"/>
      <c r="I113" s="157"/>
      <c r="K113" s="157"/>
      <c r="L113" s="157"/>
      <c r="M113" s="157"/>
      <c r="N113" s="157"/>
      <c r="P113" s="157"/>
      <c r="Q113" s="157"/>
      <c r="R113" s="157"/>
      <c r="S113" s="157"/>
    </row>
    <row r="114" spans="2:19" s="151" customFormat="1" x14ac:dyDescent="0.2">
      <c r="B114" s="157"/>
      <c r="C114" s="157"/>
      <c r="D114" s="163" t="s">
        <v>743</v>
      </c>
      <c r="E114" s="158" t="s">
        <v>141</v>
      </c>
      <c r="F114" s="295">
        <v>0.1</v>
      </c>
      <c r="G114" s="107" t="s">
        <v>291</v>
      </c>
      <c r="H114" s="107"/>
      <c r="I114" s="157"/>
      <c r="K114" s="157"/>
      <c r="L114" s="157"/>
      <c r="M114" s="157"/>
      <c r="N114" s="157"/>
      <c r="Q114" s="157"/>
      <c r="R114" s="157"/>
      <c r="S114" s="157"/>
    </row>
    <row r="115" spans="2:19" s="151" customFormat="1" x14ac:dyDescent="0.2">
      <c r="B115" s="157"/>
      <c r="C115" s="157"/>
      <c r="F115" s="74"/>
      <c r="G115" s="157"/>
      <c r="H115" s="157"/>
      <c r="I115" s="157"/>
      <c r="J115" s="157"/>
      <c r="K115" s="157"/>
      <c r="L115" s="157"/>
      <c r="M115" s="157"/>
      <c r="N115" s="157"/>
      <c r="P115" s="157"/>
      <c r="Q115" s="157"/>
      <c r="R115" s="157"/>
      <c r="S115" s="157"/>
    </row>
    <row r="116" spans="2:19" s="151" customFormat="1" x14ac:dyDescent="0.2">
      <c r="B116" s="157"/>
      <c r="C116" s="157"/>
      <c r="D116" s="154" t="s">
        <v>927</v>
      </c>
      <c r="F116" s="74"/>
      <c r="G116" s="157"/>
      <c r="H116" s="157"/>
      <c r="J116" s="157"/>
      <c r="K116" s="157"/>
      <c r="L116" s="157"/>
      <c r="M116" s="157"/>
      <c r="N116" s="157"/>
      <c r="P116" s="157"/>
      <c r="Q116" s="157"/>
      <c r="R116" s="157"/>
      <c r="S116" s="157"/>
    </row>
    <row r="117" spans="2:19" s="151" customFormat="1" x14ac:dyDescent="0.2">
      <c r="B117" s="157"/>
      <c r="C117" s="157"/>
      <c r="D117" s="163" t="s">
        <v>424</v>
      </c>
      <c r="E117" s="158" t="s">
        <v>425</v>
      </c>
      <c r="F117" s="296">
        <v>8</v>
      </c>
      <c r="G117" s="107" t="s">
        <v>426</v>
      </c>
      <c r="H117" s="107"/>
      <c r="K117" s="157"/>
      <c r="L117" s="157"/>
      <c r="M117" s="157"/>
      <c r="N117" s="157"/>
      <c r="O117" s="157"/>
      <c r="P117" s="157"/>
      <c r="Q117" s="157"/>
      <c r="R117" s="157"/>
      <c r="S117" s="157"/>
    </row>
    <row r="118" spans="2:19" s="151" customFormat="1" x14ac:dyDescent="0.2">
      <c r="B118" s="157"/>
      <c r="C118" s="157"/>
      <c r="D118" s="178" t="s">
        <v>972</v>
      </c>
      <c r="E118" s="158"/>
      <c r="F118" s="297" t="str">
        <f>IF(backup.minimo.urbano&lt;=BBU.backup.hours.urban,"BBU","BBS")</f>
        <v>BBU</v>
      </c>
      <c r="G118" s="107" t="s">
        <v>973</v>
      </c>
      <c r="H118" s="107"/>
      <c r="K118" s="157"/>
      <c r="L118" s="157"/>
      <c r="M118" s="157"/>
      <c r="N118" s="157"/>
      <c r="O118" s="157"/>
      <c r="P118" s="157"/>
      <c r="Q118" s="157"/>
      <c r="R118" s="157"/>
      <c r="S118" s="157"/>
    </row>
    <row r="119" spans="2:19" s="151" customFormat="1" x14ac:dyDescent="0.2">
      <c r="B119" s="157"/>
      <c r="C119" s="157"/>
      <c r="D119" s="163" t="s">
        <v>433</v>
      </c>
      <c r="E119" s="158" t="s">
        <v>425</v>
      </c>
      <c r="F119" s="296">
        <v>8</v>
      </c>
      <c r="G119" s="107" t="s">
        <v>427</v>
      </c>
      <c r="H119" s="107"/>
      <c r="I119" s="157"/>
      <c r="K119" s="157"/>
      <c r="L119" s="157"/>
      <c r="M119" s="157"/>
      <c r="N119" s="157"/>
      <c r="O119" s="157"/>
      <c r="P119" s="157"/>
      <c r="Q119" s="157"/>
      <c r="R119" s="157"/>
      <c r="S119" s="157"/>
    </row>
    <row r="120" spans="2:19" s="151" customFormat="1" x14ac:dyDescent="0.2">
      <c r="B120" s="157"/>
      <c r="C120" s="157"/>
      <c r="D120" s="178" t="s">
        <v>975</v>
      </c>
      <c r="E120" s="158"/>
      <c r="F120" s="297" t="str">
        <f>IF(backup.minimo.rural&lt;=BBU.backup.hours.rural,"BBU","BBS")</f>
        <v>BBU</v>
      </c>
      <c r="G120" s="107" t="s">
        <v>976</v>
      </c>
      <c r="H120" s="107"/>
      <c r="I120" s="157"/>
      <c r="K120" s="157"/>
      <c r="L120" s="157"/>
      <c r="M120" s="157"/>
      <c r="N120" s="157"/>
      <c r="O120" s="157"/>
      <c r="P120" s="157"/>
      <c r="Q120" s="157"/>
      <c r="R120" s="157"/>
      <c r="S120" s="157"/>
    </row>
    <row r="121" spans="2:19" s="151" customFormat="1" x14ac:dyDescent="0.2">
      <c r="B121" s="157"/>
      <c r="C121" s="157"/>
      <c r="D121" s="157"/>
      <c r="E121" s="157"/>
      <c r="F121" s="292"/>
      <c r="G121" s="157"/>
      <c r="H121" s="157"/>
      <c r="I121" s="157"/>
      <c r="J121" s="157"/>
      <c r="K121" s="157"/>
      <c r="L121" s="157"/>
      <c r="M121" s="157"/>
      <c r="N121" s="157"/>
      <c r="O121" s="157"/>
      <c r="P121" s="157"/>
      <c r="Q121" s="157"/>
      <c r="R121" s="157"/>
      <c r="S121" s="157"/>
    </row>
    <row r="122" spans="2:19" s="151" customFormat="1" x14ac:dyDescent="0.2">
      <c r="B122" s="157"/>
      <c r="C122" s="157"/>
      <c r="E122" s="157"/>
      <c r="F122" s="292"/>
      <c r="G122" s="157"/>
      <c r="H122" s="157"/>
      <c r="I122" s="157"/>
      <c r="J122" s="157"/>
      <c r="K122" s="157"/>
      <c r="L122" s="157"/>
      <c r="M122" s="157"/>
      <c r="N122" s="157"/>
      <c r="O122" s="157"/>
      <c r="P122" s="157"/>
      <c r="Q122" s="157"/>
      <c r="R122" s="157"/>
      <c r="S122" s="157"/>
    </row>
    <row r="123" spans="2:19" s="151" customFormat="1" ht="24" x14ac:dyDescent="0.2">
      <c r="B123" s="157"/>
      <c r="C123" s="157"/>
      <c r="D123" s="154" t="s">
        <v>926</v>
      </c>
      <c r="E123" s="190" t="s">
        <v>904</v>
      </c>
      <c r="F123" s="298" t="s">
        <v>453</v>
      </c>
      <c r="G123" s="190" t="s">
        <v>454</v>
      </c>
      <c r="H123" s="157"/>
      <c r="I123" s="190" t="s">
        <v>394</v>
      </c>
      <c r="J123" s="190" t="s">
        <v>463</v>
      </c>
      <c r="K123" s="157"/>
      <c r="L123" s="190" t="s">
        <v>394</v>
      </c>
      <c r="M123" s="157"/>
      <c r="N123" s="157"/>
      <c r="O123" s="157"/>
      <c r="P123" s="157"/>
      <c r="Q123" s="157"/>
      <c r="R123" s="157"/>
      <c r="S123" s="157"/>
    </row>
    <row r="124" spans="2:19" s="151" customFormat="1" x14ac:dyDescent="0.2">
      <c r="B124" s="157"/>
      <c r="C124" s="157"/>
      <c r="D124" s="254" t="s">
        <v>412</v>
      </c>
      <c r="E124" s="230">
        <f>IF(AND(caseta.AEP.activo="Sí",indoor.outdoor.CS1.activo="Indoor",comparticion.caseta.CS1="Caseta del AEP"),1,IF(AND(caseta.AEP.activo="No",indoor.outdoor.CS1.activo="Outdoor"),1,0))</f>
        <v>1</v>
      </c>
      <c r="F124" s="283">
        <f>capacidad.excedentaria.BBS.para.CS1*E124</f>
        <v>0</v>
      </c>
      <c r="G124" s="191" t="s">
        <v>184</v>
      </c>
      <c r="H124" s="152" t="s">
        <v>456</v>
      </c>
      <c r="I124" s="24" t="str">
        <f>IF(ISNA(MATCH(Dimensionado!H259,posibilidad.compartir.caseta.CS1, 0)),actualizar.seleccion,"OK")</f>
        <v>OK</v>
      </c>
      <c r="J124" s="233">
        <v>0</v>
      </c>
      <c r="K124" s="152" t="s">
        <v>466</v>
      </c>
      <c r="L124" s="210" t="str">
        <f>IF(AND(utilizar.capacidad.CS1="Sí",demanda.BBS.CS1=1),actualizar.seleccion,"OK")</f>
        <v>OK</v>
      </c>
      <c r="M124" s="157"/>
      <c r="N124" s="157"/>
      <c r="O124" s="157"/>
      <c r="P124" s="157"/>
      <c r="Q124" s="157"/>
      <c r="R124" s="157"/>
      <c r="S124" s="157"/>
    </row>
    <row r="125" spans="2:19" s="151" customFormat="1" x14ac:dyDescent="0.2">
      <c r="B125" s="157"/>
      <c r="C125" s="157"/>
      <c r="D125" s="254" t="s">
        <v>414</v>
      </c>
      <c r="E125" s="230">
        <f>IF(AND(caseta.AEP.activo="Sí",indoor.outdoor.CS2.activo="Indoor",comparticion.caseta.CS2="Caseta del AEP"),1,IF(AND(caseta.AEP.activo="No",indoor.outdoor.CS2.activo="Outdoor"),1,0))</f>
        <v>1</v>
      </c>
      <c r="F125" s="283">
        <f>capacidad.excedentaria.BBS.para.CS2*E125</f>
        <v>0</v>
      </c>
      <c r="G125" s="191" t="s">
        <v>184</v>
      </c>
      <c r="H125" s="152" t="s">
        <v>457</v>
      </c>
      <c r="I125" s="24" t="str">
        <f>IF(ISNA(MATCH(Dimensionado!H268,posibilidad.compartir.caseta.CS2, 0)),actualizar.seleccion,"OK")</f>
        <v>OK</v>
      </c>
      <c r="J125" s="233">
        <v>0</v>
      </c>
      <c r="K125" s="152" t="s">
        <v>467</v>
      </c>
      <c r="L125" s="210" t="str">
        <f>IF(AND(utilizar.capacidad.CS2="Sí",demanda.BBS.CS2=1),actualizar.seleccion,IF(AND(cs2.activo=0,demanda.BBS.CS2=1),actualizar.seleccion,"OK"))</f>
        <v>OK</v>
      </c>
      <c r="M125" s="157"/>
      <c r="N125" s="157"/>
      <c r="O125" s="157"/>
      <c r="P125" s="157"/>
      <c r="Q125" s="157"/>
      <c r="R125" s="157"/>
      <c r="S125" s="157"/>
    </row>
    <row r="126" spans="2:19" s="151" customFormat="1" x14ac:dyDescent="0.2">
      <c r="B126" s="157"/>
      <c r="C126" s="157"/>
      <c r="D126" s="254" t="s">
        <v>415</v>
      </c>
      <c r="E126" s="230">
        <f>IF(AND(caseta.AEP.activo="Sí",indoor.outdoor.CS3.activo="Indoor",comparticion.caseta.CS3="Caseta del AEP"),1,IF(AND(caseta.AEP.activo="No",indoor.outdoor.CS3.activo="Outdoor"),1,0))</f>
        <v>1</v>
      </c>
      <c r="F126" s="283">
        <f>capacidad.excedentaria.BBS.para.CS3*E126</f>
        <v>0</v>
      </c>
      <c r="G126" s="191" t="s">
        <v>184</v>
      </c>
      <c r="H126" s="152" t="s">
        <v>458</v>
      </c>
      <c r="I126" s="24" t="str">
        <f>IF(ISNA(MATCH(Dimensionado!H278,posibilidad.compartir.caseta.CS3, 0)),actualizar.seleccion,"OK")</f>
        <v>OK</v>
      </c>
      <c r="J126" s="233">
        <v>0</v>
      </c>
      <c r="K126" s="152" t="s">
        <v>468</v>
      </c>
      <c r="L126" s="210" t="str">
        <f>IF(AND(utilizar.capacidad.CS3="Sí",demanda.BBS.CS3=1),actualizar.seleccion,IF(AND(cs3.activo=0,demanda.BBS.CS3=1),actualizar.seleccion,"OK"))</f>
        <v>OK</v>
      </c>
      <c r="M126" s="157"/>
      <c r="N126" s="157"/>
      <c r="O126" s="157"/>
      <c r="P126" s="157"/>
      <c r="Q126" s="157"/>
      <c r="R126" s="157"/>
      <c r="S126" s="157"/>
    </row>
    <row r="127" spans="2:19" s="151" customFormat="1" x14ac:dyDescent="0.2">
      <c r="B127" s="157"/>
      <c r="C127" s="157"/>
      <c r="D127" s="157"/>
      <c r="E127" s="157"/>
      <c r="F127" s="292"/>
      <c r="G127" s="157"/>
      <c r="H127" s="157"/>
      <c r="I127" s="157"/>
      <c r="J127" s="157"/>
      <c r="K127" s="157"/>
      <c r="L127" s="157"/>
      <c r="M127" s="157"/>
      <c r="N127" s="157"/>
      <c r="O127" s="157"/>
      <c r="P127" s="157"/>
      <c r="Q127" s="157"/>
      <c r="R127" s="157"/>
      <c r="S127" s="157"/>
    </row>
    <row r="128" spans="2:19" s="151" customFormat="1" x14ac:dyDescent="0.2">
      <c r="B128" s="157"/>
      <c r="C128" s="159" t="s">
        <v>243</v>
      </c>
      <c r="D128" s="159"/>
      <c r="E128" s="159"/>
      <c r="F128" s="272"/>
      <c r="G128" s="159"/>
      <c r="H128" s="159"/>
      <c r="I128" s="159"/>
      <c r="J128" s="159"/>
      <c r="K128" s="159"/>
      <c r="L128" s="159"/>
      <c r="M128" s="159"/>
      <c r="N128" s="159"/>
      <c r="O128" s="159"/>
      <c r="P128" s="159"/>
      <c r="Q128" s="159"/>
      <c r="R128" s="159"/>
      <c r="S128" s="159"/>
    </row>
    <row r="129" spans="4:15" s="151" customFormat="1" x14ac:dyDescent="0.2">
      <c r="F129" s="74"/>
    </row>
    <row r="130" spans="4:15" s="151" customFormat="1" x14ac:dyDescent="0.2">
      <c r="D130" s="154" t="s">
        <v>153</v>
      </c>
      <c r="F130" s="74"/>
    </row>
    <row r="131" spans="4:15" s="151" customFormat="1" x14ac:dyDescent="0.2">
      <c r="D131" s="151" t="s">
        <v>1008</v>
      </c>
      <c r="E131" s="151" t="s">
        <v>141</v>
      </c>
      <c r="F131" s="299">
        <v>0.5</v>
      </c>
      <c r="G131" s="107" t="s">
        <v>1010</v>
      </c>
      <c r="H131" s="107"/>
      <c r="J131" s="158"/>
    </row>
    <row r="132" spans="4:15" s="151" customFormat="1" x14ac:dyDescent="0.2">
      <c r="D132" s="151" t="s">
        <v>1009</v>
      </c>
      <c r="E132" s="151" t="s">
        <v>141</v>
      </c>
      <c r="F132" s="299">
        <v>0</v>
      </c>
      <c r="G132" s="107" t="s">
        <v>1012</v>
      </c>
      <c r="H132" s="107"/>
      <c r="J132" s="158"/>
    </row>
    <row r="133" spans="4:15" s="151" customFormat="1" x14ac:dyDescent="0.2">
      <c r="D133" s="151" t="s">
        <v>671</v>
      </c>
      <c r="E133" s="151" t="s">
        <v>141</v>
      </c>
      <c r="F133" s="299">
        <v>0.2</v>
      </c>
      <c r="G133" s="107" t="s">
        <v>295</v>
      </c>
      <c r="H133" s="107"/>
      <c r="J133" s="158"/>
    </row>
    <row r="134" spans="4:15" s="151" customFormat="1" x14ac:dyDescent="0.2">
      <c r="F134" s="74"/>
      <c r="G134" s="107"/>
      <c r="H134" s="107"/>
      <c r="J134" s="158"/>
      <c r="O134" s="211"/>
    </row>
    <row r="135" spans="4:15" s="151" customFormat="1" x14ac:dyDescent="0.2">
      <c r="D135" s="151" t="s">
        <v>1011</v>
      </c>
      <c r="F135" s="313">
        <f>IF(tipo.ubicacion.activo="Terreno",markup.predio.terreno,markup.predio.azotea)*(1+IF(geotipo.activo="Rural",markup.zona.rural,0))</f>
        <v>0.5</v>
      </c>
      <c r="G135" s="107" t="s">
        <v>294</v>
      </c>
      <c r="H135" s="107"/>
      <c r="J135" s="158"/>
      <c r="O135" s="211"/>
    </row>
    <row r="136" spans="4:15" s="151" customFormat="1" x14ac:dyDescent="0.2">
      <c r="F136" s="74"/>
      <c r="G136" s="107"/>
      <c r="H136" s="107"/>
      <c r="J136" s="158"/>
      <c r="O136" s="211"/>
    </row>
    <row r="137" spans="4:15" s="151" customFormat="1" x14ac:dyDescent="0.2">
      <c r="D137" s="154" t="s">
        <v>409</v>
      </c>
      <c r="F137" s="74"/>
      <c r="J137" s="158"/>
      <c r="O137" s="211"/>
    </row>
    <row r="138" spans="4:15" s="151" customFormat="1" x14ac:dyDescent="0.2">
      <c r="D138" s="185" t="s">
        <v>744</v>
      </c>
      <c r="E138" s="151" t="s">
        <v>150</v>
      </c>
      <c r="F138" s="300">
        <v>2</v>
      </c>
      <c r="G138" s="107" t="s">
        <v>410</v>
      </c>
      <c r="J138" s="158"/>
      <c r="O138" s="211"/>
    </row>
    <row r="139" spans="4:15" s="151" customFormat="1" x14ac:dyDescent="0.2">
      <c r="F139" s="74"/>
      <c r="J139" s="158"/>
      <c r="O139" s="211"/>
    </row>
    <row r="140" spans="4:15" s="151" customFormat="1" x14ac:dyDescent="0.2">
      <c r="D140" s="154" t="s">
        <v>672</v>
      </c>
      <c r="F140" s="74"/>
      <c r="J140" s="158"/>
    </row>
    <row r="141" spans="4:15" s="151" customFormat="1" x14ac:dyDescent="0.2">
      <c r="D141" s="151" t="s">
        <v>516</v>
      </c>
      <c r="E141" s="151" t="s">
        <v>141</v>
      </c>
      <c r="F141" s="301">
        <v>0</v>
      </c>
      <c r="G141" s="152" t="s">
        <v>518</v>
      </c>
      <c r="H141" s="158" t="s">
        <v>1035</v>
      </c>
      <c r="J141" s="158"/>
    </row>
    <row r="142" spans="4:15" s="151" customFormat="1" x14ac:dyDescent="0.2">
      <c r="D142" s="151" t="s">
        <v>517</v>
      </c>
      <c r="E142" s="151" t="s">
        <v>141</v>
      </c>
      <c r="F142" s="301">
        <v>0</v>
      </c>
      <c r="G142" s="152" t="s">
        <v>519</v>
      </c>
      <c r="H142" s="158" t="s">
        <v>1020</v>
      </c>
      <c r="J142" s="158"/>
    </row>
    <row r="143" spans="4:15" s="151" customFormat="1" x14ac:dyDescent="0.2">
      <c r="F143" s="74"/>
    </row>
  </sheetData>
  <dataConsolidate/>
  <phoneticPr fontId="0" type="noConversion"/>
  <conditionalFormatting sqref="F73">
    <cfRule type="expression" dxfId="16" priority="27">
      <formula>$F$37=0</formula>
    </cfRule>
  </conditionalFormatting>
  <conditionalFormatting sqref="F74">
    <cfRule type="expression" dxfId="15" priority="26">
      <formula>$F$38=0</formula>
    </cfRule>
  </conditionalFormatting>
  <conditionalFormatting sqref="F77">
    <cfRule type="expression" dxfId="14" priority="25">
      <formula>OR($F$72="Outdoor",$F$36=0)</formula>
    </cfRule>
  </conditionalFormatting>
  <conditionalFormatting sqref="F78">
    <cfRule type="expression" dxfId="13" priority="24">
      <formula>OR($F$73="Outdoor",$F$37=0)</formula>
    </cfRule>
  </conditionalFormatting>
  <conditionalFormatting sqref="F79">
    <cfRule type="expression" dxfId="12" priority="23">
      <formula>OR($F$74="Outdoor",$F$38=0)</formula>
    </cfRule>
  </conditionalFormatting>
  <conditionalFormatting sqref="F52:F54">
    <cfRule type="expression" dxfId="11" priority="20">
      <formula>$F$37=0</formula>
    </cfRule>
  </conditionalFormatting>
  <conditionalFormatting sqref="F57:F59">
    <cfRule type="expression" dxfId="10" priority="19">
      <formula>$F$38=0</formula>
    </cfRule>
  </conditionalFormatting>
  <conditionalFormatting sqref="H76:H79">
    <cfRule type="expression" dxfId="9" priority="18">
      <formula>H76&lt;&gt;"OK"</formula>
    </cfRule>
  </conditionalFormatting>
  <conditionalFormatting sqref="F68">
    <cfRule type="expression" dxfId="8" priority="17">
      <formula>$F$35&lt;3</formula>
    </cfRule>
  </conditionalFormatting>
  <conditionalFormatting sqref="H21">
    <cfRule type="expression" dxfId="7" priority="12">
      <formula>H21&lt;&gt;"OK"</formula>
    </cfRule>
  </conditionalFormatting>
  <conditionalFormatting sqref="F21">
    <cfRule type="expression" dxfId="6" priority="11">
      <formula>$H$21&lt;&gt;"OK"</formula>
    </cfRule>
  </conditionalFormatting>
  <conditionalFormatting sqref="H20">
    <cfRule type="expression" dxfId="5" priority="10">
      <formula>H20&lt;&gt;"OK"</formula>
    </cfRule>
  </conditionalFormatting>
  <conditionalFormatting sqref="F20">
    <cfRule type="expression" dxfId="4" priority="9">
      <formula>$H$20&lt;&gt;"OK"</formula>
    </cfRule>
  </conditionalFormatting>
  <conditionalFormatting sqref="H22">
    <cfRule type="expression" dxfId="3" priority="8">
      <formula>H22&lt;&gt;"OK"</formula>
    </cfRule>
  </conditionalFormatting>
  <conditionalFormatting sqref="F67">
    <cfRule type="expression" dxfId="2" priority="7">
      <formula>$F$37=0</formula>
    </cfRule>
  </conditionalFormatting>
  <conditionalFormatting sqref="F84">
    <cfRule type="expression" dxfId="1" priority="4">
      <formula>$F$84&lt;&gt;"OK"</formula>
    </cfRule>
  </conditionalFormatting>
  <conditionalFormatting sqref="F66">
    <cfRule type="expression" dxfId="0" priority="3">
      <formula>$F$36=0</formula>
    </cfRule>
  </conditionalFormatting>
  <dataValidations count="17">
    <dataValidation type="list" allowBlank="1" showInputMessage="1" showErrorMessage="1" sqref="F32">
      <formula1>años</formula1>
    </dataValidation>
    <dataValidation type="list" allowBlank="1" showInputMessage="1" showErrorMessage="1" sqref="F35">
      <formula1>numero.operadores</formula1>
    </dataValidation>
    <dataValidation type="list" allowBlank="1" showInputMessage="1" showErrorMessage="1" sqref="F19">
      <formula1>tipo.torre</formula1>
    </dataValidation>
    <dataValidation type="list" allowBlank="1" showInputMessage="1" showErrorMessage="1" sqref="F21">
      <formula1>tipo.ubicacion</formula1>
    </dataValidation>
    <dataValidation type="list" allowBlank="1" showInputMessage="1" showErrorMessage="1" sqref="F20">
      <formula1>INDIRECT("altura.torre."&amp;tipo.torre.activo)</formula1>
    </dataValidation>
    <dataValidation type="list" allowBlank="1" showInputMessage="1" showErrorMessage="1" sqref="F25">
      <formula1>geotipo</formula1>
    </dataValidation>
    <dataValidation type="list" allowBlank="1" showInputMessage="1" showErrorMessage="1" sqref="F26">
      <formula1>propiedad.predio</formula1>
    </dataValidation>
    <dataValidation type="list" allowBlank="1" showInputMessage="1" showErrorMessage="1" sqref="F112 G124:G126 F24">
      <formula1>disponibilidad</formula1>
    </dataValidation>
    <dataValidation type="list" allowBlank="1" showInputMessage="1" showErrorMessage="1" sqref="F88">
      <formula1>vida.util</formula1>
    </dataValidation>
    <dataValidation type="list" allowBlank="1" showInputMessage="1" showErrorMessage="1" sqref="F71:F74">
      <formula1>indoor.outdoor</formula1>
    </dataValidation>
    <dataValidation type="list" allowBlank="1" showInputMessage="1" showErrorMessage="1" sqref="F65:F68">
      <formula1>demanda</formula1>
    </dataValidation>
    <dataValidation type="list" allowBlank="1" showInputMessage="1" showErrorMessage="1" sqref="F77:F79">
      <formula1>lista.comparticion.caseta</formula1>
    </dataValidation>
    <dataValidation type="list" allowBlank="1" showInputMessage="1" showErrorMessage="1" sqref="J124:J126">
      <formula1>demanda.BBS</formula1>
    </dataValidation>
    <dataValidation type="list" allowBlank="1" showInputMessage="1" showErrorMessage="1" sqref="F101">
      <formula1>opcion.costo.unitario.azotea.telmex.telnor</formula1>
    </dataValidation>
    <dataValidation type="list" allowBlank="1" showInputMessage="1" showErrorMessage="1" sqref="F22">
      <formula1>INDIRECT("viento.torre."&amp;tipo.torre.activo)</formula1>
    </dataValidation>
    <dataValidation type="list" allowBlank="1" showInputMessage="1" showErrorMessage="1" sqref="F82">
      <formula1>fuente.dimensiones.gabinetes</formula1>
    </dataValidation>
    <dataValidation type="list" allowBlank="1" showInputMessage="1" showErrorMessage="1" sqref="F33">
      <formula1>opciones.WACC</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L!$C$38:$C$55</xm:f>
          </x14:formula1>
          <xm:sqref>F42:F43 F47:F48 F52:F53 F57:F58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301"/>
  <sheetViews>
    <sheetView showGridLines="0" defaultGridColor="0" topLeftCell="N1" colorId="22" zoomScale="80" zoomScaleNormal="80" workbookViewId="0">
      <pane ySplit="1" topLeftCell="A2" activePane="bottomLeft" state="frozen"/>
      <selection pane="bottomLeft" activeCell="N1" sqref="N1"/>
    </sheetView>
  </sheetViews>
  <sheetFormatPr baseColWidth="10" defaultColWidth="12.7109375" defaultRowHeight="12" outlineLevelRow="1" outlineLevelCol="1" x14ac:dyDescent="0.2"/>
  <cols>
    <col min="1" max="1" width="6.7109375" style="126" customWidth="1"/>
    <col min="2" max="2" width="19.5703125" style="126" customWidth="1"/>
    <col min="3" max="4" width="12.7109375" style="126"/>
    <col min="5" max="5" width="18.85546875" style="126" customWidth="1"/>
    <col min="6" max="6" width="14.85546875" style="126" customWidth="1"/>
    <col min="7" max="7" width="14.85546875" style="151" customWidth="1"/>
    <col min="8" max="8" width="9.140625" style="126" customWidth="1"/>
    <col min="9" max="9" width="24.5703125" style="126" customWidth="1"/>
    <col min="10" max="10" width="12.7109375" style="126"/>
    <col min="11" max="11" width="19.7109375" style="151" customWidth="1"/>
    <col min="12" max="12" width="20" style="126" customWidth="1"/>
    <col min="13" max="13" width="21" style="126" customWidth="1"/>
    <col min="14" max="14" width="21" style="151" customWidth="1"/>
    <col min="15" max="15" width="7.5703125" style="126" customWidth="1"/>
    <col min="16" max="16" width="22.5703125" style="3" customWidth="1"/>
    <col min="17" max="17" width="15.7109375" style="126" customWidth="1"/>
    <col min="18" max="18" width="19.28515625" style="151" customWidth="1"/>
    <col min="19" max="19" width="20.42578125" style="126" customWidth="1"/>
    <col min="20" max="20" width="14" style="126" customWidth="1"/>
    <col min="21" max="21" width="14" style="151" customWidth="1"/>
    <col min="22" max="22" width="6.85546875" style="126" customWidth="1"/>
    <col min="23" max="23" width="12.5703125" style="151" customWidth="1"/>
    <col min="24" max="24" width="12.28515625" style="151" customWidth="1"/>
    <col min="25" max="25" width="12.28515625" style="151" customWidth="1" outlineLevel="1"/>
    <col min="26" max="26" width="12.7109375" style="151"/>
    <col min="27" max="27" width="12.7109375" style="151" customWidth="1" outlineLevel="1"/>
    <col min="28" max="28" width="12.7109375" style="151"/>
    <col min="29" max="16384" width="12.7109375" style="126"/>
  </cols>
  <sheetData>
    <row r="1" spans="1:30" s="130" customFormat="1" ht="33.75" customHeight="1" x14ac:dyDescent="0.2">
      <c r="D1" s="127" t="s">
        <v>232</v>
      </c>
      <c r="O1" s="130" t="s">
        <v>114</v>
      </c>
      <c r="P1" s="268"/>
    </row>
    <row r="3" spans="1:30" s="151" customFormat="1" x14ac:dyDescent="0.2">
      <c r="B3" s="154" t="s">
        <v>138</v>
      </c>
      <c r="C3" s="155">
        <v>2014</v>
      </c>
      <c r="P3" s="3"/>
    </row>
    <row r="4" spans="1:30" s="151" customFormat="1" x14ac:dyDescent="0.2">
      <c r="B4" s="154" t="s">
        <v>245</v>
      </c>
      <c r="C4" s="145">
        <f>año.activo</f>
        <v>2015</v>
      </c>
      <c r="E4" s="334" t="s">
        <v>1033</v>
      </c>
      <c r="I4" s="342" t="s">
        <v>246</v>
      </c>
      <c r="J4" s="342"/>
      <c r="K4" s="342"/>
      <c r="L4" s="342"/>
      <c r="M4" s="342"/>
      <c r="N4" s="208"/>
      <c r="P4" s="342" t="s">
        <v>247</v>
      </c>
      <c r="Q4" s="342"/>
      <c r="R4" s="342"/>
      <c r="S4" s="342"/>
      <c r="T4" s="342"/>
      <c r="U4" s="208"/>
      <c r="W4" s="342" t="s">
        <v>932</v>
      </c>
      <c r="X4" s="342"/>
      <c r="Y4" s="342"/>
      <c r="Z4" s="342"/>
      <c r="AA4" s="342"/>
      <c r="AC4" s="340" t="s">
        <v>253</v>
      </c>
    </row>
    <row r="5" spans="1:30" x14ac:dyDescent="0.2">
      <c r="C5" s="104">
        <f>C4-C3</f>
        <v>1</v>
      </c>
      <c r="I5" s="342"/>
      <c r="J5" s="342"/>
      <c r="K5" s="342"/>
      <c r="L5" s="342"/>
      <c r="M5" s="342"/>
      <c r="N5" s="208"/>
      <c r="O5" s="151"/>
      <c r="P5" s="342"/>
      <c r="Q5" s="342"/>
      <c r="R5" s="342"/>
      <c r="S5" s="342"/>
      <c r="T5" s="342"/>
      <c r="U5" s="208"/>
      <c r="V5" s="151"/>
      <c r="W5" s="342"/>
      <c r="X5" s="342"/>
      <c r="Y5" s="342"/>
      <c r="Z5" s="342"/>
      <c r="AA5" s="342"/>
      <c r="AC5" s="341"/>
      <c r="AD5" s="151"/>
    </row>
    <row r="7" spans="1:30" s="151" customFormat="1" x14ac:dyDescent="0.2">
      <c r="A7" s="146" t="s">
        <v>223</v>
      </c>
      <c r="B7" s="143"/>
      <c r="C7" s="143"/>
      <c r="D7" s="143"/>
      <c r="E7" s="143"/>
      <c r="F7" s="143"/>
      <c r="G7" s="143"/>
      <c r="H7" s="143"/>
      <c r="I7" s="143"/>
      <c r="J7" s="143"/>
      <c r="K7" s="143"/>
      <c r="L7" s="143"/>
      <c r="M7" s="143"/>
      <c r="N7" s="143"/>
      <c r="O7" s="143"/>
      <c r="P7" s="249"/>
      <c r="Q7" s="143"/>
      <c r="R7" s="143"/>
      <c r="S7" s="143"/>
      <c r="T7" s="143"/>
      <c r="U7" s="143"/>
      <c r="V7" s="143"/>
      <c r="W7" s="143"/>
      <c r="X7" s="143"/>
      <c r="Y7" s="143"/>
      <c r="Z7" s="143"/>
      <c r="AA7" s="143"/>
      <c r="AB7" s="143"/>
      <c r="AC7" s="143"/>
    </row>
    <row r="8" spans="1:30" s="151" customFormat="1" x14ac:dyDescent="0.2">
      <c r="A8" s="144">
        <v>1</v>
      </c>
      <c r="B8" s="160" t="str">
        <f>INDEX(lista.activos,$A8)</f>
        <v>Predio</v>
      </c>
      <c r="C8" s="160"/>
      <c r="D8" s="160"/>
      <c r="E8" s="160"/>
      <c r="F8" s="160"/>
      <c r="G8" s="160"/>
      <c r="H8" s="160"/>
      <c r="I8" s="160"/>
      <c r="J8" s="160"/>
      <c r="K8" s="160"/>
      <c r="L8" s="160"/>
      <c r="M8" s="160"/>
      <c r="N8" s="160"/>
      <c r="O8" s="160"/>
      <c r="P8" s="250"/>
      <c r="Q8" s="160"/>
      <c r="R8" s="160"/>
      <c r="S8" s="160"/>
      <c r="T8" s="160"/>
      <c r="U8" s="160"/>
      <c r="V8" s="160"/>
      <c r="W8" s="160"/>
      <c r="X8" s="160"/>
      <c r="Y8" s="160"/>
      <c r="Z8" s="160"/>
      <c r="AA8" s="160"/>
      <c r="AB8" s="160"/>
      <c r="AC8" s="160"/>
    </row>
    <row r="9" spans="1:30" s="151" customFormat="1" x14ac:dyDescent="0.2">
      <c r="B9" s="144"/>
      <c r="C9" s="307" t="s">
        <v>991</v>
      </c>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144"/>
    </row>
    <row r="10" spans="1:30" ht="48" x14ac:dyDescent="0.2">
      <c r="D10" s="161" t="s">
        <v>149</v>
      </c>
      <c r="E10" s="161" t="s">
        <v>203</v>
      </c>
      <c r="F10" s="161" t="s">
        <v>248</v>
      </c>
      <c r="G10" s="161" t="s">
        <v>497</v>
      </c>
      <c r="I10" s="161" t="s">
        <v>643</v>
      </c>
      <c r="J10" s="161" t="s">
        <v>251</v>
      </c>
      <c r="K10" s="161" t="s">
        <v>996</v>
      </c>
      <c r="L10" s="161" t="s">
        <v>491</v>
      </c>
      <c r="M10" s="161" t="s">
        <v>251</v>
      </c>
      <c r="N10" s="161" t="s">
        <v>638</v>
      </c>
      <c r="O10" s="161"/>
      <c r="P10" s="261" t="s">
        <v>760</v>
      </c>
      <c r="Q10" s="161" t="s">
        <v>251</v>
      </c>
      <c r="R10" s="161" t="s">
        <v>640</v>
      </c>
      <c r="S10" s="161" t="s">
        <v>252</v>
      </c>
      <c r="T10" s="161" t="s">
        <v>251</v>
      </c>
      <c r="U10" s="161" t="s">
        <v>641</v>
      </c>
      <c r="W10" s="161" t="s">
        <v>919</v>
      </c>
      <c r="X10" s="161" t="s">
        <v>920</v>
      </c>
      <c r="Y10" s="161" t="s">
        <v>933</v>
      </c>
      <c r="Z10" s="161" t="s">
        <v>918</v>
      </c>
      <c r="AA10" s="161" t="s">
        <v>501</v>
      </c>
    </row>
    <row r="11" spans="1:30" x14ac:dyDescent="0.2">
      <c r="A11" s="151"/>
      <c r="C11" s="155">
        <v>1</v>
      </c>
      <c r="D11" s="124" t="s">
        <v>191</v>
      </c>
      <c r="E11" s="124" t="s">
        <v>199</v>
      </c>
      <c r="F11" s="124" t="s">
        <v>193</v>
      </c>
      <c r="G11" s="155" t="str">
        <f>D11&amp;E11&amp;F11</f>
        <v>TerrenoTelcelDistrito Federal</v>
      </c>
      <c r="I11" s="260">
        <v>0</v>
      </c>
      <c r="J11" s="265">
        <v>0.03</v>
      </c>
      <c r="K11" s="235">
        <f t="shared" ref="K11:K42" si="0">(I11*(1+J11)^$C$5)*((1+sens.capex.unitarios))</f>
        <v>0</v>
      </c>
      <c r="L11" s="321">
        <v>6160</v>
      </c>
      <c r="M11" s="265">
        <v>0.03</v>
      </c>
      <c r="N11" s="194">
        <f t="shared" ref="N11:N42" si="1">(L11*(1+M11)^$C$5)*((1+sens.capex.unitarios))</f>
        <v>6344.8</v>
      </c>
      <c r="P11" s="262">
        <v>0</v>
      </c>
      <c r="Q11" s="265">
        <v>0.03</v>
      </c>
      <c r="R11" s="235">
        <f t="shared" ref="R11:R42" si="2">(P11*(1+Q11)^$C$5)*(1+sens.opex.unitarios)</f>
        <v>0</v>
      </c>
      <c r="S11" s="260">
        <v>0</v>
      </c>
      <c r="T11" s="265">
        <v>0.03</v>
      </c>
      <c r="U11" s="235">
        <f t="shared" ref="U11:U42" si="3">(S11*(1+T11)^$C$5)*(1+sens.opex.unitarios)</f>
        <v>0</v>
      </c>
      <c r="W11" s="338">
        <v>80</v>
      </c>
      <c r="X11" s="338">
        <v>80</v>
      </c>
      <c r="Y11" s="263"/>
      <c r="Z11" s="230">
        <f t="shared" ref="Z11:Z42" si="4">INDEX(W11:Y11,vida.util.activo.indice)</f>
        <v>80</v>
      </c>
      <c r="AA11" s="230">
        <f>MAX(0,Z11-$C$5)</f>
        <v>79</v>
      </c>
    </row>
    <row r="12" spans="1:30" outlineLevel="1" x14ac:dyDescent="0.2">
      <c r="A12" s="151"/>
      <c r="C12" s="155">
        <f>C11+1</f>
        <v>2</v>
      </c>
      <c r="D12" s="124" t="s">
        <v>191</v>
      </c>
      <c r="E12" s="124" t="s">
        <v>199</v>
      </c>
      <c r="F12" s="124" t="s">
        <v>195</v>
      </c>
      <c r="G12" s="155" t="str">
        <f t="shared" ref="G12:G42" si="5">D12&amp;E12&amp;F12</f>
        <v>TerrenoTelcelUrbano</v>
      </c>
      <c r="I12" s="260">
        <v>0</v>
      </c>
      <c r="J12" s="265">
        <v>0.03</v>
      </c>
      <c r="K12" s="235">
        <f t="shared" si="0"/>
        <v>0</v>
      </c>
      <c r="L12" s="321">
        <v>11440</v>
      </c>
      <c r="M12" s="265">
        <v>0.03</v>
      </c>
      <c r="N12" s="194">
        <f t="shared" si="1"/>
        <v>11783.2</v>
      </c>
      <c r="P12" s="262">
        <v>0</v>
      </c>
      <c r="Q12" s="265">
        <v>0.03</v>
      </c>
      <c r="R12" s="235">
        <f t="shared" si="2"/>
        <v>0</v>
      </c>
      <c r="S12" s="260">
        <v>0</v>
      </c>
      <c r="T12" s="265">
        <v>0.03</v>
      </c>
      <c r="U12" s="235">
        <f t="shared" si="3"/>
        <v>0</v>
      </c>
      <c r="W12" s="338">
        <f>$W$11</f>
        <v>80</v>
      </c>
      <c r="X12" s="328">
        <f>$W$11</f>
        <v>80</v>
      </c>
      <c r="Y12" s="263"/>
      <c r="Z12" s="230">
        <f t="shared" si="4"/>
        <v>80</v>
      </c>
      <c r="AA12" s="230">
        <f t="shared" ref="AA12:AA42" si="6">MAX(0,Z12-$C$5)</f>
        <v>79</v>
      </c>
    </row>
    <row r="13" spans="1:30" outlineLevel="1" x14ac:dyDescent="0.2">
      <c r="C13" s="155">
        <f t="shared" ref="C13:C42" si="7">C12+1</f>
        <v>3</v>
      </c>
      <c r="D13" s="124" t="s">
        <v>191</v>
      </c>
      <c r="E13" s="124" t="s">
        <v>199</v>
      </c>
      <c r="F13" s="124" t="s">
        <v>196</v>
      </c>
      <c r="G13" s="155" t="str">
        <f t="shared" si="5"/>
        <v>TerrenoTelcelRural</v>
      </c>
      <c r="I13" s="260">
        <v>0</v>
      </c>
      <c r="J13" s="265">
        <v>0.03</v>
      </c>
      <c r="K13" s="235">
        <f t="shared" si="0"/>
        <v>0</v>
      </c>
      <c r="L13" s="321">
        <v>7680</v>
      </c>
      <c r="M13" s="265">
        <v>0.03</v>
      </c>
      <c r="N13" s="194">
        <f t="shared" si="1"/>
        <v>7910.4000000000005</v>
      </c>
      <c r="P13" s="262">
        <v>0</v>
      </c>
      <c r="Q13" s="265">
        <v>0.03</v>
      </c>
      <c r="R13" s="235">
        <f t="shared" si="2"/>
        <v>0</v>
      </c>
      <c r="S13" s="260">
        <v>0</v>
      </c>
      <c r="T13" s="265">
        <v>0.03</v>
      </c>
      <c r="U13" s="235">
        <f t="shared" si="3"/>
        <v>0</v>
      </c>
      <c r="W13" s="338">
        <f t="shared" ref="W13:X42" si="8">$W$11</f>
        <v>80</v>
      </c>
      <c r="X13" s="328">
        <f t="shared" si="8"/>
        <v>80</v>
      </c>
      <c r="Y13" s="263"/>
      <c r="Z13" s="230">
        <f t="shared" si="4"/>
        <v>80</v>
      </c>
      <c r="AA13" s="230">
        <f t="shared" si="6"/>
        <v>79</v>
      </c>
    </row>
    <row r="14" spans="1:30" outlineLevel="1" x14ac:dyDescent="0.2">
      <c r="C14" s="155">
        <f t="shared" si="7"/>
        <v>4</v>
      </c>
      <c r="D14" s="124" t="s">
        <v>191</v>
      </c>
      <c r="E14" s="124" t="s">
        <v>199</v>
      </c>
      <c r="F14" s="124" t="s">
        <v>197</v>
      </c>
      <c r="G14" s="155" t="str">
        <f t="shared" si="5"/>
        <v>TerrenoTelcelCarreteras</v>
      </c>
      <c r="I14" s="260">
        <v>0</v>
      </c>
      <c r="J14" s="265">
        <v>0.03</v>
      </c>
      <c r="K14" s="235">
        <f t="shared" si="0"/>
        <v>0</v>
      </c>
      <c r="L14" s="321">
        <v>5920</v>
      </c>
      <c r="M14" s="265">
        <v>0.03</v>
      </c>
      <c r="N14" s="194">
        <f t="shared" si="1"/>
        <v>6097.6</v>
      </c>
      <c r="P14" s="262">
        <v>0</v>
      </c>
      <c r="Q14" s="265">
        <v>0.03</v>
      </c>
      <c r="R14" s="235">
        <f t="shared" si="2"/>
        <v>0</v>
      </c>
      <c r="S14" s="260">
        <v>0</v>
      </c>
      <c r="T14" s="265">
        <v>0.03</v>
      </c>
      <c r="U14" s="235">
        <f t="shared" si="3"/>
        <v>0</v>
      </c>
      <c r="W14" s="338">
        <f t="shared" si="8"/>
        <v>80</v>
      </c>
      <c r="X14" s="328">
        <f t="shared" si="8"/>
        <v>80</v>
      </c>
      <c r="Y14" s="263"/>
      <c r="Z14" s="230">
        <f t="shared" si="4"/>
        <v>80</v>
      </c>
      <c r="AA14" s="230">
        <f t="shared" si="6"/>
        <v>79</v>
      </c>
    </row>
    <row r="15" spans="1:30" outlineLevel="1" x14ac:dyDescent="0.2">
      <c r="C15" s="155">
        <f t="shared" si="7"/>
        <v>5</v>
      </c>
      <c r="D15" s="124" t="s">
        <v>191</v>
      </c>
      <c r="E15" s="124" t="s">
        <v>200</v>
      </c>
      <c r="F15" s="124" t="s">
        <v>193</v>
      </c>
      <c r="G15" s="155" t="str">
        <f t="shared" si="5"/>
        <v>TerrenoTelmex / TelnorDistrito Federal</v>
      </c>
      <c r="I15" s="234">
        <f>I11</f>
        <v>0</v>
      </c>
      <c r="J15" s="172">
        <f t="shared" ref="J15:M15" si="9">J11</f>
        <v>0.03</v>
      </c>
      <c r="K15" s="235">
        <f t="shared" si="0"/>
        <v>0</v>
      </c>
      <c r="L15" s="321">
        <f t="shared" si="9"/>
        <v>6160</v>
      </c>
      <c r="M15" s="172">
        <f t="shared" si="9"/>
        <v>0.03</v>
      </c>
      <c r="N15" s="194">
        <f t="shared" si="1"/>
        <v>6344.8</v>
      </c>
      <c r="P15" s="229">
        <f>P11</f>
        <v>0</v>
      </c>
      <c r="Q15" s="172">
        <f t="shared" ref="Q15:T15" si="10">Q11</f>
        <v>0.03</v>
      </c>
      <c r="R15" s="235">
        <f t="shared" si="2"/>
        <v>0</v>
      </c>
      <c r="S15" s="234">
        <f t="shared" si="10"/>
        <v>0</v>
      </c>
      <c r="T15" s="172">
        <f t="shared" si="10"/>
        <v>0.03</v>
      </c>
      <c r="U15" s="235">
        <f t="shared" si="3"/>
        <v>0</v>
      </c>
      <c r="W15" s="338">
        <f t="shared" si="8"/>
        <v>80</v>
      </c>
      <c r="X15" s="328">
        <f t="shared" si="8"/>
        <v>80</v>
      </c>
      <c r="Y15" s="263"/>
      <c r="Z15" s="230">
        <f t="shared" si="4"/>
        <v>80</v>
      </c>
      <c r="AA15" s="230">
        <f t="shared" si="6"/>
        <v>79</v>
      </c>
    </row>
    <row r="16" spans="1:30" outlineLevel="1" x14ac:dyDescent="0.2">
      <c r="C16" s="155">
        <f t="shared" si="7"/>
        <v>6</v>
      </c>
      <c r="D16" s="124" t="s">
        <v>191</v>
      </c>
      <c r="E16" s="124" t="s">
        <v>200</v>
      </c>
      <c r="F16" s="124" t="s">
        <v>195</v>
      </c>
      <c r="G16" s="155" t="str">
        <f t="shared" si="5"/>
        <v>TerrenoTelmex / TelnorUrbano</v>
      </c>
      <c r="I16" s="234">
        <f t="shared" ref="I16:M18" si="11">I12</f>
        <v>0</v>
      </c>
      <c r="J16" s="172">
        <f t="shared" si="11"/>
        <v>0.03</v>
      </c>
      <c r="K16" s="235">
        <f t="shared" si="0"/>
        <v>0</v>
      </c>
      <c r="L16" s="321">
        <f t="shared" si="11"/>
        <v>11440</v>
      </c>
      <c r="M16" s="172">
        <f t="shared" si="11"/>
        <v>0.03</v>
      </c>
      <c r="N16" s="194">
        <f t="shared" si="1"/>
        <v>11783.2</v>
      </c>
      <c r="P16" s="229">
        <f t="shared" ref="P16:T18" si="12">P12</f>
        <v>0</v>
      </c>
      <c r="Q16" s="172">
        <f t="shared" si="12"/>
        <v>0.03</v>
      </c>
      <c r="R16" s="235">
        <f t="shared" si="2"/>
        <v>0</v>
      </c>
      <c r="S16" s="234">
        <f t="shared" si="12"/>
        <v>0</v>
      </c>
      <c r="T16" s="172">
        <f t="shared" si="12"/>
        <v>0.03</v>
      </c>
      <c r="U16" s="235">
        <f t="shared" si="3"/>
        <v>0</v>
      </c>
      <c r="W16" s="338">
        <f t="shared" si="8"/>
        <v>80</v>
      </c>
      <c r="X16" s="328">
        <f t="shared" si="8"/>
        <v>80</v>
      </c>
      <c r="Y16" s="263"/>
      <c r="Z16" s="230">
        <f t="shared" si="4"/>
        <v>80</v>
      </c>
      <c r="AA16" s="230">
        <f t="shared" si="6"/>
        <v>79</v>
      </c>
    </row>
    <row r="17" spans="1:27" outlineLevel="1" x14ac:dyDescent="0.2">
      <c r="C17" s="155">
        <f t="shared" si="7"/>
        <v>7</v>
      </c>
      <c r="D17" s="124" t="s">
        <v>191</v>
      </c>
      <c r="E17" s="124" t="s">
        <v>200</v>
      </c>
      <c r="F17" s="124" t="s">
        <v>196</v>
      </c>
      <c r="G17" s="155" t="str">
        <f t="shared" si="5"/>
        <v>TerrenoTelmex / TelnorRural</v>
      </c>
      <c r="I17" s="234">
        <f t="shared" si="11"/>
        <v>0</v>
      </c>
      <c r="J17" s="172">
        <f t="shared" si="11"/>
        <v>0.03</v>
      </c>
      <c r="K17" s="235">
        <f t="shared" si="0"/>
        <v>0</v>
      </c>
      <c r="L17" s="321">
        <f t="shared" si="11"/>
        <v>7680</v>
      </c>
      <c r="M17" s="172">
        <f t="shared" si="11"/>
        <v>0.03</v>
      </c>
      <c r="N17" s="194">
        <f t="shared" si="1"/>
        <v>7910.4000000000005</v>
      </c>
      <c r="P17" s="229">
        <f t="shared" si="12"/>
        <v>0</v>
      </c>
      <c r="Q17" s="172">
        <f t="shared" si="12"/>
        <v>0.03</v>
      </c>
      <c r="R17" s="235">
        <f t="shared" si="2"/>
        <v>0</v>
      </c>
      <c r="S17" s="234">
        <f t="shared" si="12"/>
        <v>0</v>
      </c>
      <c r="T17" s="172">
        <f t="shared" si="12"/>
        <v>0.03</v>
      </c>
      <c r="U17" s="235">
        <f t="shared" si="3"/>
        <v>0</v>
      </c>
      <c r="W17" s="338">
        <f t="shared" si="8"/>
        <v>80</v>
      </c>
      <c r="X17" s="328">
        <f t="shared" si="8"/>
        <v>80</v>
      </c>
      <c r="Y17" s="263"/>
      <c r="Z17" s="230">
        <f t="shared" si="4"/>
        <v>80</v>
      </c>
      <c r="AA17" s="230">
        <f t="shared" si="6"/>
        <v>79</v>
      </c>
    </row>
    <row r="18" spans="1:27" outlineLevel="1" x14ac:dyDescent="0.2">
      <c r="C18" s="155">
        <f t="shared" si="7"/>
        <v>8</v>
      </c>
      <c r="D18" s="124" t="s">
        <v>191</v>
      </c>
      <c r="E18" s="124" t="s">
        <v>200</v>
      </c>
      <c r="F18" s="124" t="s">
        <v>197</v>
      </c>
      <c r="G18" s="155" t="str">
        <f t="shared" si="5"/>
        <v>TerrenoTelmex / TelnorCarreteras</v>
      </c>
      <c r="I18" s="234">
        <f t="shared" si="11"/>
        <v>0</v>
      </c>
      <c r="J18" s="172">
        <f t="shared" si="11"/>
        <v>0.03</v>
      </c>
      <c r="K18" s="235">
        <f t="shared" si="0"/>
        <v>0</v>
      </c>
      <c r="L18" s="321">
        <f t="shared" si="11"/>
        <v>5920</v>
      </c>
      <c r="M18" s="172">
        <f t="shared" si="11"/>
        <v>0.03</v>
      </c>
      <c r="N18" s="194">
        <f t="shared" si="1"/>
        <v>6097.6</v>
      </c>
      <c r="P18" s="229">
        <f t="shared" si="12"/>
        <v>0</v>
      </c>
      <c r="Q18" s="172">
        <f t="shared" si="12"/>
        <v>0.03</v>
      </c>
      <c r="R18" s="235">
        <f t="shared" si="2"/>
        <v>0</v>
      </c>
      <c r="S18" s="234">
        <f t="shared" si="12"/>
        <v>0</v>
      </c>
      <c r="T18" s="172">
        <f t="shared" si="12"/>
        <v>0.03</v>
      </c>
      <c r="U18" s="235">
        <f t="shared" si="3"/>
        <v>0</v>
      </c>
      <c r="W18" s="338">
        <f t="shared" si="8"/>
        <v>80</v>
      </c>
      <c r="X18" s="328">
        <f t="shared" si="8"/>
        <v>80</v>
      </c>
      <c r="Y18" s="263"/>
      <c r="Z18" s="230">
        <f t="shared" si="4"/>
        <v>80</v>
      </c>
      <c r="AA18" s="230">
        <f t="shared" si="6"/>
        <v>79</v>
      </c>
    </row>
    <row r="19" spans="1:27" outlineLevel="1" x14ac:dyDescent="0.2">
      <c r="C19" s="155">
        <f t="shared" si="7"/>
        <v>9</v>
      </c>
      <c r="D19" s="124" t="s">
        <v>191</v>
      </c>
      <c r="E19" s="124" t="s">
        <v>201</v>
      </c>
      <c r="F19" s="124" t="s">
        <v>193</v>
      </c>
      <c r="G19" s="155" t="str">
        <f t="shared" si="5"/>
        <v>TerrenoTercero en arrendamientoDistrito Federal</v>
      </c>
      <c r="I19" s="260">
        <v>0</v>
      </c>
      <c r="J19" s="265">
        <v>0.03</v>
      </c>
      <c r="K19" s="235">
        <f t="shared" si="0"/>
        <v>0</v>
      </c>
      <c r="L19" s="260">
        <v>0</v>
      </c>
      <c r="M19" s="265">
        <v>0.03</v>
      </c>
      <c r="N19" s="194">
        <f t="shared" si="1"/>
        <v>0</v>
      </c>
      <c r="P19" s="322">
        <v>14903.678556000001</v>
      </c>
      <c r="Q19" s="265">
        <v>0.03</v>
      </c>
      <c r="R19" s="235">
        <f t="shared" si="2"/>
        <v>15350.788912680002</v>
      </c>
      <c r="S19" s="260">
        <v>0</v>
      </c>
      <c r="T19" s="265">
        <v>0.03</v>
      </c>
      <c r="U19" s="235">
        <f t="shared" si="3"/>
        <v>0</v>
      </c>
      <c r="W19" s="338">
        <f t="shared" si="8"/>
        <v>80</v>
      </c>
      <c r="X19" s="328">
        <f t="shared" si="8"/>
        <v>80</v>
      </c>
      <c r="Y19" s="263"/>
      <c r="Z19" s="230">
        <f t="shared" si="4"/>
        <v>80</v>
      </c>
      <c r="AA19" s="230">
        <f t="shared" si="6"/>
        <v>79</v>
      </c>
    </row>
    <row r="20" spans="1:27" outlineLevel="1" x14ac:dyDescent="0.2">
      <c r="C20" s="155">
        <f t="shared" si="7"/>
        <v>10</v>
      </c>
      <c r="D20" s="124" t="s">
        <v>191</v>
      </c>
      <c r="E20" s="124" t="s">
        <v>201</v>
      </c>
      <c r="F20" s="124" t="s">
        <v>195</v>
      </c>
      <c r="G20" s="155" t="str">
        <f t="shared" si="5"/>
        <v>TerrenoTercero en arrendamientoUrbano</v>
      </c>
      <c r="I20" s="260">
        <v>0</v>
      </c>
      <c r="J20" s="265">
        <v>0.03</v>
      </c>
      <c r="K20" s="235">
        <f t="shared" si="0"/>
        <v>0</v>
      </c>
      <c r="L20" s="260">
        <v>0</v>
      </c>
      <c r="M20" s="265">
        <v>0.03</v>
      </c>
      <c r="N20" s="194">
        <f t="shared" si="1"/>
        <v>0</v>
      </c>
      <c r="P20" s="322">
        <v>24648.391458000002</v>
      </c>
      <c r="Q20" s="265">
        <v>0.03</v>
      </c>
      <c r="R20" s="235">
        <f t="shared" si="2"/>
        <v>25387.843201740001</v>
      </c>
      <c r="S20" s="260">
        <v>0</v>
      </c>
      <c r="T20" s="265">
        <v>0.03</v>
      </c>
      <c r="U20" s="235">
        <f t="shared" si="3"/>
        <v>0</v>
      </c>
      <c r="W20" s="338">
        <f t="shared" si="8"/>
        <v>80</v>
      </c>
      <c r="X20" s="328">
        <f t="shared" si="8"/>
        <v>80</v>
      </c>
      <c r="Y20" s="263"/>
      <c r="Z20" s="230">
        <f t="shared" si="4"/>
        <v>80</v>
      </c>
      <c r="AA20" s="230">
        <f t="shared" si="6"/>
        <v>79</v>
      </c>
    </row>
    <row r="21" spans="1:27" outlineLevel="1" x14ac:dyDescent="0.2">
      <c r="C21" s="155">
        <f t="shared" si="7"/>
        <v>11</v>
      </c>
      <c r="D21" s="124" t="s">
        <v>191</v>
      </c>
      <c r="E21" s="124" t="s">
        <v>201</v>
      </c>
      <c r="F21" s="124" t="s">
        <v>196</v>
      </c>
      <c r="G21" s="155" t="str">
        <f t="shared" si="5"/>
        <v>TerrenoTercero en arrendamientoRural</v>
      </c>
      <c r="I21" s="260">
        <v>0</v>
      </c>
      <c r="J21" s="265">
        <v>0.03</v>
      </c>
      <c r="K21" s="235">
        <f t="shared" si="0"/>
        <v>0</v>
      </c>
      <c r="L21" s="260">
        <v>0</v>
      </c>
      <c r="M21" s="265">
        <v>0.03</v>
      </c>
      <c r="N21" s="194">
        <f t="shared" si="1"/>
        <v>0</v>
      </c>
      <c r="P21" s="322">
        <v>15094.751358000001</v>
      </c>
      <c r="Q21" s="265">
        <v>0.03</v>
      </c>
      <c r="R21" s="235">
        <f t="shared" si="2"/>
        <v>15547.593898740002</v>
      </c>
      <c r="S21" s="260">
        <v>0</v>
      </c>
      <c r="T21" s="265">
        <v>0.03</v>
      </c>
      <c r="U21" s="235">
        <f t="shared" si="3"/>
        <v>0</v>
      </c>
      <c r="W21" s="338">
        <f t="shared" si="8"/>
        <v>80</v>
      </c>
      <c r="X21" s="328">
        <f t="shared" si="8"/>
        <v>80</v>
      </c>
      <c r="Y21" s="263"/>
      <c r="Z21" s="230">
        <f t="shared" si="4"/>
        <v>80</v>
      </c>
      <c r="AA21" s="230">
        <f t="shared" si="6"/>
        <v>79</v>
      </c>
    </row>
    <row r="22" spans="1:27" outlineLevel="1" x14ac:dyDescent="0.2">
      <c r="C22" s="155">
        <f t="shared" si="7"/>
        <v>12</v>
      </c>
      <c r="D22" s="124" t="s">
        <v>191</v>
      </c>
      <c r="E22" s="124" t="s">
        <v>201</v>
      </c>
      <c r="F22" s="124" t="s">
        <v>197</v>
      </c>
      <c r="G22" s="155" t="str">
        <f t="shared" si="5"/>
        <v>TerrenoTercero en arrendamientoCarreteras</v>
      </c>
      <c r="I22" s="260">
        <v>0</v>
      </c>
      <c r="J22" s="265">
        <v>0.03</v>
      </c>
      <c r="K22" s="235">
        <f t="shared" si="0"/>
        <v>0</v>
      </c>
      <c r="L22" s="260">
        <v>0</v>
      </c>
      <c r="M22" s="265">
        <v>0.03</v>
      </c>
      <c r="N22" s="194">
        <f t="shared" si="1"/>
        <v>0</v>
      </c>
      <c r="P22" s="322">
        <v>16050.115368000001</v>
      </c>
      <c r="Q22" s="265">
        <v>0.03</v>
      </c>
      <c r="R22" s="235">
        <f t="shared" si="2"/>
        <v>16531.618829040002</v>
      </c>
      <c r="S22" s="260">
        <v>0</v>
      </c>
      <c r="T22" s="265">
        <v>0.03</v>
      </c>
      <c r="U22" s="235">
        <f t="shared" si="3"/>
        <v>0</v>
      </c>
      <c r="W22" s="338">
        <f t="shared" si="8"/>
        <v>80</v>
      </c>
      <c r="X22" s="328">
        <f t="shared" si="8"/>
        <v>80</v>
      </c>
      <c r="Y22" s="263"/>
      <c r="Z22" s="230">
        <f t="shared" si="4"/>
        <v>80</v>
      </c>
      <c r="AA22" s="230">
        <f t="shared" si="6"/>
        <v>79</v>
      </c>
    </row>
    <row r="23" spans="1:27" outlineLevel="1" x14ac:dyDescent="0.2">
      <c r="C23" s="155">
        <f t="shared" si="7"/>
        <v>13</v>
      </c>
      <c r="D23" s="124" t="s">
        <v>191</v>
      </c>
      <c r="E23" s="124" t="s">
        <v>202</v>
      </c>
      <c r="F23" s="124" t="s">
        <v>193</v>
      </c>
      <c r="G23" s="155" t="str">
        <f t="shared" si="5"/>
        <v>TerrenoTercero en comodatoDistrito Federal</v>
      </c>
      <c r="I23" s="260">
        <v>0</v>
      </c>
      <c r="J23" s="265">
        <v>0.03</v>
      </c>
      <c r="K23" s="235">
        <f t="shared" si="0"/>
        <v>0</v>
      </c>
      <c r="L23" s="260">
        <v>0</v>
      </c>
      <c r="M23" s="265">
        <v>0.03</v>
      </c>
      <c r="N23" s="194">
        <f t="shared" si="1"/>
        <v>0</v>
      </c>
      <c r="P23" s="262">
        <v>0</v>
      </c>
      <c r="Q23" s="265">
        <v>0.03</v>
      </c>
      <c r="R23" s="235">
        <f t="shared" si="2"/>
        <v>0</v>
      </c>
      <c r="S23" s="260">
        <v>0</v>
      </c>
      <c r="T23" s="265">
        <v>0.03</v>
      </c>
      <c r="U23" s="235">
        <f t="shared" si="3"/>
        <v>0</v>
      </c>
      <c r="W23" s="338">
        <f t="shared" si="8"/>
        <v>80</v>
      </c>
      <c r="X23" s="328">
        <f t="shared" si="8"/>
        <v>80</v>
      </c>
      <c r="Y23" s="263"/>
      <c r="Z23" s="230">
        <f t="shared" si="4"/>
        <v>80</v>
      </c>
      <c r="AA23" s="230">
        <f t="shared" si="6"/>
        <v>79</v>
      </c>
    </row>
    <row r="24" spans="1:27" outlineLevel="1" x14ac:dyDescent="0.2">
      <c r="C24" s="155">
        <f t="shared" si="7"/>
        <v>14</v>
      </c>
      <c r="D24" s="124" t="s">
        <v>191</v>
      </c>
      <c r="E24" s="124" t="s">
        <v>202</v>
      </c>
      <c r="F24" s="124" t="s">
        <v>195</v>
      </c>
      <c r="G24" s="155" t="str">
        <f t="shared" si="5"/>
        <v>TerrenoTercero en comodatoUrbano</v>
      </c>
      <c r="I24" s="260">
        <v>0</v>
      </c>
      <c r="J24" s="265">
        <v>0.03</v>
      </c>
      <c r="K24" s="235">
        <f t="shared" si="0"/>
        <v>0</v>
      </c>
      <c r="L24" s="260">
        <v>0</v>
      </c>
      <c r="M24" s="265">
        <v>0.03</v>
      </c>
      <c r="N24" s="194">
        <f t="shared" si="1"/>
        <v>0</v>
      </c>
      <c r="P24" s="262">
        <v>0</v>
      </c>
      <c r="Q24" s="265">
        <v>0.03</v>
      </c>
      <c r="R24" s="235">
        <f t="shared" si="2"/>
        <v>0</v>
      </c>
      <c r="S24" s="260">
        <v>0</v>
      </c>
      <c r="T24" s="265">
        <v>0.03</v>
      </c>
      <c r="U24" s="235">
        <f t="shared" si="3"/>
        <v>0</v>
      </c>
      <c r="W24" s="338">
        <f t="shared" si="8"/>
        <v>80</v>
      </c>
      <c r="X24" s="328">
        <f t="shared" si="8"/>
        <v>80</v>
      </c>
      <c r="Y24" s="263"/>
      <c r="Z24" s="230">
        <f t="shared" si="4"/>
        <v>80</v>
      </c>
      <c r="AA24" s="230">
        <f t="shared" si="6"/>
        <v>79</v>
      </c>
    </row>
    <row r="25" spans="1:27" outlineLevel="1" x14ac:dyDescent="0.2">
      <c r="C25" s="155">
        <f t="shared" si="7"/>
        <v>15</v>
      </c>
      <c r="D25" s="124" t="s">
        <v>191</v>
      </c>
      <c r="E25" s="124" t="s">
        <v>202</v>
      </c>
      <c r="F25" s="124" t="s">
        <v>196</v>
      </c>
      <c r="G25" s="155" t="str">
        <f t="shared" si="5"/>
        <v>TerrenoTercero en comodatoRural</v>
      </c>
      <c r="I25" s="260">
        <v>0</v>
      </c>
      <c r="J25" s="265">
        <v>0.03</v>
      </c>
      <c r="K25" s="235">
        <f t="shared" si="0"/>
        <v>0</v>
      </c>
      <c r="L25" s="260">
        <v>0</v>
      </c>
      <c r="M25" s="265">
        <v>0.03</v>
      </c>
      <c r="N25" s="194">
        <f t="shared" si="1"/>
        <v>0</v>
      </c>
      <c r="P25" s="262">
        <v>0</v>
      </c>
      <c r="Q25" s="265">
        <v>0.03</v>
      </c>
      <c r="R25" s="235">
        <f t="shared" si="2"/>
        <v>0</v>
      </c>
      <c r="S25" s="260">
        <v>0</v>
      </c>
      <c r="T25" s="265">
        <v>0.03</v>
      </c>
      <c r="U25" s="235">
        <f t="shared" si="3"/>
        <v>0</v>
      </c>
      <c r="W25" s="338">
        <f t="shared" si="8"/>
        <v>80</v>
      </c>
      <c r="X25" s="328">
        <f t="shared" si="8"/>
        <v>80</v>
      </c>
      <c r="Y25" s="263"/>
      <c r="Z25" s="230">
        <f t="shared" si="4"/>
        <v>80</v>
      </c>
      <c r="AA25" s="230">
        <f t="shared" si="6"/>
        <v>79</v>
      </c>
    </row>
    <row r="26" spans="1:27" outlineLevel="1" x14ac:dyDescent="0.2">
      <c r="C26" s="155">
        <f t="shared" si="7"/>
        <v>16</v>
      </c>
      <c r="D26" s="124" t="s">
        <v>191</v>
      </c>
      <c r="E26" s="124" t="s">
        <v>202</v>
      </c>
      <c r="F26" s="124" t="s">
        <v>197</v>
      </c>
      <c r="G26" s="155" t="str">
        <f t="shared" si="5"/>
        <v>TerrenoTercero en comodatoCarreteras</v>
      </c>
      <c r="I26" s="260">
        <v>0</v>
      </c>
      <c r="J26" s="265">
        <v>0.03</v>
      </c>
      <c r="K26" s="235">
        <f t="shared" si="0"/>
        <v>0</v>
      </c>
      <c r="L26" s="260">
        <v>0</v>
      </c>
      <c r="M26" s="265">
        <v>0.03</v>
      </c>
      <c r="N26" s="194">
        <f t="shared" si="1"/>
        <v>0</v>
      </c>
      <c r="P26" s="262">
        <v>0</v>
      </c>
      <c r="Q26" s="265">
        <v>0.03</v>
      </c>
      <c r="R26" s="235">
        <f t="shared" si="2"/>
        <v>0</v>
      </c>
      <c r="S26" s="260">
        <v>0</v>
      </c>
      <c r="T26" s="265">
        <v>0.03</v>
      </c>
      <c r="U26" s="235">
        <f t="shared" si="3"/>
        <v>0</v>
      </c>
      <c r="W26" s="338">
        <f t="shared" si="8"/>
        <v>80</v>
      </c>
      <c r="X26" s="328">
        <f t="shared" si="8"/>
        <v>80</v>
      </c>
      <c r="Y26" s="263"/>
      <c r="Z26" s="230">
        <f t="shared" si="4"/>
        <v>80</v>
      </c>
      <c r="AA26" s="230">
        <f t="shared" si="6"/>
        <v>79</v>
      </c>
    </row>
    <row r="27" spans="1:27" outlineLevel="1" x14ac:dyDescent="0.2">
      <c r="C27" s="155">
        <f t="shared" si="7"/>
        <v>17</v>
      </c>
      <c r="D27" s="124" t="s">
        <v>667</v>
      </c>
      <c r="E27" s="124" t="s">
        <v>199</v>
      </c>
      <c r="F27" s="124" t="s">
        <v>193</v>
      </c>
      <c r="G27" s="155" t="str">
        <f t="shared" si="5"/>
        <v>AzoteaTelcelDistrito Federal</v>
      </c>
      <c r="I27" s="260">
        <v>0</v>
      </c>
      <c r="J27" s="265">
        <v>0.03</v>
      </c>
      <c r="K27" s="235">
        <f t="shared" si="0"/>
        <v>0</v>
      </c>
      <c r="L27" s="321">
        <v>11000</v>
      </c>
      <c r="M27" s="265">
        <v>0.03</v>
      </c>
      <c r="N27" s="194">
        <f t="shared" si="1"/>
        <v>11330</v>
      </c>
      <c r="P27" s="262">
        <v>0</v>
      </c>
      <c r="Q27" s="265">
        <v>0.03</v>
      </c>
      <c r="R27" s="235">
        <f t="shared" si="2"/>
        <v>0</v>
      </c>
      <c r="S27" s="260">
        <v>0</v>
      </c>
      <c r="T27" s="265">
        <v>0.03</v>
      </c>
      <c r="U27" s="235">
        <f t="shared" si="3"/>
        <v>0</v>
      </c>
      <c r="W27" s="338">
        <f t="shared" si="8"/>
        <v>80</v>
      </c>
      <c r="X27" s="328">
        <f t="shared" si="8"/>
        <v>80</v>
      </c>
      <c r="Y27" s="263"/>
      <c r="Z27" s="230">
        <f t="shared" si="4"/>
        <v>80</v>
      </c>
      <c r="AA27" s="230">
        <f t="shared" si="6"/>
        <v>79</v>
      </c>
    </row>
    <row r="28" spans="1:27" outlineLevel="1" x14ac:dyDescent="0.2">
      <c r="C28" s="155">
        <f t="shared" si="7"/>
        <v>18</v>
      </c>
      <c r="D28" s="124" t="s">
        <v>667</v>
      </c>
      <c r="E28" s="124" t="s">
        <v>199</v>
      </c>
      <c r="F28" s="124" t="s">
        <v>195</v>
      </c>
      <c r="G28" s="155" t="str">
        <f t="shared" si="5"/>
        <v>AzoteaTelcelUrbano</v>
      </c>
      <c r="I28" s="260">
        <v>0</v>
      </c>
      <c r="J28" s="265">
        <v>0.03</v>
      </c>
      <c r="K28" s="235">
        <f t="shared" si="0"/>
        <v>0</v>
      </c>
      <c r="L28" s="321">
        <v>11264</v>
      </c>
      <c r="M28" s="265">
        <v>0.03</v>
      </c>
      <c r="N28" s="194">
        <f t="shared" si="1"/>
        <v>11601.92</v>
      </c>
      <c r="P28" s="262">
        <v>0</v>
      </c>
      <c r="Q28" s="265">
        <v>0.03</v>
      </c>
      <c r="R28" s="235">
        <f t="shared" si="2"/>
        <v>0</v>
      </c>
      <c r="S28" s="260">
        <v>0</v>
      </c>
      <c r="T28" s="265">
        <v>0.03</v>
      </c>
      <c r="U28" s="235">
        <f t="shared" si="3"/>
        <v>0</v>
      </c>
      <c r="W28" s="338">
        <f t="shared" si="8"/>
        <v>80</v>
      </c>
      <c r="X28" s="328">
        <f t="shared" si="8"/>
        <v>80</v>
      </c>
      <c r="Y28" s="263"/>
      <c r="Z28" s="230">
        <f t="shared" si="4"/>
        <v>80</v>
      </c>
      <c r="AA28" s="230">
        <f t="shared" si="6"/>
        <v>79</v>
      </c>
    </row>
    <row r="29" spans="1:27" outlineLevel="1" x14ac:dyDescent="0.2">
      <c r="C29" s="155">
        <f t="shared" si="7"/>
        <v>19</v>
      </c>
      <c r="D29" s="124" t="s">
        <v>667</v>
      </c>
      <c r="E29" s="124" t="s">
        <v>199</v>
      </c>
      <c r="F29" s="124" t="s">
        <v>196</v>
      </c>
      <c r="G29" s="155" t="str">
        <f t="shared" si="5"/>
        <v>AzoteaTelcelRural</v>
      </c>
      <c r="I29" s="260">
        <v>0</v>
      </c>
      <c r="J29" s="265">
        <v>0.03</v>
      </c>
      <c r="K29" s="235">
        <f t="shared" si="0"/>
        <v>0</v>
      </c>
      <c r="L29" s="321">
        <v>5680</v>
      </c>
      <c r="M29" s="265">
        <v>0.03</v>
      </c>
      <c r="N29" s="194">
        <f t="shared" si="1"/>
        <v>5850.4000000000005</v>
      </c>
      <c r="P29" s="262">
        <v>0</v>
      </c>
      <c r="Q29" s="265">
        <v>0.03</v>
      </c>
      <c r="R29" s="235">
        <f t="shared" si="2"/>
        <v>0</v>
      </c>
      <c r="S29" s="260">
        <v>0</v>
      </c>
      <c r="T29" s="265">
        <v>0.03</v>
      </c>
      <c r="U29" s="235">
        <f t="shared" si="3"/>
        <v>0</v>
      </c>
      <c r="W29" s="338">
        <f t="shared" si="8"/>
        <v>80</v>
      </c>
      <c r="X29" s="328">
        <f t="shared" si="8"/>
        <v>80</v>
      </c>
      <c r="Y29" s="263"/>
      <c r="Z29" s="230">
        <f t="shared" si="4"/>
        <v>80</v>
      </c>
      <c r="AA29" s="230">
        <f t="shared" si="6"/>
        <v>79</v>
      </c>
    </row>
    <row r="30" spans="1:27" outlineLevel="1" x14ac:dyDescent="0.2">
      <c r="C30" s="155">
        <f t="shared" si="7"/>
        <v>20</v>
      </c>
      <c r="D30" s="124" t="s">
        <v>667</v>
      </c>
      <c r="E30" s="124" t="s">
        <v>199</v>
      </c>
      <c r="F30" s="124" t="s">
        <v>197</v>
      </c>
      <c r="G30" s="155" t="str">
        <f t="shared" si="5"/>
        <v>AzoteaTelcelCarreteras</v>
      </c>
      <c r="I30" s="260">
        <v>0</v>
      </c>
      <c r="J30" s="265">
        <v>0.03</v>
      </c>
      <c r="K30" s="235">
        <f t="shared" si="0"/>
        <v>0</v>
      </c>
      <c r="L30" s="321">
        <v>6480</v>
      </c>
      <c r="M30" s="265">
        <v>0.03</v>
      </c>
      <c r="N30" s="194">
        <f t="shared" si="1"/>
        <v>6674.4000000000005</v>
      </c>
      <c r="P30" s="262">
        <v>0</v>
      </c>
      <c r="Q30" s="265">
        <v>0.03</v>
      </c>
      <c r="R30" s="235">
        <f t="shared" si="2"/>
        <v>0</v>
      </c>
      <c r="S30" s="260">
        <v>0</v>
      </c>
      <c r="T30" s="265">
        <v>0.03</v>
      </c>
      <c r="U30" s="235">
        <f t="shared" si="3"/>
        <v>0</v>
      </c>
      <c r="W30" s="338">
        <f t="shared" si="8"/>
        <v>80</v>
      </c>
      <c r="X30" s="328">
        <f t="shared" si="8"/>
        <v>80</v>
      </c>
      <c r="Y30" s="263"/>
      <c r="Z30" s="230">
        <f t="shared" si="4"/>
        <v>80</v>
      </c>
      <c r="AA30" s="230">
        <f t="shared" si="6"/>
        <v>79</v>
      </c>
    </row>
    <row r="31" spans="1:27" outlineLevel="1" x14ac:dyDescent="0.2">
      <c r="A31" s="151"/>
      <c r="C31" s="155">
        <f t="shared" si="7"/>
        <v>21</v>
      </c>
      <c r="D31" s="124" t="s">
        <v>667</v>
      </c>
      <c r="E31" s="124" t="s">
        <v>200</v>
      </c>
      <c r="F31" s="124" t="s">
        <v>193</v>
      </c>
      <c r="G31" s="155" t="str">
        <f t="shared" si="5"/>
        <v>AzoteaTelmex / TelnorDistrito Federal</v>
      </c>
      <c r="I31" s="260">
        <v>0</v>
      </c>
      <c r="J31" s="265">
        <v>0.03</v>
      </c>
      <c r="K31" s="235">
        <f t="shared" si="0"/>
        <v>0</v>
      </c>
      <c r="L31" s="308">
        <f>IF(opcion.costo.unitario.azotea.telmex.telnor.activo=L!C236,0,IF(opcion.costo.unitario.azotea.telmex.telnor.activo=L!C237,'Costos unitarios'!L35,IF(opcion.costo.unitario.azotea.telmex.telnor.activo=L!C238,costo.unitario.capex.azotea.OR.telmex.activo,0)))</f>
        <v>0</v>
      </c>
      <c r="M31" s="265">
        <v>0.03</v>
      </c>
      <c r="N31" s="194">
        <f t="shared" si="1"/>
        <v>0</v>
      </c>
      <c r="P31" s="258">
        <f>IF(opcion.costo.unitario.azotea.telmex.telnor.activo=L!$C$236,0,IF(opcion.costo.unitario.azotea.telmex.telnor.activo=L!$C$237,'Costos unitarios'!P35,IF(opcion.costo.unitario.azotea.telmex.telnor.activo=L!$C$238,costo.unitario.opex.azotea.OR.telmex.activo*area.total.predio,0)))</f>
        <v>14521.532952000001</v>
      </c>
      <c r="Q31" s="265">
        <v>0.03</v>
      </c>
      <c r="R31" s="235">
        <f t="shared" si="2"/>
        <v>14957.178940560001</v>
      </c>
      <c r="S31" s="260">
        <v>0</v>
      </c>
      <c r="T31" s="265">
        <v>0.03</v>
      </c>
      <c r="U31" s="235">
        <f t="shared" si="3"/>
        <v>0</v>
      </c>
      <c r="W31" s="338">
        <f t="shared" si="8"/>
        <v>80</v>
      </c>
      <c r="X31" s="328">
        <f t="shared" si="8"/>
        <v>80</v>
      </c>
      <c r="Y31" s="263"/>
      <c r="Z31" s="230">
        <f t="shared" si="4"/>
        <v>80</v>
      </c>
      <c r="AA31" s="230">
        <f t="shared" si="6"/>
        <v>79</v>
      </c>
    </row>
    <row r="32" spans="1:27" outlineLevel="1" x14ac:dyDescent="0.2">
      <c r="C32" s="155">
        <f t="shared" si="7"/>
        <v>22</v>
      </c>
      <c r="D32" s="124" t="s">
        <v>667</v>
      </c>
      <c r="E32" s="124" t="s">
        <v>200</v>
      </c>
      <c r="F32" s="124" t="s">
        <v>195</v>
      </c>
      <c r="G32" s="155" t="str">
        <f t="shared" si="5"/>
        <v>AzoteaTelmex / TelnorUrbano</v>
      </c>
      <c r="I32" s="260">
        <v>0</v>
      </c>
      <c r="J32" s="265">
        <v>0.03</v>
      </c>
      <c r="K32" s="235">
        <f t="shared" si="0"/>
        <v>0</v>
      </c>
      <c r="L32" s="308">
        <f>IF(opcion.costo.unitario.azotea.telmex.telnor.activo=L!C236,0,IF(opcion.costo.unitario.azotea.telmex.telnor.activo=L!C237,'Costos unitarios'!L36,IF(opcion.costo.unitario.azotea.telmex.telnor.activo=L!C238,costo.unitario.capex.azotea.OR.telmex.activo,0)))</f>
        <v>0</v>
      </c>
      <c r="M32" s="265">
        <v>0.03</v>
      </c>
      <c r="N32" s="194">
        <f t="shared" si="1"/>
        <v>0</v>
      </c>
      <c r="P32" s="258">
        <f>IF(opcion.costo.unitario.azotea.telmex.telnor.activo=L!$C$236,0,IF(opcion.costo.unitario.azotea.telmex.telnor.activo=L!$C$237,'Costos unitarios'!P36,IF(opcion.costo.unitario.azotea.telmex.telnor.activo=L!$C$238,costo.unitario.opex.azotea.OR.telmex.activo*area.total.predio,0)))</f>
        <v>14330.460150000001</v>
      </c>
      <c r="Q32" s="265">
        <v>0.03</v>
      </c>
      <c r="R32" s="235">
        <f t="shared" si="2"/>
        <v>14760.373954500001</v>
      </c>
      <c r="S32" s="260">
        <v>0</v>
      </c>
      <c r="T32" s="265">
        <v>0.03</v>
      </c>
      <c r="U32" s="235">
        <f t="shared" si="3"/>
        <v>0</v>
      </c>
      <c r="W32" s="338">
        <f t="shared" si="8"/>
        <v>80</v>
      </c>
      <c r="X32" s="328">
        <f t="shared" si="8"/>
        <v>80</v>
      </c>
      <c r="Y32" s="263"/>
      <c r="Z32" s="230">
        <f t="shared" si="4"/>
        <v>80</v>
      </c>
      <c r="AA32" s="230">
        <f t="shared" si="6"/>
        <v>79</v>
      </c>
    </row>
    <row r="33" spans="1:29" outlineLevel="1" x14ac:dyDescent="0.2">
      <c r="C33" s="155">
        <f t="shared" si="7"/>
        <v>23</v>
      </c>
      <c r="D33" s="124" t="s">
        <v>667</v>
      </c>
      <c r="E33" s="124" t="s">
        <v>200</v>
      </c>
      <c r="F33" s="124" t="s">
        <v>196</v>
      </c>
      <c r="G33" s="155" t="str">
        <f t="shared" si="5"/>
        <v>AzoteaTelmex / TelnorRural</v>
      </c>
      <c r="I33" s="260">
        <v>0</v>
      </c>
      <c r="J33" s="265">
        <v>0.03</v>
      </c>
      <c r="K33" s="235">
        <f t="shared" si="0"/>
        <v>0</v>
      </c>
      <c r="L33" s="308">
        <f>IF(opcion.costo.unitario.azotea.telmex.telnor.activo=L!C236,0,IF(opcion.costo.unitario.azotea.telmex.telnor.activo=L!C237,'Costos unitarios'!L37,IF(opcion.costo.unitario.azotea.telmex.telnor.activo=L!C238,costo.unitario.capex.azotea.OR.telmex.activo,0)))</f>
        <v>0</v>
      </c>
      <c r="M33" s="265">
        <v>0.03</v>
      </c>
      <c r="N33" s="194">
        <f t="shared" si="1"/>
        <v>0</v>
      </c>
      <c r="P33" s="258">
        <f>IF(opcion.costo.unitario.azotea.telmex.telnor.activo=L!$C$236,0,IF(opcion.costo.unitario.azotea.telmex.telnor.activo=L!$C$237,'Costos unitarios'!P37,IF(opcion.costo.unitario.azotea.telmex.telnor.activo=L!$C$238,costo.unitario.opex.azotea.OR.telmex.activo*area.total.predio,0)))</f>
        <v>23884.100250000003</v>
      </c>
      <c r="Q33" s="265">
        <v>0.03</v>
      </c>
      <c r="R33" s="235">
        <f t="shared" si="2"/>
        <v>24600.623257500003</v>
      </c>
      <c r="S33" s="260">
        <v>0</v>
      </c>
      <c r="T33" s="265">
        <v>0.03</v>
      </c>
      <c r="U33" s="235">
        <f t="shared" si="3"/>
        <v>0</v>
      </c>
      <c r="W33" s="338">
        <f t="shared" si="8"/>
        <v>80</v>
      </c>
      <c r="X33" s="328">
        <f t="shared" si="8"/>
        <v>80</v>
      </c>
      <c r="Y33" s="263"/>
      <c r="Z33" s="230">
        <f t="shared" si="4"/>
        <v>80</v>
      </c>
      <c r="AA33" s="230">
        <f t="shared" si="6"/>
        <v>79</v>
      </c>
    </row>
    <row r="34" spans="1:29" outlineLevel="1" x14ac:dyDescent="0.2">
      <c r="C34" s="155">
        <f t="shared" si="7"/>
        <v>24</v>
      </c>
      <c r="D34" s="124" t="s">
        <v>667</v>
      </c>
      <c r="E34" s="124" t="s">
        <v>200</v>
      </c>
      <c r="F34" s="124" t="s">
        <v>197</v>
      </c>
      <c r="G34" s="155" t="str">
        <f t="shared" si="5"/>
        <v>AzoteaTelmex / TelnorCarreteras</v>
      </c>
      <c r="I34" s="260">
        <v>0</v>
      </c>
      <c r="J34" s="265">
        <v>0.03</v>
      </c>
      <c r="K34" s="235">
        <f t="shared" si="0"/>
        <v>0</v>
      </c>
      <c r="L34" s="308">
        <f>IF(opcion.costo.unitario.azotea.telmex.telnor.activo=L!C236,0,IF(opcion.costo.unitario.azotea.telmex.telnor.activo=L!C237,'Costos unitarios'!L38,IF(opcion.costo.unitario.azotea.telmex.telnor.activo=L!C238,costo.unitario.capex.azotea.OR.telmex.activo,0)))</f>
        <v>0</v>
      </c>
      <c r="M34" s="265">
        <v>0.03</v>
      </c>
      <c r="N34" s="194">
        <f t="shared" si="1"/>
        <v>0</v>
      </c>
      <c r="P34" s="258">
        <f>IF(opcion.costo.unitario.azotea.telmex.telnor.activo=L!$C$236,0,IF(opcion.costo.unitario.azotea.telmex.telnor.activo=L!$C$237,'Costos unitarios'!P38,IF(opcion.costo.unitario.azotea.telmex.telnor.activo=L!$C$238,costo.unitario.opex.azotea.OR.telmex.activo*area.total.predio,0)))</f>
        <v>21782.299427999998</v>
      </c>
      <c r="Q34" s="265">
        <v>0.03</v>
      </c>
      <c r="R34" s="235">
        <f t="shared" si="2"/>
        <v>22435.768410839999</v>
      </c>
      <c r="S34" s="260">
        <v>0</v>
      </c>
      <c r="T34" s="265">
        <v>0.03</v>
      </c>
      <c r="U34" s="235">
        <f t="shared" si="3"/>
        <v>0</v>
      </c>
      <c r="W34" s="338">
        <f t="shared" si="8"/>
        <v>80</v>
      </c>
      <c r="X34" s="328">
        <f t="shared" si="8"/>
        <v>80</v>
      </c>
      <c r="Y34" s="263"/>
      <c r="Z34" s="230">
        <f t="shared" si="4"/>
        <v>80</v>
      </c>
      <c r="AA34" s="230">
        <f t="shared" si="6"/>
        <v>79</v>
      </c>
    </row>
    <row r="35" spans="1:29" outlineLevel="1" x14ac:dyDescent="0.2">
      <c r="C35" s="155">
        <f t="shared" si="7"/>
        <v>25</v>
      </c>
      <c r="D35" s="124" t="s">
        <v>667</v>
      </c>
      <c r="E35" s="124" t="s">
        <v>201</v>
      </c>
      <c r="F35" s="124" t="s">
        <v>193</v>
      </c>
      <c r="G35" s="155" t="str">
        <f t="shared" si="5"/>
        <v>AzoteaTercero en arrendamientoDistrito Federal</v>
      </c>
      <c r="I35" s="260">
        <v>0</v>
      </c>
      <c r="J35" s="265">
        <v>0.03</v>
      </c>
      <c r="K35" s="235">
        <f t="shared" si="0"/>
        <v>0</v>
      </c>
      <c r="L35" s="260">
        <v>0</v>
      </c>
      <c r="M35" s="265">
        <v>0.03</v>
      </c>
      <c r="N35" s="194">
        <f t="shared" si="1"/>
        <v>0</v>
      </c>
      <c r="P35" s="322">
        <v>14521.532952000001</v>
      </c>
      <c r="Q35" s="265">
        <v>0.03</v>
      </c>
      <c r="R35" s="235">
        <f t="shared" si="2"/>
        <v>14957.178940560001</v>
      </c>
      <c r="S35" s="260">
        <v>0</v>
      </c>
      <c r="T35" s="265">
        <v>0.03</v>
      </c>
      <c r="U35" s="235">
        <f t="shared" si="3"/>
        <v>0</v>
      </c>
      <c r="W35" s="338">
        <f t="shared" si="8"/>
        <v>80</v>
      </c>
      <c r="X35" s="328">
        <f t="shared" si="8"/>
        <v>80</v>
      </c>
      <c r="Y35" s="263"/>
      <c r="Z35" s="230">
        <f t="shared" si="4"/>
        <v>80</v>
      </c>
      <c r="AA35" s="230">
        <f t="shared" si="6"/>
        <v>79</v>
      </c>
    </row>
    <row r="36" spans="1:29" outlineLevel="1" x14ac:dyDescent="0.2">
      <c r="C36" s="155">
        <f t="shared" si="7"/>
        <v>26</v>
      </c>
      <c r="D36" s="124" t="s">
        <v>667</v>
      </c>
      <c r="E36" s="124" t="s">
        <v>201</v>
      </c>
      <c r="F36" s="124" t="s">
        <v>195</v>
      </c>
      <c r="G36" s="155" t="str">
        <f t="shared" si="5"/>
        <v>AzoteaTercero en arrendamientoUrbano</v>
      </c>
      <c r="I36" s="260">
        <v>0</v>
      </c>
      <c r="J36" s="265">
        <v>0.03</v>
      </c>
      <c r="K36" s="235">
        <f t="shared" si="0"/>
        <v>0</v>
      </c>
      <c r="L36" s="260">
        <v>0</v>
      </c>
      <c r="M36" s="265">
        <v>0.03</v>
      </c>
      <c r="N36" s="194">
        <f t="shared" si="1"/>
        <v>0</v>
      </c>
      <c r="P36" s="322">
        <v>14330.460150000001</v>
      </c>
      <c r="Q36" s="265">
        <v>0.03</v>
      </c>
      <c r="R36" s="235">
        <f t="shared" si="2"/>
        <v>14760.373954500001</v>
      </c>
      <c r="S36" s="260">
        <v>0</v>
      </c>
      <c r="T36" s="265">
        <v>0.03</v>
      </c>
      <c r="U36" s="235">
        <f t="shared" si="3"/>
        <v>0</v>
      </c>
      <c r="W36" s="338">
        <f t="shared" si="8"/>
        <v>80</v>
      </c>
      <c r="X36" s="328">
        <f t="shared" si="8"/>
        <v>80</v>
      </c>
      <c r="Y36" s="263"/>
      <c r="Z36" s="230">
        <f t="shared" si="4"/>
        <v>80</v>
      </c>
      <c r="AA36" s="230">
        <f t="shared" si="6"/>
        <v>79</v>
      </c>
    </row>
    <row r="37" spans="1:29" outlineLevel="1" x14ac:dyDescent="0.2">
      <c r="C37" s="155">
        <f t="shared" si="7"/>
        <v>27</v>
      </c>
      <c r="D37" s="124" t="s">
        <v>667</v>
      </c>
      <c r="E37" s="124" t="s">
        <v>201</v>
      </c>
      <c r="F37" s="124" t="s">
        <v>196</v>
      </c>
      <c r="G37" s="155" t="str">
        <f t="shared" si="5"/>
        <v>AzoteaTercero en arrendamientoRural</v>
      </c>
      <c r="I37" s="260">
        <v>0</v>
      </c>
      <c r="J37" s="265">
        <v>0.03</v>
      </c>
      <c r="K37" s="235">
        <f t="shared" si="0"/>
        <v>0</v>
      </c>
      <c r="L37" s="260">
        <v>0</v>
      </c>
      <c r="M37" s="265">
        <v>0.03</v>
      </c>
      <c r="N37" s="194">
        <f t="shared" si="1"/>
        <v>0</v>
      </c>
      <c r="P37" s="322">
        <v>23884.100250000003</v>
      </c>
      <c r="Q37" s="265">
        <v>0.03</v>
      </c>
      <c r="R37" s="235">
        <f t="shared" si="2"/>
        <v>24600.623257500003</v>
      </c>
      <c r="S37" s="260">
        <v>0</v>
      </c>
      <c r="T37" s="265">
        <v>0.03</v>
      </c>
      <c r="U37" s="235">
        <f t="shared" si="3"/>
        <v>0</v>
      </c>
      <c r="W37" s="338">
        <f t="shared" si="8"/>
        <v>80</v>
      </c>
      <c r="X37" s="328">
        <f t="shared" si="8"/>
        <v>80</v>
      </c>
      <c r="Y37" s="263"/>
      <c r="Z37" s="230">
        <f t="shared" si="4"/>
        <v>80</v>
      </c>
      <c r="AA37" s="230">
        <f t="shared" si="6"/>
        <v>79</v>
      </c>
    </row>
    <row r="38" spans="1:29" outlineLevel="1" x14ac:dyDescent="0.2">
      <c r="C38" s="155">
        <f t="shared" si="7"/>
        <v>28</v>
      </c>
      <c r="D38" s="124" t="s">
        <v>667</v>
      </c>
      <c r="E38" s="124" t="s">
        <v>201</v>
      </c>
      <c r="F38" s="124" t="s">
        <v>197</v>
      </c>
      <c r="G38" s="155" t="str">
        <f t="shared" si="5"/>
        <v>AzoteaTercero en arrendamientoCarreteras</v>
      </c>
      <c r="I38" s="260">
        <v>0</v>
      </c>
      <c r="J38" s="265">
        <v>0.03</v>
      </c>
      <c r="K38" s="235">
        <f t="shared" si="0"/>
        <v>0</v>
      </c>
      <c r="L38" s="260">
        <v>0</v>
      </c>
      <c r="M38" s="265">
        <v>0.03</v>
      </c>
      <c r="N38" s="194">
        <f t="shared" si="1"/>
        <v>0</v>
      </c>
      <c r="P38" s="322">
        <v>21782.299427999998</v>
      </c>
      <c r="Q38" s="265">
        <v>0.03</v>
      </c>
      <c r="R38" s="235">
        <f t="shared" si="2"/>
        <v>22435.768410839999</v>
      </c>
      <c r="S38" s="260">
        <v>0</v>
      </c>
      <c r="T38" s="265">
        <v>0.03</v>
      </c>
      <c r="U38" s="235">
        <f t="shared" si="3"/>
        <v>0</v>
      </c>
      <c r="W38" s="338">
        <f t="shared" si="8"/>
        <v>80</v>
      </c>
      <c r="X38" s="328">
        <f t="shared" si="8"/>
        <v>80</v>
      </c>
      <c r="Y38" s="263"/>
      <c r="Z38" s="230">
        <f t="shared" si="4"/>
        <v>80</v>
      </c>
      <c r="AA38" s="230">
        <f t="shared" si="6"/>
        <v>79</v>
      </c>
    </row>
    <row r="39" spans="1:29" outlineLevel="1" x14ac:dyDescent="0.2">
      <c r="C39" s="155">
        <f t="shared" si="7"/>
        <v>29</v>
      </c>
      <c r="D39" s="124" t="s">
        <v>667</v>
      </c>
      <c r="E39" s="124" t="s">
        <v>202</v>
      </c>
      <c r="F39" s="124" t="s">
        <v>193</v>
      </c>
      <c r="G39" s="155" t="str">
        <f t="shared" si="5"/>
        <v>AzoteaTercero en comodatoDistrito Federal</v>
      </c>
      <c r="I39" s="260">
        <v>0</v>
      </c>
      <c r="J39" s="265">
        <v>0.03</v>
      </c>
      <c r="K39" s="235">
        <f t="shared" si="0"/>
        <v>0</v>
      </c>
      <c r="L39" s="260">
        <v>0</v>
      </c>
      <c r="M39" s="265">
        <v>0.03</v>
      </c>
      <c r="N39" s="194">
        <f t="shared" si="1"/>
        <v>0</v>
      </c>
      <c r="P39" s="262">
        <v>0</v>
      </c>
      <c r="Q39" s="265">
        <v>0.03</v>
      </c>
      <c r="R39" s="235">
        <f t="shared" si="2"/>
        <v>0</v>
      </c>
      <c r="S39" s="260">
        <v>0</v>
      </c>
      <c r="T39" s="265">
        <v>0.03</v>
      </c>
      <c r="U39" s="235">
        <f t="shared" si="3"/>
        <v>0</v>
      </c>
      <c r="W39" s="338">
        <f t="shared" si="8"/>
        <v>80</v>
      </c>
      <c r="X39" s="328">
        <f t="shared" si="8"/>
        <v>80</v>
      </c>
      <c r="Y39" s="263"/>
      <c r="Z39" s="230">
        <f t="shared" si="4"/>
        <v>80</v>
      </c>
      <c r="AA39" s="230">
        <f t="shared" si="6"/>
        <v>79</v>
      </c>
    </row>
    <row r="40" spans="1:29" outlineLevel="1" x14ac:dyDescent="0.2">
      <c r="C40" s="155">
        <f t="shared" si="7"/>
        <v>30</v>
      </c>
      <c r="D40" s="124" t="s">
        <v>667</v>
      </c>
      <c r="E40" s="124" t="s">
        <v>202</v>
      </c>
      <c r="F40" s="124" t="s">
        <v>195</v>
      </c>
      <c r="G40" s="155" t="str">
        <f t="shared" si="5"/>
        <v>AzoteaTercero en comodatoUrbano</v>
      </c>
      <c r="I40" s="260">
        <v>0</v>
      </c>
      <c r="J40" s="265">
        <v>0.03</v>
      </c>
      <c r="K40" s="235">
        <f t="shared" si="0"/>
        <v>0</v>
      </c>
      <c r="L40" s="260">
        <v>0</v>
      </c>
      <c r="M40" s="265">
        <v>0.03</v>
      </c>
      <c r="N40" s="194">
        <f t="shared" si="1"/>
        <v>0</v>
      </c>
      <c r="P40" s="262">
        <v>0</v>
      </c>
      <c r="Q40" s="265">
        <v>0.03</v>
      </c>
      <c r="R40" s="235">
        <f t="shared" si="2"/>
        <v>0</v>
      </c>
      <c r="S40" s="260">
        <v>0</v>
      </c>
      <c r="T40" s="265">
        <v>0.03</v>
      </c>
      <c r="U40" s="235">
        <f t="shared" si="3"/>
        <v>0</v>
      </c>
      <c r="W40" s="338">
        <f t="shared" si="8"/>
        <v>80</v>
      </c>
      <c r="X40" s="328">
        <f t="shared" si="8"/>
        <v>80</v>
      </c>
      <c r="Y40" s="263"/>
      <c r="Z40" s="230">
        <f t="shared" si="4"/>
        <v>80</v>
      </c>
      <c r="AA40" s="230">
        <f t="shared" si="6"/>
        <v>79</v>
      </c>
    </row>
    <row r="41" spans="1:29" outlineLevel="1" x14ac:dyDescent="0.2">
      <c r="C41" s="155">
        <f t="shared" si="7"/>
        <v>31</v>
      </c>
      <c r="D41" s="124" t="s">
        <v>667</v>
      </c>
      <c r="E41" s="124" t="s">
        <v>202</v>
      </c>
      <c r="F41" s="124" t="s">
        <v>196</v>
      </c>
      <c r="G41" s="155" t="str">
        <f t="shared" si="5"/>
        <v>AzoteaTercero en comodatoRural</v>
      </c>
      <c r="I41" s="260">
        <v>0</v>
      </c>
      <c r="J41" s="265">
        <v>0.03</v>
      </c>
      <c r="K41" s="235">
        <f t="shared" si="0"/>
        <v>0</v>
      </c>
      <c r="L41" s="260">
        <v>0</v>
      </c>
      <c r="M41" s="265">
        <v>0.03</v>
      </c>
      <c r="N41" s="194">
        <f t="shared" si="1"/>
        <v>0</v>
      </c>
      <c r="P41" s="262">
        <v>0</v>
      </c>
      <c r="Q41" s="265">
        <v>0.03</v>
      </c>
      <c r="R41" s="235">
        <f t="shared" si="2"/>
        <v>0</v>
      </c>
      <c r="S41" s="260">
        <v>0</v>
      </c>
      <c r="T41" s="265">
        <v>0.03</v>
      </c>
      <c r="U41" s="235">
        <f t="shared" si="3"/>
        <v>0</v>
      </c>
      <c r="W41" s="338">
        <f t="shared" si="8"/>
        <v>80</v>
      </c>
      <c r="X41" s="328">
        <f t="shared" si="8"/>
        <v>80</v>
      </c>
      <c r="Y41" s="263"/>
      <c r="Z41" s="230">
        <f t="shared" si="4"/>
        <v>80</v>
      </c>
      <c r="AA41" s="230">
        <f t="shared" si="6"/>
        <v>79</v>
      </c>
    </row>
    <row r="42" spans="1:29" outlineLevel="1" x14ac:dyDescent="0.2">
      <c r="C42" s="155">
        <f t="shared" si="7"/>
        <v>32</v>
      </c>
      <c r="D42" s="124" t="s">
        <v>667</v>
      </c>
      <c r="E42" s="124" t="s">
        <v>202</v>
      </c>
      <c r="F42" s="124" t="s">
        <v>197</v>
      </c>
      <c r="G42" s="155" t="str">
        <f t="shared" si="5"/>
        <v>AzoteaTercero en comodatoCarreteras</v>
      </c>
      <c r="I42" s="260">
        <v>0</v>
      </c>
      <c r="J42" s="265">
        <v>0.03</v>
      </c>
      <c r="K42" s="235">
        <f t="shared" si="0"/>
        <v>0</v>
      </c>
      <c r="L42" s="260">
        <v>0</v>
      </c>
      <c r="M42" s="265">
        <v>0.03</v>
      </c>
      <c r="N42" s="194">
        <f t="shared" si="1"/>
        <v>0</v>
      </c>
      <c r="P42" s="262">
        <v>0</v>
      </c>
      <c r="Q42" s="265">
        <v>0.03</v>
      </c>
      <c r="R42" s="235">
        <f t="shared" si="2"/>
        <v>0</v>
      </c>
      <c r="S42" s="260">
        <v>0</v>
      </c>
      <c r="T42" s="265">
        <v>0.03</v>
      </c>
      <c r="U42" s="235">
        <f t="shared" si="3"/>
        <v>0</v>
      </c>
      <c r="W42" s="338">
        <f t="shared" si="8"/>
        <v>80</v>
      </c>
      <c r="X42" s="328">
        <f t="shared" si="8"/>
        <v>80</v>
      </c>
      <c r="Y42" s="263"/>
      <c r="Z42" s="230">
        <f t="shared" si="4"/>
        <v>80</v>
      </c>
      <c r="AA42" s="230">
        <f t="shared" si="6"/>
        <v>79</v>
      </c>
    </row>
    <row r="43" spans="1:29" x14ac:dyDescent="0.2">
      <c r="G43" s="201" t="s">
        <v>498</v>
      </c>
      <c r="K43" s="259" t="s">
        <v>499</v>
      </c>
      <c r="N43" s="201" t="s">
        <v>500</v>
      </c>
      <c r="P43" s="151"/>
      <c r="R43" s="201" t="s">
        <v>504</v>
      </c>
      <c r="U43" s="201" t="s">
        <v>505</v>
      </c>
      <c r="Z43" s="201" t="s">
        <v>502</v>
      </c>
      <c r="AA43" s="201" t="s">
        <v>503</v>
      </c>
    </row>
    <row r="44" spans="1:29" s="151" customFormat="1" x14ac:dyDescent="0.2">
      <c r="G44" s="201"/>
      <c r="K44" s="259"/>
      <c r="N44" s="201"/>
      <c r="P44" s="3"/>
      <c r="R44" s="201"/>
      <c r="U44" s="201"/>
      <c r="Z44" s="201"/>
      <c r="AA44" s="201"/>
    </row>
    <row r="45" spans="1:29" s="151" customFormat="1" x14ac:dyDescent="0.2">
      <c r="A45" s="144">
        <v>2</v>
      </c>
      <c r="B45" s="160" t="str">
        <f>INDEX(lista.activos,$A45)</f>
        <v>Torre</v>
      </c>
      <c r="C45" s="160"/>
      <c r="D45" s="160"/>
      <c r="E45" s="160"/>
      <c r="F45" s="160"/>
      <c r="G45" s="160"/>
      <c r="H45" s="160"/>
      <c r="I45" s="160"/>
      <c r="J45" s="160"/>
      <c r="K45" s="160"/>
      <c r="L45" s="160"/>
      <c r="M45" s="160"/>
      <c r="N45" s="160"/>
      <c r="O45" s="160"/>
      <c r="P45" s="250"/>
      <c r="Q45" s="160"/>
      <c r="R45" s="160"/>
      <c r="S45" s="160"/>
      <c r="T45" s="160"/>
      <c r="U45" s="160"/>
      <c r="V45" s="160"/>
      <c r="W45" s="160"/>
      <c r="X45" s="160"/>
      <c r="Y45" s="160"/>
      <c r="Z45" s="160"/>
      <c r="AA45" s="160"/>
      <c r="AB45" s="160"/>
      <c r="AC45" s="160"/>
    </row>
    <row r="46" spans="1:29" ht="36" x14ac:dyDescent="0.2">
      <c r="A46" s="151"/>
      <c r="C46" s="151"/>
      <c r="D46" s="161" t="s">
        <v>148</v>
      </c>
      <c r="E46" s="161" t="s">
        <v>233</v>
      </c>
      <c r="F46" s="161" t="s">
        <v>963</v>
      </c>
      <c r="I46" s="161" t="s">
        <v>921</v>
      </c>
      <c r="J46" s="161" t="s">
        <v>251</v>
      </c>
      <c r="K46" s="161" t="s">
        <v>759</v>
      </c>
      <c r="L46" s="161" t="s">
        <v>1021</v>
      </c>
      <c r="M46" s="161" t="s">
        <v>251</v>
      </c>
      <c r="N46" s="161" t="s">
        <v>1022</v>
      </c>
      <c r="P46" s="261" t="s">
        <v>255</v>
      </c>
      <c r="Q46" s="161" t="s">
        <v>251</v>
      </c>
      <c r="R46" s="161" t="s">
        <v>254</v>
      </c>
      <c r="S46" s="161" t="s">
        <v>255</v>
      </c>
      <c r="W46" s="161" t="s">
        <v>919</v>
      </c>
      <c r="X46" s="161" t="s">
        <v>920</v>
      </c>
      <c r="Y46" s="161" t="s">
        <v>933</v>
      </c>
      <c r="Z46" s="161" t="s">
        <v>918</v>
      </c>
      <c r="AA46" s="161" t="s">
        <v>501</v>
      </c>
      <c r="AC46" s="151"/>
    </row>
    <row r="47" spans="1:29" x14ac:dyDescent="0.2">
      <c r="A47" s="151"/>
      <c r="C47" s="151"/>
      <c r="D47" s="153" t="s">
        <v>187</v>
      </c>
      <c r="E47" s="228">
        <v>12</v>
      </c>
      <c r="F47" s="153" t="s">
        <v>953</v>
      </c>
      <c r="G47" s="155" t="str">
        <f>D47&amp;E47&amp;F47</f>
        <v>Autosoportada12130-180 km/h</v>
      </c>
      <c r="I47" s="323">
        <v>912608.84</v>
      </c>
      <c r="J47" s="324">
        <v>4.7199999999999999E-2</v>
      </c>
      <c r="K47" s="194">
        <f t="shared" ref="K47:K58" si="13">(I47*(1+J47)^$C$5)*((1+sens.capex.unitarios))</f>
        <v>955683.97724799986</v>
      </c>
      <c r="L47" s="265"/>
      <c r="M47" s="265">
        <v>0.03</v>
      </c>
      <c r="N47" s="194">
        <f t="shared" ref="N47" si="14">(L47*(1+M47)^$C$5)*((1+sens.capex.unitarios))</f>
        <v>0</v>
      </c>
      <c r="P47" s="326">
        <v>24243.152400000003</v>
      </c>
      <c r="Q47" s="327">
        <v>0.122</v>
      </c>
      <c r="R47" s="265"/>
      <c r="S47" s="194">
        <f t="shared" ref="S47:S58" si="15">(P47*(1+Q47)^$C$5)*(1+sens.opex.unitarios)</f>
        <v>27200.816992799999</v>
      </c>
      <c r="W47" s="328">
        <v>55</v>
      </c>
      <c r="X47" s="328">
        <v>14.8</v>
      </c>
      <c r="Y47" s="263"/>
      <c r="Z47" s="230">
        <f t="shared" ref="Z47:Z58" si="16">INDEX(W47:Y47,vida.util.activo.indice)</f>
        <v>14.8</v>
      </c>
      <c r="AA47" s="230">
        <f>MAX(0,Z47-$C$5)</f>
        <v>13.8</v>
      </c>
    </row>
    <row r="48" spans="1:29" outlineLevel="1" x14ac:dyDescent="0.2">
      <c r="C48" s="155"/>
      <c r="D48" s="153" t="s">
        <v>187</v>
      </c>
      <c r="E48" s="228">
        <v>15</v>
      </c>
      <c r="F48" s="153" t="s">
        <v>953</v>
      </c>
      <c r="G48" s="155" t="str">
        <f t="shared" ref="G48:G111" si="17">D48&amp;E48&amp;F48</f>
        <v>Autosoportada15130-180 km/h</v>
      </c>
      <c r="I48" s="323">
        <v>749854.24800000002</v>
      </c>
      <c r="J48" s="324">
        <v>4.3200000000000002E-2</v>
      </c>
      <c r="K48" s="194">
        <f t="shared" si="13"/>
        <v>782247.95151359995</v>
      </c>
      <c r="L48" s="265"/>
      <c r="M48" s="265">
        <v>0.03</v>
      </c>
      <c r="N48" s="194">
        <f t="shared" ref="N48:N111" si="18">(L48*(1+M48)^$C$5)*((1+sens.capex.unitarios))</f>
        <v>0</v>
      </c>
      <c r="P48" s="326">
        <v>20892.472800000003</v>
      </c>
      <c r="Q48" s="327">
        <v>0.10900000000000001</v>
      </c>
      <c r="R48" s="265"/>
      <c r="S48" s="194">
        <f t="shared" si="15"/>
        <v>23169.752335200003</v>
      </c>
      <c r="W48" s="328">
        <f>$W$47</f>
        <v>55</v>
      </c>
      <c r="X48" s="328">
        <f>$X$47</f>
        <v>14.8</v>
      </c>
      <c r="Y48" s="263"/>
      <c r="Z48" s="230">
        <f t="shared" si="16"/>
        <v>14.8</v>
      </c>
      <c r="AA48" s="230">
        <f t="shared" ref="AA48:AA58" si="19">MAX(0,Z48-$C$5)</f>
        <v>13.8</v>
      </c>
    </row>
    <row r="49" spans="3:27" outlineLevel="1" x14ac:dyDescent="0.2">
      <c r="C49" s="155"/>
      <c r="D49" s="153" t="s">
        <v>187</v>
      </c>
      <c r="E49" s="228">
        <v>18</v>
      </c>
      <c r="F49" s="153" t="s">
        <v>953</v>
      </c>
      <c r="G49" s="155" t="str">
        <f t="shared" si="17"/>
        <v>Autosoportada18130-180 km/h</v>
      </c>
      <c r="I49" s="323">
        <v>935098.16399999999</v>
      </c>
      <c r="J49" s="324">
        <v>5.04E-2</v>
      </c>
      <c r="K49" s="194">
        <f t="shared" si="13"/>
        <v>982227.11146559997</v>
      </c>
      <c r="L49" s="265"/>
      <c r="M49" s="265">
        <v>0.03</v>
      </c>
      <c r="N49" s="194">
        <f t="shared" si="18"/>
        <v>0</v>
      </c>
      <c r="P49" s="326">
        <v>18133.089600000003</v>
      </c>
      <c r="Q49" s="327">
        <v>8.5000000000000006E-2</v>
      </c>
      <c r="R49" s="265"/>
      <c r="S49" s="194">
        <f t="shared" si="15"/>
        <v>19674.402216000002</v>
      </c>
      <c r="W49" s="328">
        <f t="shared" ref="W49:W112" si="20">$W$47</f>
        <v>55</v>
      </c>
      <c r="X49" s="328">
        <f t="shared" ref="X49:X112" si="21">$X$47</f>
        <v>14.8</v>
      </c>
      <c r="Y49" s="263"/>
      <c r="Z49" s="230">
        <f t="shared" si="16"/>
        <v>14.8</v>
      </c>
      <c r="AA49" s="230">
        <f t="shared" si="19"/>
        <v>13.8</v>
      </c>
    </row>
    <row r="50" spans="3:27" outlineLevel="1" x14ac:dyDescent="0.2">
      <c r="C50" s="155"/>
      <c r="D50" s="153" t="s">
        <v>187</v>
      </c>
      <c r="E50" s="228">
        <v>21</v>
      </c>
      <c r="F50" s="153" t="s">
        <v>953</v>
      </c>
      <c r="G50" s="155" t="str">
        <f t="shared" si="17"/>
        <v>Autosoportada21130-180 km/h</v>
      </c>
      <c r="I50" s="323">
        <v>1217144.5</v>
      </c>
      <c r="J50" s="324">
        <v>4.24E-2</v>
      </c>
      <c r="K50" s="194">
        <f t="shared" si="13"/>
        <v>1268751.4268</v>
      </c>
      <c r="L50" s="265"/>
      <c r="M50" s="265">
        <v>0.03</v>
      </c>
      <c r="N50" s="194">
        <f t="shared" si="18"/>
        <v>0</v>
      </c>
      <c r="P50" s="326">
        <v>18921.484800000002</v>
      </c>
      <c r="Q50" s="327">
        <v>0.13</v>
      </c>
      <c r="R50" s="265"/>
      <c r="S50" s="194">
        <f t="shared" si="15"/>
        <v>21381.277824000001</v>
      </c>
      <c r="W50" s="328">
        <f t="shared" si="20"/>
        <v>55</v>
      </c>
      <c r="X50" s="328">
        <f t="shared" si="21"/>
        <v>14.8</v>
      </c>
      <c r="Y50" s="263"/>
      <c r="Z50" s="230">
        <f t="shared" si="16"/>
        <v>14.8</v>
      </c>
      <c r="AA50" s="230">
        <f t="shared" si="19"/>
        <v>13.8</v>
      </c>
    </row>
    <row r="51" spans="3:27" outlineLevel="1" x14ac:dyDescent="0.2">
      <c r="C51" s="155"/>
      <c r="D51" s="153" t="s">
        <v>187</v>
      </c>
      <c r="E51" s="228">
        <v>24</v>
      </c>
      <c r="F51" s="153" t="s">
        <v>953</v>
      </c>
      <c r="G51" s="155" t="str">
        <f t="shared" si="17"/>
        <v>Autosoportada24130-180 km/h</v>
      </c>
      <c r="I51" s="323">
        <v>1020264.96</v>
      </c>
      <c r="J51" s="324">
        <v>3.8800000000000001E-2</v>
      </c>
      <c r="K51" s="194">
        <f t="shared" si="13"/>
        <v>1059851.2404479999</v>
      </c>
      <c r="L51" s="265"/>
      <c r="M51" s="265">
        <v>0.03</v>
      </c>
      <c r="N51" s="194">
        <f t="shared" si="18"/>
        <v>0</v>
      </c>
      <c r="P51" s="326">
        <v>21483.769200000002</v>
      </c>
      <c r="Q51" s="327">
        <v>0.127</v>
      </c>
      <c r="R51" s="265"/>
      <c r="S51" s="194">
        <f t="shared" si="15"/>
        <v>24212.207888400004</v>
      </c>
      <c r="W51" s="328">
        <f t="shared" si="20"/>
        <v>55</v>
      </c>
      <c r="X51" s="328">
        <f t="shared" si="21"/>
        <v>14.8</v>
      </c>
      <c r="Y51" s="263"/>
      <c r="Z51" s="230">
        <f t="shared" si="16"/>
        <v>14.8</v>
      </c>
      <c r="AA51" s="230">
        <f t="shared" si="19"/>
        <v>13.8</v>
      </c>
    </row>
    <row r="52" spans="3:27" outlineLevel="1" x14ac:dyDescent="0.2">
      <c r="C52" s="155"/>
      <c r="D52" s="153" t="s">
        <v>187</v>
      </c>
      <c r="E52" s="228">
        <v>27</v>
      </c>
      <c r="F52" s="153" t="s">
        <v>953</v>
      </c>
      <c r="G52" s="155" t="str">
        <f t="shared" si="17"/>
        <v>Autosoportada27130-180 km/h</v>
      </c>
      <c r="I52" s="323">
        <v>1150616.8959999999</v>
      </c>
      <c r="J52" s="324">
        <v>3.7600000000000001E-2</v>
      </c>
      <c r="K52" s="194">
        <f t="shared" si="13"/>
        <v>1193880.0912896001</v>
      </c>
      <c r="L52" s="265"/>
      <c r="M52" s="265">
        <v>0.03</v>
      </c>
      <c r="N52" s="194">
        <f t="shared" si="18"/>
        <v>0</v>
      </c>
      <c r="P52" s="326">
        <v>19315.682400000002</v>
      </c>
      <c r="Q52" s="327">
        <v>0.10900000000000001</v>
      </c>
      <c r="R52" s="265"/>
      <c r="S52" s="194">
        <f t="shared" si="15"/>
        <v>21421.0917816</v>
      </c>
      <c r="W52" s="328">
        <f t="shared" si="20"/>
        <v>55</v>
      </c>
      <c r="X52" s="328">
        <f t="shared" si="21"/>
        <v>14.8</v>
      </c>
      <c r="Y52" s="263"/>
      <c r="Z52" s="230">
        <f t="shared" si="16"/>
        <v>14.8</v>
      </c>
      <c r="AA52" s="230">
        <f t="shared" si="19"/>
        <v>13.8</v>
      </c>
    </row>
    <row r="53" spans="3:27" outlineLevel="1" x14ac:dyDescent="0.2">
      <c r="C53" s="155"/>
      <c r="D53" s="153" t="s">
        <v>187</v>
      </c>
      <c r="E53" s="228">
        <v>30</v>
      </c>
      <c r="F53" s="153" t="s">
        <v>953</v>
      </c>
      <c r="G53" s="155" t="str">
        <f t="shared" si="17"/>
        <v>Autosoportada30130-180 km/h</v>
      </c>
      <c r="I53" s="323">
        <v>1117725.18</v>
      </c>
      <c r="J53" s="324">
        <v>3.7600000000000001E-2</v>
      </c>
      <c r="K53" s="194">
        <f t="shared" si="13"/>
        <v>1159751.646768</v>
      </c>
      <c r="L53" s="265"/>
      <c r="M53" s="265">
        <v>0.03</v>
      </c>
      <c r="N53" s="194">
        <f t="shared" si="18"/>
        <v>0</v>
      </c>
      <c r="P53" s="326">
        <v>24243.152400000003</v>
      </c>
      <c r="Q53" s="327">
        <v>0.10800000000000001</v>
      </c>
      <c r="R53" s="265"/>
      <c r="S53" s="194">
        <f t="shared" si="15"/>
        <v>26861.412859200005</v>
      </c>
      <c r="W53" s="328">
        <f t="shared" si="20"/>
        <v>55</v>
      </c>
      <c r="X53" s="328">
        <f t="shared" si="21"/>
        <v>14.8</v>
      </c>
      <c r="Y53" s="263"/>
      <c r="Z53" s="230">
        <f t="shared" si="16"/>
        <v>14.8</v>
      </c>
      <c r="AA53" s="230">
        <f t="shared" si="19"/>
        <v>13.8</v>
      </c>
    </row>
    <row r="54" spans="3:27" outlineLevel="1" x14ac:dyDescent="0.2">
      <c r="C54" s="155"/>
      <c r="D54" s="153" t="s">
        <v>187</v>
      </c>
      <c r="E54" s="228">
        <v>33</v>
      </c>
      <c r="F54" s="153" t="s">
        <v>953</v>
      </c>
      <c r="G54" s="155" t="str">
        <f t="shared" si="17"/>
        <v>Autosoportada33130-180 km/h</v>
      </c>
      <c r="I54" s="323">
        <v>1295872.2920000001</v>
      </c>
      <c r="J54" s="324">
        <v>4.24E-2</v>
      </c>
      <c r="K54" s="194">
        <f t="shared" si="13"/>
        <v>1350817.2771808002</v>
      </c>
      <c r="L54" s="265"/>
      <c r="M54" s="265">
        <v>0.03</v>
      </c>
      <c r="N54" s="194">
        <f t="shared" si="18"/>
        <v>0</v>
      </c>
      <c r="P54" s="326">
        <v>22469.263199999998</v>
      </c>
      <c r="Q54" s="327">
        <v>9.3000000000000013E-2</v>
      </c>
      <c r="R54" s="265"/>
      <c r="S54" s="194">
        <f t="shared" si="15"/>
        <v>24558.904677599996</v>
      </c>
      <c r="W54" s="328">
        <f t="shared" si="20"/>
        <v>55</v>
      </c>
      <c r="X54" s="328">
        <f t="shared" si="21"/>
        <v>14.8</v>
      </c>
      <c r="Y54" s="263"/>
      <c r="Z54" s="230">
        <f t="shared" si="16"/>
        <v>14.8</v>
      </c>
      <c r="AA54" s="230">
        <f t="shared" si="19"/>
        <v>13.8</v>
      </c>
    </row>
    <row r="55" spans="3:27" outlineLevel="1" x14ac:dyDescent="0.2">
      <c r="C55" s="155"/>
      <c r="D55" s="153" t="s">
        <v>187</v>
      </c>
      <c r="E55" s="228">
        <v>36</v>
      </c>
      <c r="F55" s="153" t="s">
        <v>953</v>
      </c>
      <c r="G55" s="155" t="str">
        <f t="shared" si="17"/>
        <v>Autosoportada36130-180 km/h</v>
      </c>
      <c r="I55" s="323">
        <v>1393460.64</v>
      </c>
      <c r="J55" s="324">
        <v>4.3200000000000002E-2</v>
      </c>
      <c r="K55" s="194">
        <f t="shared" si="13"/>
        <v>1453658.1396479998</v>
      </c>
      <c r="L55" s="265"/>
      <c r="M55" s="265">
        <v>0.03</v>
      </c>
      <c r="N55" s="194">
        <f t="shared" si="18"/>
        <v>0</v>
      </c>
      <c r="P55" s="326">
        <v>20892.472800000003</v>
      </c>
      <c r="Q55" s="327">
        <v>0.126</v>
      </c>
      <c r="R55" s="265"/>
      <c r="S55" s="194">
        <f t="shared" si="15"/>
        <v>23524.9243728</v>
      </c>
      <c r="W55" s="328">
        <f t="shared" si="20"/>
        <v>55</v>
      </c>
      <c r="X55" s="328">
        <f t="shared" si="21"/>
        <v>14.8</v>
      </c>
      <c r="Y55" s="263"/>
      <c r="Z55" s="230">
        <f t="shared" si="16"/>
        <v>14.8</v>
      </c>
      <c r="AA55" s="230">
        <f t="shared" si="19"/>
        <v>13.8</v>
      </c>
    </row>
    <row r="56" spans="3:27" outlineLevel="1" x14ac:dyDescent="0.2">
      <c r="C56" s="155"/>
      <c r="D56" s="153" t="s">
        <v>187</v>
      </c>
      <c r="E56" s="228">
        <v>39</v>
      </c>
      <c r="F56" s="153" t="s">
        <v>953</v>
      </c>
      <c r="G56" s="155" t="str">
        <f t="shared" si="17"/>
        <v>Autosoportada39130-180 km/h</v>
      </c>
      <c r="I56" s="323">
        <v>1825906.94</v>
      </c>
      <c r="J56" s="324">
        <v>4.5999999999999999E-2</v>
      </c>
      <c r="K56" s="194">
        <f t="shared" si="13"/>
        <v>1909898.6592399999</v>
      </c>
      <c r="L56" s="265"/>
      <c r="M56" s="265">
        <v>0.03</v>
      </c>
      <c r="N56" s="194">
        <f t="shared" si="18"/>
        <v>0</v>
      </c>
      <c r="P56" s="326">
        <v>14782.41</v>
      </c>
      <c r="Q56" s="327">
        <v>0.10100000000000001</v>
      </c>
      <c r="R56" s="265"/>
      <c r="S56" s="194">
        <f t="shared" si="15"/>
        <v>16275.43341</v>
      </c>
      <c r="W56" s="328">
        <f t="shared" si="20"/>
        <v>55</v>
      </c>
      <c r="X56" s="328">
        <f t="shared" si="21"/>
        <v>14.8</v>
      </c>
      <c r="Y56" s="263"/>
      <c r="Z56" s="230">
        <f t="shared" si="16"/>
        <v>14.8</v>
      </c>
      <c r="AA56" s="230">
        <f t="shared" si="19"/>
        <v>13.8</v>
      </c>
    </row>
    <row r="57" spans="3:27" outlineLevel="1" x14ac:dyDescent="0.2">
      <c r="C57" s="155"/>
      <c r="D57" s="153" t="s">
        <v>187</v>
      </c>
      <c r="E57" s="228">
        <v>42</v>
      </c>
      <c r="F57" s="153" t="s">
        <v>953</v>
      </c>
      <c r="G57" s="155" t="str">
        <f t="shared" si="17"/>
        <v>Autosoportada42130-180 km/h</v>
      </c>
      <c r="I57" s="323">
        <v>1758936.6519999998</v>
      </c>
      <c r="J57" s="324">
        <v>3.44E-2</v>
      </c>
      <c r="K57" s="194">
        <f t="shared" si="13"/>
        <v>1819444.0728287997</v>
      </c>
      <c r="L57" s="265"/>
      <c r="M57" s="265">
        <v>0.03</v>
      </c>
      <c r="N57" s="194">
        <f t="shared" si="18"/>
        <v>0</v>
      </c>
      <c r="P57" s="326">
        <v>14979.508800000001</v>
      </c>
      <c r="Q57" s="327">
        <v>9.1000000000000011E-2</v>
      </c>
      <c r="R57" s="265"/>
      <c r="S57" s="194">
        <f t="shared" si="15"/>
        <v>16342.644100800002</v>
      </c>
      <c r="W57" s="328">
        <f t="shared" si="20"/>
        <v>55</v>
      </c>
      <c r="X57" s="328">
        <f t="shared" si="21"/>
        <v>14.8</v>
      </c>
      <c r="Y57" s="263"/>
      <c r="Z57" s="230">
        <f t="shared" si="16"/>
        <v>14.8</v>
      </c>
      <c r="AA57" s="230">
        <f t="shared" si="19"/>
        <v>13.8</v>
      </c>
    </row>
    <row r="58" spans="3:27" outlineLevel="1" x14ac:dyDescent="0.2">
      <c r="C58" s="155"/>
      <c r="D58" s="153" t="s">
        <v>187</v>
      </c>
      <c r="E58" s="228">
        <v>45</v>
      </c>
      <c r="F58" s="153" t="s">
        <v>953</v>
      </c>
      <c r="G58" s="155" t="str">
        <f t="shared" si="17"/>
        <v>Autosoportada45130-180 km/h</v>
      </c>
      <c r="I58" s="323">
        <v>1730996.9600000002</v>
      </c>
      <c r="J58" s="324">
        <v>3.6799999999999999E-2</v>
      </c>
      <c r="K58" s="194">
        <f t="shared" si="13"/>
        <v>1794697.6481280001</v>
      </c>
      <c r="L58" s="265"/>
      <c r="M58" s="265">
        <v>0.03</v>
      </c>
      <c r="N58" s="194">
        <f t="shared" si="18"/>
        <v>0</v>
      </c>
      <c r="P58" s="326">
        <v>21483.769200000002</v>
      </c>
      <c r="Q58" s="327">
        <v>7.0999999999999994E-2</v>
      </c>
      <c r="R58" s="265"/>
      <c r="S58" s="194">
        <f t="shared" si="15"/>
        <v>23009.116813200002</v>
      </c>
      <c r="W58" s="328">
        <f t="shared" si="20"/>
        <v>55</v>
      </c>
      <c r="X58" s="328">
        <f t="shared" si="21"/>
        <v>14.8</v>
      </c>
      <c r="Y58" s="263"/>
      <c r="Z58" s="230">
        <f t="shared" si="16"/>
        <v>14.8</v>
      </c>
      <c r="AA58" s="230">
        <f t="shared" si="19"/>
        <v>13.8</v>
      </c>
    </row>
    <row r="59" spans="3:27" s="151" customFormat="1" outlineLevel="1" x14ac:dyDescent="0.2">
      <c r="C59" s="155"/>
      <c r="D59" s="153" t="s">
        <v>187</v>
      </c>
      <c r="E59" s="228">
        <v>48</v>
      </c>
      <c r="F59" s="153" t="s">
        <v>953</v>
      </c>
      <c r="G59" s="155" t="str">
        <f t="shared" si="17"/>
        <v>Autosoportada48130-180 km/h</v>
      </c>
      <c r="I59" s="323">
        <v>1815811.7999999998</v>
      </c>
      <c r="J59" s="324">
        <v>3.4799999999999998E-2</v>
      </c>
      <c r="K59" s="194">
        <f t="shared" ref="K59:K122" si="22">(I59*(1+J59)^$C$5)*((1+sens.capex.unitarios))</f>
        <v>1879002.0506399998</v>
      </c>
      <c r="L59" s="265"/>
      <c r="M59" s="265">
        <v>0.03</v>
      </c>
      <c r="N59" s="194">
        <f t="shared" si="18"/>
        <v>0</v>
      </c>
      <c r="P59" s="326">
        <v>17738.892</v>
      </c>
      <c r="Q59" s="327">
        <v>7.2999999999999995E-2</v>
      </c>
      <c r="R59" s="265"/>
      <c r="S59" s="194">
        <f t="shared" ref="S59:S122" si="23">(P59*(1+Q59)^$C$5)*(1+sens.opex.unitarios)</f>
        <v>19033.831115999998</v>
      </c>
      <c r="W59" s="328">
        <f t="shared" si="20"/>
        <v>55</v>
      </c>
      <c r="X59" s="328">
        <f t="shared" si="21"/>
        <v>14.8</v>
      </c>
      <c r="Y59" s="263"/>
      <c r="Z59" s="230">
        <f t="shared" ref="Z59:Z122" si="24">INDEX(W59:Y59,vida.util.activo.indice)</f>
        <v>14.8</v>
      </c>
      <c r="AA59" s="230">
        <f t="shared" ref="AA59:AA122" si="25">MAX(0,Z59-$C$5)</f>
        <v>13.8</v>
      </c>
    </row>
    <row r="60" spans="3:27" s="151" customFormat="1" outlineLevel="1" x14ac:dyDescent="0.2">
      <c r="C60" s="155"/>
      <c r="D60" s="153" t="s">
        <v>187</v>
      </c>
      <c r="E60" s="228">
        <v>51</v>
      </c>
      <c r="F60" s="153" t="s">
        <v>953</v>
      </c>
      <c r="G60" s="155" t="str">
        <f t="shared" si="17"/>
        <v>Autosoportada51130-180 km/h</v>
      </c>
      <c r="I60" s="323">
        <v>1156753.6199999999</v>
      </c>
      <c r="J60" s="324">
        <v>4.4400000000000002E-2</v>
      </c>
      <c r="K60" s="194">
        <f t="shared" si="22"/>
        <v>1208113.4807279999</v>
      </c>
      <c r="L60" s="265"/>
      <c r="M60" s="265">
        <v>0.03</v>
      </c>
      <c r="N60" s="194">
        <f t="shared" si="18"/>
        <v>0</v>
      </c>
      <c r="P60" s="326">
        <v>19906.978800000001</v>
      </c>
      <c r="Q60" s="327">
        <v>0.126</v>
      </c>
      <c r="R60" s="265"/>
      <c r="S60" s="194">
        <f t="shared" si="23"/>
        <v>22415.2581288</v>
      </c>
      <c r="W60" s="328">
        <f t="shared" si="20"/>
        <v>55</v>
      </c>
      <c r="X60" s="328">
        <f t="shared" si="21"/>
        <v>14.8</v>
      </c>
      <c r="Y60" s="263"/>
      <c r="Z60" s="230">
        <f t="shared" si="24"/>
        <v>14.8</v>
      </c>
      <c r="AA60" s="230">
        <f t="shared" si="25"/>
        <v>13.8</v>
      </c>
    </row>
    <row r="61" spans="3:27" s="151" customFormat="1" outlineLevel="1" x14ac:dyDescent="0.2">
      <c r="C61" s="155"/>
      <c r="D61" s="153" t="s">
        <v>187</v>
      </c>
      <c r="E61" s="228">
        <v>54</v>
      </c>
      <c r="F61" s="153" t="s">
        <v>953</v>
      </c>
      <c r="G61" s="155" t="str">
        <f t="shared" si="17"/>
        <v>Autosoportada54130-180 km/h</v>
      </c>
      <c r="I61" s="323">
        <v>1457896.44</v>
      </c>
      <c r="J61" s="324">
        <v>4.7199999999999999E-2</v>
      </c>
      <c r="K61" s="194">
        <f t="shared" si="22"/>
        <v>1526709.1519679998</v>
      </c>
      <c r="L61" s="265"/>
      <c r="M61" s="265">
        <v>0.03</v>
      </c>
      <c r="N61" s="194">
        <f t="shared" si="18"/>
        <v>0</v>
      </c>
      <c r="P61" s="326">
        <v>17738.892</v>
      </c>
      <c r="Q61" s="327">
        <v>0.10700000000000001</v>
      </c>
      <c r="R61" s="265"/>
      <c r="S61" s="194">
        <f t="shared" si="23"/>
        <v>19636.953443999999</v>
      </c>
      <c r="W61" s="328">
        <f t="shared" si="20"/>
        <v>55</v>
      </c>
      <c r="X61" s="328">
        <f t="shared" si="21"/>
        <v>14.8</v>
      </c>
      <c r="Y61" s="263"/>
      <c r="Z61" s="230">
        <f t="shared" si="24"/>
        <v>14.8</v>
      </c>
      <c r="AA61" s="230">
        <f t="shared" si="25"/>
        <v>13.8</v>
      </c>
    </row>
    <row r="62" spans="3:27" s="151" customFormat="1" outlineLevel="1" x14ac:dyDescent="0.2">
      <c r="C62" s="155"/>
      <c r="D62" s="153" t="s">
        <v>187</v>
      </c>
      <c r="E62" s="228">
        <v>57</v>
      </c>
      <c r="F62" s="153" t="s">
        <v>953</v>
      </c>
      <c r="G62" s="155" t="str">
        <f t="shared" si="17"/>
        <v>Autosoportada57130-180 km/h</v>
      </c>
      <c r="I62" s="323">
        <v>1715366.7300000002</v>
      </c>
      <c r="J62" s="324">
        <v>4.7199999999999999E-2</v>
      </c>
      <c r="K62" s="194">
        <f t="shared" si="22"/>
        <v>1796332.039656</v>
      </c>
      <c r="L62" s="265"/>
      <c r="M62" s="265">
        <v>0.03</v>
      </c>
      <c r="N62" s="194">
        <f t="shared" si="18"/>
        <v>0</v>
      </c>
      <c r="P62" s="326">
        <v>17541.7932</v>
      </c>
      <c r="Q62" s="327">
        <v>8.3000000000000004E-2</v>
      </c>
      <c r="R62" s="265"/>
      <c r="S62" s="194">
        <f t="shared" si="23"/>
        <v>18997.762035600001</v>
      </c>
      <c r="W62" s="328">
        <f t="shared" si="20"/>
        <v>55</v>
      </c>
      <c r="X62" s="328">
        <f t="shared" si="21"/>
        <v>14.8</v>
      </c>
      <c r="Y62" s="263"/>
      <c r="Z62" s="230">
        <f t="shared" si="24"/>
        <v>14.8</v>
      </c>
      <c r="AA62" s="230">
        <f t="shared" si="25"/>
        <v>13.8</v>
      </c>
    </row>
    <row r="63" spans="3:27" s="151" customFormat="1" outlineLevel="1" x14ac:dyDescent="0.2">
      <c r="C63" s="155"/>
      <c r="D63" s="153" t="s">
        <v>187</v>
      </c>
      <c r="E63" s="228">
        <v>60</v>
      </c>
      <c r="F63" s="153" t="s">
        <v>953</v>
      </c>
      <c r="G63" s="155" t="str">
        <f t="shared" si="17"/>
        <v>Autosoportada60130-180 km/h</v>
      </c>
      <c r="I63" s="323">
        <v>1681700.2290000001</v>
      </c>
      <c r="J63" s="324">
        <v>4.2800000000000005E-2</v>
      </c>
      <c r="K63" s="194">
        <f t="shared" si="22"/>
        <v>1753676.9988012</v>
      </c>
      <c r="L63" s="265"/>
      <c r="M63" s="265">
        <v>0.03</v>
      </c>
      <c r="N63" s="194">
        <f t="shared" si="18"/>
        <v>0</v>
      </c>
      <c r="P63" s="326">
        <v>15767.904000000002</v>
      </c>
      <c r="Q63" s="327">
        <v>8.2000000000000003E-2</v>
      </c>
      <c r="R63" s="265"/>
      <c r="S63" s="194">
        <f t="shared" si="23"/>
        <v>17060.872128000003</v>
      </c>
      <c r="W63" s="328">
        <f t="shared" si="20"/>
        <v>55</v>
      </c>
      <c r="X63" s="328">
        <f t="shared" si="21"/>
        <v>14.8</v>
      </c>
      <c r="Y63" s="263"/>
      <c r="Z63" s="230">
        <f t="shared" si="24"/>
        <v>14.8</v>
      </c>
      <c r="AA63" s="230">
        <f t="shared" si="25"/>
        <v>13.8</v>
      </c>
    </row>
    <row r="64" spans="3:27" s="151" customFormat="1" outlineLevel="1" x14ac:dyDescent="0.2">
      <c r="C64" s="155"/>
      <c r="D64" s="153" t="s">
        <v>187</v>
      </c>
      <c r="E64" s="228">
        <v>63</v>
      </c>
      <c r="F64" s="153" t="s">
        <v>953</v>
      </c>
      <c r="G64" s="155" t="str">
        <f t="shared" si="17"/>
        <v>Autosoportada63130-180 km/h</v>
      </c>
      <c r="I64" s="323">
        <v>1590414.6720000003</v>
      </c>
      <c r="J64" s="324">
        <v>2.7999999999999997E-2</v>
      </c>
      <c r="K64" s="194">
        <f t="shared" si="22"/>
        <v>1634946.2828160003</v>
      </c>
      <c r="L64" s="265"/>
      <c r="M64" s="265">
        <v>0.03</v>
      </c>
      <c r="N64" s="194">
        <f t="shared" si="18"/>
        <v>0</v>
      </c>
      <c r="P64" s="326">
        <v>16556.299200000001</v>
      </c>
      <c r="Q64" s="327">
        <v>0.11100000000000002</v>
      </c>
      <c r="R64" s="265"/>
      <c r="S64" s="194">
        <f t="shared" si="23"/>
        <v>18394.048411200001</v>
      </c>
      <c r="W64" s="328">
        <f t="shared" si="20"/>
        <v>55</v>
      </c>
      <c r="X64" s="328">
        <f t="shared" si="21"/>
        <v>14.8</v>
      </c>
      <c r="Y64" s="263"/>
      <c r="Z64" s="230">
        <f t="shared" si="24"/>
        <v>14.8</v>
      </c>
      <c r="AA64" s="230">
        <f t="shared" si="25"/>
        <v>13.8</v>
      </c>
    </row>
    <row r="65" spans="3:27" s="151" customFormat="1" outlineLevel="1" x14ac:dyDescent="0.2">
      <c r="C65" s="155"/>
      <c r="D65" s="153" t="s">
        <v>187</v>
      </c>
      <c r="E65" s="228">
        <v>66</v>
      </c>
      <c r="F65" s="153" t="s">
        <v>953</v>
      </c>
      <c r="G65" s="155" t="str">
        <f t="shared" si="17"/>
        <v>Autosoportada66130-180 km/h</v>
      </c>
      <c r="I65" s="323">
        <v>1470348.1539999999</v>
      </c>
      <c r="J65" s="324">
        <v>3.04E-2</v>
      </c>
      <c r="K65" s="194">
        <f t="shared" si="22"/>
        <v>1515046.7378815999</v>
      </c>
      <c r="L65" s="265"/>
      <c r="M65" s="265">
        <v>0.03</v>
      </c>
      <c r="N65" s="194">
        <f t="shared" si="18"/>
        <v>0</v>
      </c>
      <c r="P65" s="326">
        <v>16950.496800000001</v>
      </c>
      <c r="Q65" s="327">
        <v>7.6000000000000012E-2</v>
      </c>
      <c r="R65" s="265"/>
      <c r="S65" s="194">
        <f t="shared" si="23"/>
        <v>18238.734556800002</v>
      </c>
      <c r="W65" s="328">
        <f t="shared" si="20"/>
        <v>55</v>
      </c>
      <c r="X65" s="328">
        <f t="shared" si="21"/>
        <v>14.8</v>
      </c>
      <c r="Y65" s="263"/>
      <c r="Z65" s="230">
        <f t="shared" si="24"/>
        <v>14.8</v>
      </c>
      <c r="AA65" s="230">
        <f t="shared" si="25"/>
        <v>13.8</v>
      </c>
    </row>
    <row r="66" spans="3:27" s="151" customFormat="1" outlineLevel="1" x14ac:dyDescent="0.2">
      <c r="C66" s="155"/>
      <c r="D66" s="153" t="s">
        <v>187</v>
      </c>
      <c r="E66" s="228">
        <v>69</v>
      </c>
      <c r="F66" s="153" t="s">
        <v>953</v>
      </c>
      <c r="G66" s="155" t="str">
        <f t="shared" si="17"/>
        <v>Autosoportada69130-180 km/h</v>
      </c>
      <c r="I66" s="323">
        <v>1711855.9040000001</v>
      </c>
      <c r="J66" s="324">
        <v>4.7199999999999999E-2</v>
      </c>
      <c r="K66" s="194">
        <f t="shared" si="22"/>
        <v>1792655.5026687998</v>
      </c>
      <c r="L66" s="265"/>
      <c r="M66" s="265">
        <v>0.03</v>
      </c>
      <c r="N66" s="194">
        <f t="shared" si="18"/>
        <v>0</v>
      </c>
      <c r="P66" s="326">
        <v>17541.7932</v>
      </c>
      <c r="Q66" s="327">
        <v>0.11799999999999999</v>
      </c>
      <c r="R66" s="265"/>
      <c r="S66" s="194">
        <f t="shared" si="23"/>
        <v>19611.724797599996</v>
      </c>
      <c r="W66" s="328">
        <f t="shared" si="20"/>
        <v>55</v>
      </c>
      <c r="X66" s="328">
        <f t="shared" si="21"/>
        <v>14.8</v>
      </c>
      <c r="Y66" s="263"/>
      <c r="Z66" s="230">
        <f t="shared" si="24"/>
        <v>14.8</v>
      </c>
      <c r="AA66" s="230">
        <f t="shared" si="25"/>
        <v>13.8</v>
      </c>
    </row>
    <row r="67" spans="3:27" s="151" customFormat="1" outlineLevel="1" x14ac:dyDescent="0.2">
      <c r="C67" s="155"/>
      <c r="D67" s="153" t="s">
        <v>187</v>
      </c>
      <c r="E67" s="228">
        <v>72</v>
      </c>
      <c r="F67" s="153" t="s">
        <v>953</v>
      </c>
      <c r="G67" s="155" t="str">
        <f t="shared" si="17"/>
        <v>Autosoportada72130-180 km/h</v>
      </c>
      <c r="I67" s="323">
        <v>2060377.9679999999</v>
      </c>
      <c r="J67" s="324">
        <v>4.3200000000000002E-2</v>
      </c>
      <c r="K67" s="194">
        <f t="shared" si="22"/>
        <v>2149386.2962175999</v>
      </c>
      <c r="L67" s="265"/>
      <c r="M67" s="265">
        <v>0.03</v>
      </c>
      <c r="N67" s="194">
        <f t="shared" si="18"/>
        <v>0</v>
      </c>
      <c r="P67" s="326">
        <v>19315.682400000002</v>
      </c>
      <c r="Q67" s="327">
        <v>0.128</v>
      </c>
      <c r="R67" s="265"/>
      <c r="S67" s="194">
        <f t="shared" si="23"/>
        <v>21788.089747200003</v>
      </c>
      <c r="W67" s="328">
        <f t="shared" si="20"/>
        <v>55</v>
      </c>
      <c r="X67" s="328">
        <f t="shared" si="21"/>
        <v>14.8</v>
      </c>
      <c r="Y67" s="263"/>
      <c r="Z67" s="230">
        <f t="shared" si="24"/>
        <v>14.8</v>
      </c>
      <c r="AA67" s="230">
        <f t="shared" si="25"/>
        <v>13.8</v>
      </c>
    </row>
    <row r="68" spans="3:27" s="151" customFormat="1" outlineLevel="1" x14ac:dyDescent="0.2">
      <c r="C68" s="155"/>
      <c r="D68" s="153" t="s">
        <v>187</v>
      </c>
      <c r="E68" s="228">
        <v>75</v>
      </c>
      <c r="F68" s="153" t="s">
        <v>953</v>
      </c>
      <c r="G68" s="155" t="str">
        <f t="shared" si="17"/>
        <v>Autosoportada75130-180 km/h</v>
      </c>
      <c r="I68" s="323">
        <v>2126409.7140000002</v>
      </c>
      <c r="J68" s="324">
        <v>3.6400000000000002E-2</v>
      </c>
      <c r="K68" s="194">
        <f t="shared" si="22"/>
        <v>2203811.0275896001</v>
      </c>
      <c r="L68" s="265"/>
      <c r="M68" s="265">
        <v>0.03</v>
      </c>
      <c r="N68" s="194">
        <f t="shared" si="18"/>
        <v>0</v>
      </c>
      <c r="P68" s="326">
        <v>25228.646400000001</v>
      </c>
      <c r="Q68" s="327">
        <v>0.11000000000000001</v>
      </c>
      <c r="R68" s="265"/>
      <c r="S68" s="194">
        <f t="shared" si="23"/>
        <v>28003.797504000006</v>
      </c>
      <c r="W68" s="328">
        <f t="shared" si="20"/>
        <v>55</v>
      </c>
      <c r="X68" s="328">
        <f t="shared" si="21"/>
        <v>14.8</v>
      </c>
      <c r="Y68" s="263"/>
      <c r="Z68" s="230">
        <f t="shared" si="24"/>
        <v>14.8</v>
      </c>
      <c r="AA68" s="230">
        <f t="shared" si="25"/>
        <v>13.8</v>
      </c>
    </row>
    <row r="69" spans="3:27" s="151" customFormat="1" outlineLevel="1" x14ac:dyDescent="0.2">
      <c r="C69" s="155"/>
      <c r="D69" s="153" t="s">
        <v>187</v>
      </c>
      <c r="E69" s="228">
        <v>78</v>
      </c>
      <c r="F69" s="153" t="s">
        <v>953</v>
      </c>
      <c r="G69" s="155" t="str">
        <f t="shared" si="17"/>
        <v>Autosoportada78130-180 km/h</v>
      </c>
      <c r="I69" s="323">
        <v>1908848.1060000001</v>
      </c>
      <c r="J69" s="324">
        <v>3.3599999999999998E-2</v>
      </c>
      <c r="K69" s="194">
        <f t="shared" si="22"/>
        <v>1972985.4023616002</v>
      </c>
      <c r="L69" s="265"/>
      <c r="M69" s="265">
        <v>0.03</v>
      </c>
      <c r="N69" s="194">
        <f t="shared" si="18"/>
        <v>0</v>
      </c>
      <c r="P69" s="326">
        <v>18921.484800000002</v>
      </c>
      <c r="Q69" s="327">
        <v>0.124</v>
      </c>
      <c r="R69" s="265"/>
      <c r="S69" s="194">
        <f t="shared" si="23"/>
        <v>21267.748915200005</v>
      </c>
      <c r="W69" s="328">
        <f t="shared" si="20"/>
        <v>55</v>
      </c>
      <c r="X69" s="328">
        <f t="shared" si="21"/>
        <v>14.8</v>
      </c>
      <c r="Y69" s="263"/>
      <c r="Z69" s="230">
        <f t="shared" si="24"/>
        <v>14.8</v>
      </c>
      <c r="AA69" s="230">
        <f t="shared" si="25"/>
        <v>13.8</v>
      </c>
    </row>
    <row r="70" spans="3:27" s="151" customFormat="1" outlineLevel="1" x14ac:dyDescent="0.2">
      <c r="C70" s="155"/>
      <c r="D70" s="153" t="s">
        <v>187</v>
      </c>
      <c r="E70" s="228">
        <v>81</v>
      </c>
      <c r="F70" s="153" t="s">
        <v>953</v>
      </c>
      <c r="G70" s="155" t="str">
        <f t="shared" si="17"/>
        <v>Autosoportada81130-180 km/h</v>
      </c>
      <c r="I70" s="323">
        <v>2602291.6259999997</v>
      </c>
      <c r="J70" s="324">
        <v>5.04E-2</v>
      </c>
      <c r="K70" s="194">
        <f t="shared" si="22"/>
        <v>2733447.1239503995</v>
      </c>
      <c r="L70" s="265"/>
      <c r="M70" s="265">
        <v>0.03</v>
      </c>
      <c r="N70" s="194">
        <f t="shared" si="18"/>
        <v>0</v>
      </c>
      <c r="P70" s="326">
        <v>23454.7572</v>
      </c>
      <c r="Q70" s="327">
        <v>0.10800000000000001</v>
      </c>
      <c r="R70" s="265"/>
      <c r="S70" s="194">
        <f t="shared" si="23"/>
        <v>25987.870977600003</v>
      </c>
      <c r="W70" s="328">
        <f t="shared" si="20"/>
        <v>55</v>
      </c>
      <c r="X70" s="328">
        <f t="shared" si="21"/>
        <v>14.8</v>
      </c>
      <c r="Y70" s="263"/>
      <c r="Z70" s="230">
        <f t="shared" si="24"/>
        <v>14.8</v>
      </c>
      <c r="AA70" s="230">
        <f t="shared" si="25"/>
        <v>13.8</v>
      </c>
    </row>
    <row r="71" spans="3:27" s="151" customFormat="1" outlineLevel="1" x14ac:dyDescent="0.2">
      <c r="C71" s="155"/>
      <c r="D71" s="153" t="s">
        <v>187</v>
      </c>
      <c r="E71" s="228">
        <v>102</v>
      </c>
      <c r="F71" s="153" t="s">
        <v>953</v>
      </c>
      <c r="G71" s="155" t="str">
        <f t="shared" si="17"/>
        <v>Autosoportada102130-180 km/h</v>
      </c>
      <c r="I71" s="323">
        <v>3186177.2030000002</v>
      </c>
      <c r="J71" s="324">
        <v>3.0800000000000001E-2</v>
      </c>
      <c r="K71" s="194">
        <f t="shared" si="22"/>
        <v>3284311.4608523999</v>
      </c>
      <c r="L71" s="265"/>
      <c r="M71" s="265">
        <v>0.03</v>
      </c>
      <c r="N71" s="194">
        <f t="shared" si="18"/>
        <v>0</v>
      </c>
      <c r="P71" s="326">
        <v>18133.089600000003</v>
      </c>
      <c r="Q71" s="327">
        <v>9.0000000000000011E-2</v>
      </c>
      <c r="R71" s="265"/>
      <c r="S71" s="194">
        <f t="shared" si="23"/>
        <v>19765.067664000006</v>
      </c>
      <c r="W71" s="328">
        <f t="shared" si="20"/>
        <v>55</v>
      </c>
      <c r="X71" s="328">
        <f t="shared" si="21"/>
        <v>14.8</v>
      </c>
      <c r="Y71" s="263"/>
      <c r="Z71" s="230">
        <f t="shared" si="24"/>
        <v>14.8</v>
      </c>
      <c r="AA71" s="230">
        <f t="shared" si="25"/>
        <v>13.8</v>
      </c>
    </row>
    <row r="72" spans="3:27" s="151" customFormat="1" outlineLevel="1" x14ac:dyDescent="0.2">
      <c r="C72" s="155"/>
      <c r="D72" s="153" t="s">
        <v>187</v>
      </c>
      <c r="E72" s="228">
        <v>12</v>
      </c>
      <c r="F72" s="153" t="s">
        <v>954</v>
      </c>
      <c r="G72" s="155" t="str">
        <f t="shared" si="17"/>
        <v>Autosoportada12181-220 km/h</v>
      </c>
      <c r="I72" s="323">
        <v>784838.09250000003</v>
      </c>
      <c r="J72" s="324">
        <v>4.0800000000000003E-2</v>
      </c>
      <c r="K72" s="194">
        <f t="shared" si="22"/>
        <v>816859.48667400004</v>
      </c>
      <c r="L72" s="265"/>
      <c r="M72" s="265">
        <v>0.03</v>
      </c>
      <c r="N72" s="194">
        <f t="shared" si="18"/>
        <v>0</v>
      </c>
      <c r="P72" s="326">
        <v>15176.607600000001</v>
      </c>
      <c r="Q72" s="327">
        <v>0.13</v>
      </c>
      <c r="R72" s="265"/>
      <c r="S72" s="194">
        <f t="shared" si="23"/>
        <v>17149.566588000002</v>
      </c>
      <c r="W72" s="328">
        <f t="shared" si="20"/>
        <v>55</v>
      </c>
      <c r="X72" s="328">
        <f t="shared" si="21"/>
        <v>14.8</v>
      </c>
      <c r="Y72" s="263"/>
      <c r="Z72" s="230">
        <f t="shared" si="24"/>
        <v>14.8</v>
      </c>
      <c r="AA72" s="230">
        <f t="shared" si="25"/>
        <v>13.8</v>
      </c>
    </row>
    <row r="73" spans="3:27" s="151" customFormat="1" outlineLevel="1" x14ac:dyDescent="0.2">
      <c r="C73" s="155"/>
      <c r="D73" s="153" t="s">
        <v>187</v>
      </c>
      <c r="E73" s="228">
        <v>15</v>
      </c>
      <c r="F73" s="153" t="s">
        <v>954</v>
      </c>
      <c r="G73" s="155" t="str">
        <f t="shared" si="17"/>
        <v>Autosoportada15181-220 km/h</v>
      </c>
      <c r="I73" s="323">
        <v>1198197</v>
      </c>
      <c r="J73" s="324">
        <v>3.2000000000000001E-2</v>
      </c>
      <c r="K73" s="194">
        <f t="shared" si="22"/>
        <v>1236539.304</v>
      </c>
      <c r="L73" s="265"/>
      <c r="M73" s="265">
        <v>0.03</v>
      </c>
      <c r="N73" s="194">
        <f t="shared" si="18"/>
        <v>0</v>
      </c>
      <c r="P73" s="326">
        <v>25031.547600000002</v>
      </c>
      <c r="Q73" s="327">
        <v>9.2000000000000012E-2</v>
      </c>
      <c r="R73" s="265"/>
      <c r="S73" s="194">
        <f t="shared" si="23"/>
        <v>27334.449979200002</v>
      </c>
      <c r="W73" s="328">
        <f t="shared" si="20"/>
        <v>55</v>
      </c>
      <c r="X73" s="328">
        <f t="shared" si="21"/>
        <v>14.8</v>
      </c>
      <c r="Y73" s="263"/>
      <c r="Z73" s="230">
        <f t="shared" si="24"/>
        <v>14.8</v>
      </c>
      <c r="AA73" s="230">
        <f t="shared" si="25"/>
        <v>13.8</v>
      </c>
    </row>
    <row r="74" spans="3:27" s="151" customFormat="1" outlineLevel="1" x14ac:dyDescent="0.2">
      <c r="C74" s="155"/>
      <c r="D74" s="153" t="s">
        <v>187</v>
      </c>
      <c r="E74" s="228">
        <v>18</v>
      </c>
      <c r="F74" s="153" t="s">
        <v>954</v>
      </c>
      <c r="G74" s="155" t="str">
        <f t="shared" si="17"/>
        <v>Autosoportada18181-220 km/h</v>
      </c>
      <c r="I74" s="323">
        <v>1201277.385</v>
      </c>
      <c r="J74" s="324">
        <v>3.2400000000000005E-2</v>
      </c>
      <c r="K74" s="194">
        <f t="shared" si="22"/>
        <v>1240198.7722740001</v>
      </c>
      <c r="L74" s="265"/>
      <c r="M74" s="265">
        <v>0.03</v>
      </c>
      <c r="N74" s="194">
        <f t="shared" si="18"/>
        <v>0</v>
      </c>
      <c r="P74" s="326">
        <v>15570.805200000001</v>
      </c>
      <c r="Q74" s="327">
        <v>0.127</v>
      </c>
      <c r="R74" s="265"/>
      <c r="S74" s="194">
        <f t="shared" si="23"/>
        <v>17548.297460400001</v>
      </c>
      <c r="W74" s="328">
        <f t="shared" si="20"/>
        <v>55</v>
      </c>
      <c r="X74" s="328">
        <f t="shared" si="21"/>
        <v>14.8</v>
      </c>
      <c r="Y74" s="263"/>
      <c r="Z74" s="230">
        <f t="shared" si="24"/>
        <v>14.8</v>
      </c>
      <c r="AA74" s="230">
        <f t="shared" si="25"/>
        <v>13.8</v>
      </c>
    </row>
    <row r="75" spans="3:27" s="151" customFormat="1" outlineLevel="1" x14ac:dyDescent="0.2">
      <c r="C75" s="155"/>
      <c r="D75" s="153" t="s">
        <v>187</v>
      </c>
      <c r="E75" s="228">
        <v>21</v>
      </c>
      <c r="F75" s="153" t="s">
        <v>954</v>
      </c>
      <c r="G75" s="155" t="str">
        <f t="shared" si="17"/>
        <v>Autosoportada21181-220 km/h</v>
      </c>
      <c r="I75" s="323">
        <v>736794.13500000001</v>
      </c>
      <c r="J75" s="324">
        <v>4.7599999999999996E-2</v>
      </c>
      <c r="K75" s="194">
        <f t="shared" si="22"/>
        <v>771865.53582600004</v>
      </c>
      <c r="L75" s="265"/>
      <c r="M75" s="265">
        <v>0.03</v>
      </c>
      <c r="N75" s="194">
        <f t="shared" si="18"/>
        <v>0</v>
      </c>
      <c r="P75" s="326">
        <v>23060.559600000001</v>
      </c>
      <c r="Q75" s="327">
        <v>8.1000000000000016E-2</v>
      </c>
      <c r="R75" s="265"/>
      <c r="S75" s="194">
        <f t="shared" si="23"/>
        <v>24928.464927599998</v>
      </c>
      <c r="W75" s="328">
        <f t="shared" si="20"/>
        <v>55</v>
      </c>
      <c r="X75" s="328">
        <f t="shared" si="21"/>
        <v>14.8</v>
      </c>
      <c r="Y75" s="263"/>
      <c r="Z75" s="230">
        <f t="shared" si="24"/>
        <v>14.8</v>
      </c>
      <c r="AA75" s="230">
        <f t="shared" si="25"/>
        <v>13.8</v>
      </c>
    </row>
    <row r="76" spans="3:27" s="151" customFormat="1" outlineLevel="1" x14ac:dyDescent="0.2">
      <c r="C76" s="155"/>
      <c r="D76" s="153" t="s">
        <v>187</v>
      </c>
      <c r="E76" s="228">
        <v>24</v>
      </c>
      <c r="F76" s="153" t="s">
        <v>954</v>
      </c>
      <c r="G76" s="155" t="str">
        <f t="shared" si="17"/>
        <v>Autosoportada24181-220 km/h</v>
      </c>
      <c r="I76" s="323">
        <v>771667.04999999993</v>
      </c>
      <c r="J76" s="324">
        <v>4.9599999999999998E-2</v>
      </c>
      <c r="K76" s="194">
        <f t="shared" si="22"/>
        <v>809941.73568000004</v>
      </c>
      <c r="L76" s="265"/>
      <c r="M76" s="265">
        <v>0.03</v>
      </c>
      <c r="N76" s="194">
        <f t="shared" si="18"/>
        <v>0</v>
      </c>
      <c r="P76" s="326">
        <v>25228.646400000001</v>
      </c>
      <c r="Q76" s="327">
        <v>9.6000000000000002E-2</v>
      </c>
      <c r="R76" s="265"/>
      <c r="S76" s="194">
        <f t="shared" si="23"/>
        <v>27650.596454400005</v>
      </c>
      <c r="W76" s="328">
        <f t="shared" si="20"/>
        <v>55</v>
      </c>
      <c r="X76" s="328">
        <f t="shared" si="21"/>
        <v>14.8</v>
      </c>
      <c r="Y76" s="263"/>
      <c r="Z76" s="230">
        <f t="shared" si="24"/>
        <v>14.8</v>
      </c>
      <c r="AA76" s="230">
        <f t="shared" si="25"/>
        <v>13.8</v>
      </c>
    </row>
    <row r="77" spans="3:27" s="151" customFormat="1" outlineLevel="1" x14ac:dyDescent="0.2">
      <c r="C77" s="155"/>
      <c r="D77" s="153" t="s">
        <v>187</v>
      </c>
      <c r="E77" s="228">
        <v>27</v>
      </c>
      <c r="F77" s="153" t="s">
        <v>954</v>
      </c>
      <c r="G77" s="155" t="str">
        <f t="shared" si="17"/>
        <v>Autosoportada27181-220 km/h</v>
      </c>
      <c r="I77" s="323">
        <v>1131322.5</v>
      </c>
      <c r="J77" s="324">
        <v>0.03</v>
      </c>
      <c r="K77" s="194">
        <f t="shared" si="22"/>
        <v>1165262.175</v>
      </c>
      <c r="L77" s="265"/>
      <c r="M77" s="265">
        <v>0.03</v>
      </c>
      <c r="N77" s="194">
        <f t="shared" si="18"/>
        <v>0</v>
      </c>
      <c r="P77" s="326">
        <v>23454.7572</v>
      </c>
      <c r="Q77" s="327">
        <v>0.10800000000000001</v>
      </c>
      <c r="R77" s="265"/>
      <c r="S77" s="194">
        <f t="shared" si="23"/>
        <v>25987.870977600003</v>
      </c>
      <c r="W77" s="328">
        <f t="shared" si="20"/>
        <v>55</v>
      </c>
      <c r="X77" s="328">
        <f t="shared" si="21"/>
        <v>14.8</v>
      </c>
      <c r="Y77" s="263"/>
      <c r="Z77" s="230">
        <f t="shared" si="24"/>
        <v>14.8</v>
      </c>
      <c r="AA77" s="230">
        <f t="shared" si="25"/>
        <v>13.8</v>
      </c>
    </row>
    <row r="78" spans="3:27" s="151" customFormat="1" outlineLevel="1" x14ac:dyDescent="0.2">
      <c r="C78" s="155"/>
      <c r="D78" s="153" t="s">
        <v>187</v>
      </c>
      <c r="E78" s="228">
        <v>30</v>
      </c>
      <c r="F78" s="153" t="s">
        <v>954</v>
      </c>
      <c r="G78" s="155" t="str">
        <f t="shared" si="17"/>
        <v>Autosoportada30181-220 km/h</v>
      </c>
      <c r="I78" s="323">
        <v>1508357.8125</v>
      </c>
      <c r="J78" s="324">
        <v>3.8399999999999997E-2</v>
      </c>
      <c r="K78" s="194">
        <f t="shared" si="22"/>
        <v>1566278.7524999999</v>
      </c>
      <c r="L78" s="265"/>
      <c r="M78" s="265">
        <v>0.03</v>
      </c>
      <c r="N78" s="194">
        <f t="shared" si="18"/>
        <v>0</v>
      </c>
      <c r="P78" s="326">
        <v>25622.844000000001</v>
      </c>
      <c r="Q78" s="327">
        <v>9.7000000000000003E-2</v>
      </c>
      <c r="R78" s="265"/>
      <c r="S78" s="194">
        <f t="shared" si="23"/>
        <v>28108.259868000001</v>
      </c>
      <c r="W78" s="328">
        <f t="shared" si="20"/>
        <v>55</v>
      </c>
      <c r="X78" s="328">
        <f t="shared" si="21"/>
        <v>14.8</v>
      </c>
      <c r="Y78" s="263"/>
      <c r="Z78" s="230">
        <f t="shared" si="24"/>
        <v>14.8</v>
      </c>
      <c r="AA78" s="230">
        <f t="shared" si="25"/>
        <v>13.8</v>
      </c>
    </row>
    <row r="79" spans="3:27" s="151" customFormat="1" outlineLevel="1" x14ac:dyDescent="0.2">
      <c r="C79" s="155"/>
      <c r="D79" s="153" t="s">
        <v>187</v>
      </c>
      <c r="E79" s="228">
        <v>33</v>
      </c>
      <c r="F79" s="153" t="s">
        <v>954</v>
      </c>
      <c r="G79" s="155" t="str">
        <f t="shared" si="17"/>
        <v>Autosoportada33181-220 km/h</v>
      </c>
      <c r="I79" s="323">
        <v>1580164.1625000001</v>
      </c>
      <c r="J79" s="324">
        <v>3.7200000000000004E-2</v>
      </c>
      <c r="K79" s="194">
        <f t="shared" si="22"/>
        <v>1638946.2693449999</v>
      </c>
      <c r="L79" s="265"/>
      <c r="M79" s="265">
        <v>0.03</v>
      </c>
      <c r="N79" s="194">
        <f t="shared" si="18"/>
        <v>0</v>
      </c>
      <c r="P79" s="326">
        <v>24440.251200000002</v>
      </c>
      <c r="Q79" s="327">
        <v>0.11499999999999999</v>
      </c>
      <c r="R79" s="265"/>
      <c r="S79" s="194">
        <f t="shared" si="23"/>
        <v>27250.880088000002</v>
      </c>
      <c r="W79" s="328">
        <f t="shared" si="20"/>
        <v>55</v>
      </c>
      <c r="X79" s="328">
        <f t="shared" si="21"/>
        <v>14.8</v>
      </c>
      <c r="Y79" s="263"/>
      <c r="Z79" s="230">
        <f t="shared" si="24"/>
        <v>14.8</v>
      </c>
      <c r="AA79" s="230">
        <f t="shared" si="25"/>
        <v>13.8</v>
      </c>
    </row>
    <row r="80" spans="3:27" s="151" customFormat="1" outlineLevel="1" x14ac:dyDescent="0.2">
      <c r="C80" s="155"/>
      <c r="D80" s="153" t="s">
        <v>187</v>
      </c>
      <c r="E80" s="228">
        <v>36</v>
      </c>
      <c r="F80" s="153" t="s">
        <v>954</v>
      </c>
      <c r="G80" s="155" t="str">
        <f t="shared" si="17"/>
        <v>Autosoportada36181-220 km/h</v>
      </c>
      <c r="I80" s="323">
        <v>1237495.875</v>
      </c>
      <c r="J80" s="324">
        <v>0.05</v>
      </c>
      <c r="K80" s="194">
        <f t="shared" si="22"/>
        <v>1299370.66875</v>
      </c>
      <c r="L80" s="265"/>
      <c r="M80" s="265">
        <v>0.03</v>
      </c>
      <c r="N80" s="194">
        <f t="shared" si="18"/>
        <v>0</v>
      </c>
      <c r="P80" s="326">
        <v>16556.299200000001</v>
      </c>
      <c r="Q80" s="327">
        <v>8.3000000000000004E-2</v>
      </c>
      <c r="R80" s="265"/>
      <c r="S80" s="194">
        <f t="shared" si="23"/>
        <v>17930.472033599999</v>
      </c>
      <c r="W80" s="328">
        <f t="shared" si="20"/>
        <v>55</v>
      </c>
      <c r="X80" s="328">
        <f t="shared" si="21"/>
        <v>14.8</v>
      </c>
      <c r="Y80" s="263"/>
      <c r="Z80" s="230">
        <f t="shared" si="24"/>
        <v>14.8</v>
      </c>
      <c r="AA80" s="230">
        <f t="shared" si="25"/>
        <v>13.8</v>
      </c>
    </row>
    <row r="81" spans="3:27" s="151" customFormat="1" outlineLevel="1" x14ac:dyDescent="0.2">
      <c r="C81" s="155"/>
      <c r="D81" s="153" t="s">
        <v>187</v>
      </c>
      <c r="E81" s="228">
        <v>39</v>
      </c>
      <c r="F81" s="153" t="s">
        <v>954</v>
      </c>
      <c r="G81" s="155" t="str">
        <f t="shared" si="17"/>
        <v>Autosoportada39181-220 km/h</v>
      </c>
      <c r="I81" s="323">
        <v>1124785.2</v>
      </c>
      <c r="J81" s="324">
        <v>5.04E-2</v>
      </c>
      <c r="K81" s="194">
        <f t="shared" si="22"/>
        <v>1181474.37408</v>
      </c>
      <c r="L81" s="265"/>
      <c r="M81" s="265">
        <v>0.03</v>
      </c>
      <c r="N81" s="194">
        <f t="shared" si="18"/>
        <v>0</v>
      </c>
      <c r="P81" s="326">
        <v>25425.745200000001</v>
      </c>
      <c r="Q81" s="327">
        <v>0.11899999999999999</v>
      </c>
      <c r="R81" s="265"/>
      <c r="S81" s="194">
        <f t="shared" si="23"/>
        <v>28451.408878800001</v>
      </c>
      <c r="W81" s="328">
        <f t="shared" si="20"/>
        <v>55</v>
      </c>
      <c r="X81" s="328">
        <f t="shared" si="21"/>
        <v>14.8</v>
      </c>
      <c r="Y81" s="263"/>
      <c r="Z81" s="230">
        <f t="shared" si="24"/>
        <v>14.8</v>
      </c>
      <c r="AA81" s="230">
        <f t="shared" si="25"/>
        <v>13.8</v>
      </c>
    </row>
    <row r="82" spans="3:27" s="151" customFormat="1" outlineLevel="1" x14ac:dyDescent="0.2">
      <c r="C82" s="155"/>
      <c r="D82" s="153" t="s">
        <v>187</v>
      </c>
      <c r="E82" s="228">
        <v>42</v>
      </c>
      <c r="F82" s="153" t="s">
        <v>954</v>
      </c>
      <c r="G82" s="155" t="str">
        <f t="shared" si="17"/>
        <v>Autosoportada42181-220 km/h</v>
      </c>
      <c r="I82" s="323">
        <v>1714474.08</v>
      </c>
      <c r="J82" s="324">
        <v>3.6000000000000004E-2</v>
      </c>
      <c r="K82" s="194">
        <f t="shared" si="22"/>
        <v>1776195.1468800001</v>
      </c>
      <c r="L82" s="265"/>
      <c r="M82" s="265">
        <v>0.03</v>
      </c>
      <c r="N82" s="194">
        <f t="shared" si="18"/>
        <v>0</v>
      </c>
      <c r="P82" s="326">
        <v>22272.164399999998</v>
      </c>
      <c r="Q82" s="327">
        <v>7.2999999999999995E-2</v>
      </c>
      <c r="R82" s="265"/>
      <c r="S82" s="194">
        <f t="shared" si="23"/>
        <v>23898.032401199998</v>
      </c>
      <c r="W82" s="328">
        <f t="shared" si="20"/>
        <v>55</v>
      </c>
      <c r="X82" s="328">
        <f t="shared" si="21"/>
        <v>14.8</v>
      </c>
      <c r="Y82" s="263"/>
      <c r="Z82" s="230">
        <f t="shared" si="24"/>
        <v>14.8</v>
      </c>
      <c r="AA82" s="230">
        <f t="shared" si="25"/>
        <v>13.8</v>
      </c>
    </row>
    <row r="83" spans="3:27" s="151" customFormat="1" outlineLevel="1" x14ac:dyDescent="0.2">
      <c r="C83" s="155"/>
      <c r="D83" s="153" t="s">
        <v>187</v>
      </c>
      <c r="E83" s="228">
        <v>45</v>
      </c>
      <c r="F83" s="153" t="s">
        <v>954</v>
      </c>
      <c r="G83" s="155" t="str">
        <f t="shared" si="17"/>
        <v>Autosoportada45181-220 km/h</v>
      </c>
      <c r="I83" s="323">
        <v>1749489.192</v>
      </c>
      <c r="J83" s="324">
        <v>5.04E-2</v>
      </c>
      <c r="K83" s="194">
        <f t="shared" si="22"/>
        <v>1837663.4472767999</v>
      </c>
      <c r="L83" s="265"/>
      <c r="M83" s="265">
        <v>0.03</v>
      </c>
      <c r="N83" s="194">
        <f t="shared" si="18"/>
        <v>0</v>
      </c>
      <c r="P83" s="326">
        <v>18527.287199999999</v>
      </c>
      <c r="Q83" s="327">
        <v>8.4000000000000005E-2</v>
      </c>
      <c r="R83" s="265"/>
      <c r="S83" s="194">
        <f t="shared" si="23"/>
        <v>20083.579324800001</v>
      </c>
      <c r="W83" s="328">
        <f t="shared" si="20"/>
        <v>55</v>
      </c>
      <c r="X83" s="328">
        <f t="shared" si="21"/>
        <v>14.8</v>
      </c>
      <c r="Y83" s="263"/>
      <c r="Z83" s="230">
        <f t="shared" si="24"/>
        <v>14.8</v>
      </c>
      <c r="AA83" s="230">
        <f t="shared" si="25"/>
        <v>13.8</v>
      </c>
    </row>
    <row r="84" spans="3:27" s="151" customFormat="1" outlineLevel="1" x14ac:dyDescent="0.2">
      <c r="C84" s="155"/>
      <c r="D84" s="153" t="s">
        <v>187</v>
      </c>
      <c r="E84" s="228">
        <v>48</v>
      </c>
      <c r="F84" s="153" t="s">
        <v>954</v>
      </c>
      <c r="G84" s="155" t="str">
        <f t="shared" si="17"/>
        <v>Autosoportada48181-220 km/h</v>
      </c>
      <c r="I84" s="323">
        <v>1629252.3060000001</v>
      </c>
      <c r="J84" s="324">
        <v>3.7200000000000004E-2</v>
      </c>
      <c r="K84" s="194">
        <f t="shared" si="22"/>
        <v>1689860.4917831998</v>
      </c>
      <c r="L84" s="265"/>
      <c r="M84" s="265">
        <v>0.03</v>
      </c>
      <c r="N84" s="194">
        <f t="shared" si="18"/>
        <v>0</v>
      </c>
      <c r="P84" s="326">
        <v>14388.2124</v>
      </c>
      <c r="Q84" s="327">
        <v>0.10200000000000001</v>
      </c>
      <c r="R84" s="265"/>
      <c r="S84" s="194">
        <f t="shared" si="23"/>
        <v>15855.810064800002</v>
      </c>
      <c r="W84" s="328">
        <f t="shared" si="20"/>
        <v>55</v>
      </c>
      <c r="X84" s="328">
        <f t="shared" si="21"/>
        <v>14.8</v>
      </c>
      <c r="Y84" s="263"/>
      <c r="Z84" s="230">
        <f t="shared" si="24"/>
        <v>14.8</v>
      </c>
      <c r="AA84" s="230">
        <f t="shared" si="25"/>
        <v>13.8</v>
      </c>
    </row>
    <row r="85" spans="3:27" s="151" customFormat="1" outlineLevel="1" x14ac:dyDescent="0.2">
      <c r="C85" s="155"/>
      <c r="D85" s="153" t="s">
        <v>187</v>
      </c>
      <c r="E85" s="228">
        <v>51</v>
      </c>
      <c r="F85" s="153" t="s">
        <v>954</v>
      </c>
      <c r="G85" s="155" t="str">
        <f t="shared" si="17"/>
        <v>Autosoportada51181-220 km/h</v>
      </c>
      <c r="I85" s="323">
        <v>1968496.9920000003</v>
      </c>
      <c r="J85" s="324">
        <v>3.6400000000000002E-2</v>
      </c>
      <c r="K85" s="194">
        <f t="shared" si="22"/>
        <v>2040150.2825088003</v>
      </c>
      <c r="L85" s="265"/>
      <c r="M85" s="265">
        <v>0.03</v>
      </c>
      <c r="N85" s="194">
        <f t="shared" si="18"/>
        <v>0</v>
      </c>
      <c r="P85" s="326">
        <v>19512.781200000001</v>
      </c>
      <c r="Q85" s="327">
        <v>7.6000000000000012E-2</v>
      </c>
      <c r="R85" s="265"/>
      <c r="S85" s="194">
        <f t="shared" si="23"/>
        <v>20995.752571200002</v>
      </c>
      <c r="W85" s="328">
        <f t="shared" si="20"/>
        <v>55</v>
      </c>
      <c r="X85" s="328">
        <f t="shared" si="21"/>
        <v>14.8</v>
      </c>
      <c r="Y85" s="263"/>
      <c r="Z85" s="230">
        <f t="shared" si="24"/>
        <v>14.8</v>
      </c>
      <c r="AA85" s="230">
        <f t="shared" si="25"/>
        <v>13.8</v>
      </c>
    </row>
    <row r="86" spans="3:27" s="151" customFormat="1" outlineLevel="1" x14ac:dyDescent="0.2">
      <c r="C86" s="155"/>
      <c r="D86" s="153" t="s">
        <v>187</v>
      </c>
      <c r="E86" s="228">
        <v>54</v>
      </c>
      <c r="F86" s="153" t="s">
        <v>954</v>
      </c>
      <c r="G86" s="155" t="str">
        <f t="shared" si="17"/>
        <v>Autosoportada54181-220 km/h</v>
      </c>
      <c r="I86" s="323">
        <v>1466685.7919999999</v>
      </c>
      <c r="J86" s="324">
        <v>4.4400000000000002E-2</v>
      </c>
      <c r="K86" s="194">
        <f t="shared" si="22"/>
        <v>1531806.6411647999</v>
      </c>
      <c r="L86" s="265"/>
      <c r="M86" s="265">
        <v>0.03</v>
      </c>
      <c r="N86" s="194">
        <f t="shared" si="18"/>
        <v>0</v>
      </c>
      <c r="P86" s="326">
        <v>23454.7572</v>
      </c>
      <c r="Q86" s="327">
        <v>0.10900000000000001</v>
      </c>
      <c r="R86" s="265"/>
      <c r="S86" s="194">
        <f t="shared" si="23"/>
        <v>26011.325734800001</v>
      </c>
      <c r="W86" s="328">
        <f t="shared" si="20"/>
        <v>55</v>
      </c>
      <c r="X86" s="328">
        <f t="shared" si="21"/>
        <v>14.8</v>
      </c>
      <c r="Y86" s="263"/>
      <c r="Z86" s="230">
        <f t="shared" si="24"/>
        <v>14.8</v>
      </c>
      <c r="AA86" s="230">
        <f t="shared" si="25"/>
        <v>13.8</v>
      </c>
    </row>
    <row r="87" spans="3:27" s="151" customFormat="1" outlineLevel="1" x14ac:dyDescent="0.2">
      <c r="C87" s="155"/>
      <c r="D87" s="153" t="s">
        <v>187</v>
      </c>
      <c r="E87" s="228">
        <v>57</v>
      </c>
      <c r="F87" s="153" t="s">
        <v>954</v>
      </c>
      <c r="G87" s="155" t="str">
        <f t="shared" si="17"/>
        <v>Autosoportada57181-220 km/h</v>
      </c>
      <c r="I87" s="323">
        <v>2330425.9439999997</v>
      </c>
      <c r="J87" s="324">
        <v>4.6399999999999997E-2</v>
      </c>
      <c r="K87" s="194">
        <f t="shared" si="22"/>
        <v>2438557.7078015995</v>
      </c>
      <c r="L87" s="265"/>
      <c r="M87" s="265">
        <v>0.03</v>
      </c>
      <c r="N87" s="194">
        <f t="shared" si="18"/>
        <v>0</v>
      </c>
      <c r="P87" s="326">
        <v>14388.2124</v>
      </c>
      <c r="Q87" s="327">
        <v>0.121</v>
      </c>
      <c r="R87" s="265"/>
      <c r="S87" s="194">
        <f t="shared" si="23"/>
        <v>16129.1861004</v>
      </c>
      <c r="W87" s="328">
        <f t="shared" si="20"/>
        <v>55</v>
      </c>
      <c r="X87" s="328">
        <f t="shared" si="21"/>
        <v>14.8</v>
      </c>
      <c r="Y87" s="263"/>
      <c r="Z87" s="230">
        <f t="shared" si="24"/>
        <v>14.8</v>
      </c>
      <c r="AA87" s="230">
        <f t="shared" si="25"/>
        <v>13.8</v>
      </c>
    </row>
    <row r="88" spans="3:27" s="151" customFormat="1" outlineLevel="1" x14ac:dyDescent="0.2">
      <c r="C88" s="155"/>
      <c r="D88" s="153" t="s">
        <v>187</v>
      </c>
      <c r="E88" s="228">
        <v>60</v>
      </c>
      <c r="F88" s="153" t="s">
        <v>954</v>
      </c>
      <c r="G88" s="155" t="str">
        <f t="shared" si="17"/>
        <v>Autosoportada60181-220 km/h</v>
      </c>
      <c r="I88" s="323">
        <v>1707723.27</v>
      </c>
      <c r="J88" s="324">
        <v>3.9600000000000003E-2</v>
      </c>
      <c r="K88" s="194">
        <f t="shared" si="22"/>
        <v>1775349.1114920001</v>
      </c>
      <c r="L88" s="265"/>
      <c r="M88" s="265">
        <v>0.03</v>
      </c>
      <c r="N88" s="194">
        <f t="shared" si="18"/>
        <v>0</v>
      </c>
      <c r="P88" s="326">
        <v>22863.460800000001</v>
      </c>
      <c r="Q88" s="327">
        <v>8.900000000000001E-2</v>
      </c>
      <c r="R88" s="265"/>
      <c r="S88" s="194">
        <f t="shared" si="23"/>
        <v>24898.3088112</v>
      </c>
      <c r="W88" s="328">
        <f t="shared" si="20"/>
        <v>55</v>
      </c>
      <c r="X88" s="328">
        <f t="shared" si="21"/>
        <v>14.8</v>
      </c>
      <c r="Y88" s="263"/>
      <c r="Z88" s="230">
        <f t="shared" si="24"/>
        <v>14.8</v>
      </c>
      <c r="AA88" s="230">
        <f t="shared" si="25"/>
        <v>13.8</v>
      </c>
    </row>
    <row r="89" spans="3:27" s="151" customFormat="1" outlineLevel="1" x14ac:dyDescent="0.2">
      <c r="C89" s="155"/>
      <c r="D89" s="153" t="s">
        <v>187</v>
      </c>
      <c r="E89" s="228">
        <v>63</v>
      </c>
      <c r="F89" s="153" t="s">
        <v>954</v>
      </c>
      <c r="G89" s="155" t="str">
        <f t="shared" si="17"/>
        <v>Autosoportada63181-220 km/h</v>
      </c>
      <c r="I89" s="323">
        <v>2056155.9479999999</v>
      </c>
      <c r="J89" s="324">
        <v>4.7599999999999996E-2</v>
      </c>
      <c r="K89" s="194">
        <f t="shared" si="22"/>
        <v>2154028.9711247999</v>
      </c>
      <c r="L89" s="265"/>
      <c r="M89" s="265">
        <v>0.03</v>
      </c>
      <c r="N89" s="194">
        <f t="shared" si="18"/>
        <v>0</v>
      </c>
      <c r="P89" s="326">
        <v>17935.990800000003</v>
      </c>
      <c r="Q89" s="327">
        <v>7.8000000000000014E-2</v>
      </c>
      <c r="R89" s="265"/>
      <c r="S89" s="194">
        <f t="shared" si="23"/>
        <v>19334.998082400005</v>
      </c>
      <c r="W89" s="328">
        <f t="shared" si="20"/>
        <v>55</v>
      </c>
      <c r="X89" s="328">
        <f t="shared" si="21"/>
        <v>14.8</v>
      </c>
      <c r="Y89" s="263"/>
      <c r="Z89" s="230">
        <f t="shared" si="24"/>
        <v>14.8</v>
      </c>
      <c r="AA89" s="230">
        <f t="shared" si="25"/>
        <v>13.8</v>
      </c>
    </row>
    <row r="90" spans="3:27" s="151" customFormat="1" outlineLevel="1" x14ac:dyDescent="0.2">
      <c r="C90" s="155"/>
      <c r="D90" s="153" t="s">
        <v>187</v>
      </c>
      <c r="E90" s="228">
        <v>66</v>
      </c>
      <c r="F90" s="153" t="s">
        <v>954</v>
      </c>
      <c r="G90" s="155" t="str">
        <f t="shared" si="17"/>
        <v>Autosoportada66181-220 km/h</v>
      </c>
      <c r="I90" s="323">
        <v>2166969.0239999997</v>
      </c>
      <c r="J90" s="324">
        <v>4.0399999999999998E-2</v>
      </c>
      <c r="K90" s="194">
        <f t="shared" si="22"/>
        <v>2254514.5725695998</v>
      </c>
      <c r="L90" s="265"/>
      <c r="M90" s="265">
        <v>0.03</v>
      </c>
      <c r="N90" s="194">
        <f t="shared" si="18"/>
        <v>0</v>
      </c>
      <c r="P90" s="326">
        <v>18133.089600000003</v>
      </c>
      <c r="Q90" s="327">
        <v>0.13</v>
      </c>
      <c r="R90" s="265"/>
      <c r="S90" s="194">
        <f t="shared" si="23"/>
        <v>20490.391248</v>
      </c>
      <c r="W90" s="328">
        <f t="shared" si="20"/>
        <v>55</v>
      </c>
      <c r="X90" s="328">
        <f t="shared" si="21"/>
        <v>14.8</v>
      </c>
      <c r="Y90" s="263"/>
      <c r="Z90" s="230">
        <f t="shared" si="24"/>
        <v>14.8</v>
      </c>
      <c r="AA90" s="230">
        <f t="shared" si="25"/>
        <v>13.8</v>
      </c>
    </row>
    <row r="91" spans="3:27" s="151" customFormat="1" outlineLevel="1" x14ac:dyDescent="0.2">
      <c r="C91" s="155"/>
      <c r="D91" s="153" t="s">
        <v>187</v>
      </c>
      <c r="E91" s="228">
        <v>69</v>
      </c>
      <c r="F91" s="153" t="s">
        <v>954</v>
      </c>
      <c r="G91" s="155" t="str">
        <f t="shared" si="17"/>
        <v>Autosoportada69181-220 km/h</v>
      </c>
      <c r="I91" s="323">
        <v>2346467.5079999999</v>
      </c>
      <c r="J91" s="324">
        <v>3.8399999999999997E-2</v>
      </c>
      <c r="K91" s="194">
        <f t="shared" si="22"/>
        <v>2436571.8603071999</v>
      </c>
      <c r="L91" s="265"/>
      <c r="M91" s="265">
        <v>0.03</v>
      </c>
      <c r="N91" s="194">
        <f t="shared" si="18"/>
        <v>0</v>
      </c>
      <c r="P91" s="326">
        <v>23651.856</v>
      </c>
      <c r="Q91" s="327">
        <v>0.11499999999999999</v>
      </c>
      <c r="R91" s="265"/>
      <c r="S91" s="194">
        <f t="shared" si="23"/>
        <v>26371.819439999999</v>
      </c>
      <c r="W91" s="328">
        <f t="shared" si="20"/>
        <v>55</v>
      </c>
      <c r="X91" s="328">
        <f t="shared" si="21"/>
        <v>14.8</v>
      </c>
      <c r="Y91" s="263"/>
      <c r="Z91" s="230">
        <f t="shared" si="24"/>
        <v>14.8</v>
      </c>
      <c r="AA91" s="230">
        <f t="shared" si="25"/>
        <v>13.8</v>
      </c>
    </row>
    <row r="92" spans="3:27" s="151" customFormat="1" outlineLevel="1" x14ac:dyDescent="0.2">
      <c r="C92" s="155"/>
      <c r="D92" s="153" t="s">
        <v>187</v>
      </c>
      <c r="E92" s="228">
        <v>72</v>
      </c>
      <c r="F92" s="153" t="s">
        <v>954</v>
      </c>
      <c r="G92" s="155" t="str">
        <f t="shared" si="17"/>
        <v>Autosoportada72181-220 km/h</v>
      </c>
      <c r="I92" s="323">
        <v>2267158.41</v>
      </c>
      <c r="J92" s="324">
        <v>4.7199999999999999E-2</v>
      </c>
      <c r="K92" s="194">
        <f t="shared" si="22"/>
        <v>2374168.2869520001</v>
      </c>
      <c r="L92" s="265"/>
      <c r="M92" s="265">
        <v>0.03</v>
      </c>
      <c r="N92" s="194">
        <f t="shared" si="18"/>
        <v>0</v>
      </c>
      <c r="P92" s="326">
        <v>15965.002800000002</v>
      </c>
      <c r="Q92" s="327">
        <v>0.11200000000000002</v>
      </c>
      <c r="R92" s="265"/>
      <c r="S92" s="194">
        <f t="shared" si="23"/>
        <v>17753.083113600005</v>
      </c>
      <c r="W92" s="328">
        <f t="shared" si="20"/>
        <v>55</v>
      </c>
      <c r="X92" s="328">
        <f t="shared" si="21"/>
        <v>14.8</v>
      </c>
      <c r="Y92" s="263"/>
      <c r="Z92" s="230">
        <f t="shared" si="24"/>
        <v>14.8</v>
      </c>
      <c r="AA92" s="230">
        <f t="shared" si="25"/>
        <v>13.8</v>
      </c>
    </row>
    <row r="93" spans="3:27" s="151" customFormat="1" outlineLevel="1" x14ac:dyDescent="0.2">
      <c r="C93" s="155"/>
      <c r="D93" s="153" t="s">
        <v>187</v>
      </c>
      <c r="E93" s="228">
        <v>75</v>
      </c>
      <c r="F93" s="153" t="s">
        <v>954</v>
      </c>
      <c r="G93" s="155" t="str">
        <f t="shared" si="17"/>
        <v>Autosoportada75181-220 km/h</v>
      </c>
      <c r="I93" s="323">
        <v>3579130.3680000002</v>
      </c>
      <c r="J93" s="324">
        <v>4.4400000000000002E-2</v>
      </c>
      <c r="K93" s="194">
        <f t="shared" si="22"/>
        <v>3738043.7563392003</v>
      </c>
      <c r="L93" s="265"/>
      <c r="M93" s="265">
        <v>0.03</v>
      </c>
      <c r="N93" s="194">
        <f t="shared" si="18"/>
        <v>0</v>
      </c>
      <c r="P93" s="326">
        <v>15767.904000000002</v>
      </c>
      <c r="Q93" s="327">
        <v>9.4E-2</v>
      </c>
      <c r="R93" s="265"/>
      <c r="S93" s="194">
        <f t="shared" si="23"/>
        <v>17250.086976000002</v>
      </c>
      <c r="W93" s="328">
        <f t="shared" si="20"/>
        <v>55</v>
      </c>
      <c r="X93" s="328">
        <f t="shared" si="21"/>
        <v>14.8</v>
      </c>
      <c r="Y93" s="263"/>
      <c r="Z93" s="230">
        <f t="shared" si="24"/>
        <v>14.8</v>
      </c>
      <c r="AA93" s="230">
        <f t="shared" si="25"/>
        <v>13.8</v>
      </c>
    </row>
    <row r="94" spans="3:27" s="151" customFormat="1" outlineLevel="1" x14ac:dyDescent="0.2">
      <c r="C94" s="155"/>
      <c r="D94" s="153" t="s">
        <v>187</v>
      </c>
      <c r="E94" s="228">
        <v>78</v>
      </c>
      <c r="F94" s="153" t="s">
        <v>954</v>
      </c>
      <c r="G94" s="155" t="str">
        <f t="shared" si="17"/>
        <v>Autosoportada78181-220 km/h</v>
      </c>
      <c r="I94" s="323">
        <v>3425101.4159999997</v>
      </c>
      <c r="J94" s="324">
        <v>3.56E-2</v>
      </c>
      <c r="K94" s="194">
        <f t="shared" si="22"/>
        <v>3547035.0264095999</v>
      </c>
      <c r="L94" s="265"/>
      <c r="M94" s="265">
        <v>0.03</v>
      </c>
      <c r="N94" s="194">
        <f t="shared" si="18"/>
        <v>0</v>
      </c>
      <c r="P94" s="326">
        <v>14191.113600000001</v>
      </c>
      <c r="Q94" s="327">
        <v>7.3999999999999996E-2</v>
      </c>
      <c r="R94" s="265"/>
      <c r="S94" s="194">
        <f t="shared" si="23"/>
        <v>15241.256006400001</v>
      </c>
      <c r="W94" s="328">
        <f t="shared" si="20"/>
        <v>55</v>
      </c>
      <c r="X94" s="328">
        <f t="shared" si="21"/>
        <v>14.8</v>
      </c>
      <c r="Y94" s="263"/>
      <c r="Z94" s="230">
        <f t="shared" si="24"/>
        <v>14.8</v>
      </c>
      <c r="AA94" s="230">
        <f t="shared" si="25"/>
        <v>13.8</v>
      </c>
    </row>
    <row r="95" spans="3:27" s="151" customFormat="1" outlineLevel="1" x14ac:dyDescent="0.2">
      <c r="C95" s="155"/>
      <c r="D95" s="153" t="s">
        <v>187</v>
      </c>
      <c r="E95" s="228">
        <v>81</v>
      </c>
      <c r="F95" s="153" t="s">
        <v>954</v>
      </c>
      <c r="G95" s="155" t="str">
        <f t="shared" si="17"/>
        <v>Autosoportada81181-220 km/h</v>
      </c>
      <c r="I95" s="323">
        <v>2612463.0840000003</v>
      </c>
      <c r="J95" s="324">
        <v>3.1600000000000003E-2</v>
      </c>
      <c r="K95" s="194">
        <f t="shared" si="22"/>
        <v>2695016.9174544006</v>
      </c>
      <c r="L95" s="265"/>
      <c r="M95" s="265">
        <v>0.03</v>
      </c>
      <c r="N95" s="194">
        <f t="shared" si="18"/>
        <v>0</v>
      </c>
      <c r="P95" s="326">
        <v>23257.6584</v>
      </c>
      <c r="Q95" s="327">
        <v>0.10300000000000001</v>
      </c>
      <c r="R95" s="265"/>
      <c r="S95" s="194">
        <f t="shared" si="23"/>
        <v>25653.197215199998</v>
      </c>
      <c r="W95" s="328">
        <f t="shared" si="20"/>
        <v>55</v>
      </c>
      <c r="X95" s="328">
        <f t="shared" si="21"/>
        <v>14.8</v>
      </c>
      <c r="Y95" s="263"/>
      <c r="Z95" s="230">
        <f t="shared" si="24"/>
        <v>14.8</v>
      </c>
      <c r="AA95" s="230">
        <f t="shared" si="25"/>
        <v>13.8</v>
      </c>
    </row>
    <row r="96" spans="3:27" s="151" customFormat="1" outlineLevel="1" x14ac:dyDescent="0.2">
      <c r="C96" s="155"/>
      <c r="D96" s="153" t="s">
        <v>187</v>
      </c>
      <c r="E96" s="228">
        <v>102</v>
      </c>
      <c r="F96" s="153" t="s">
        <v>954</v>
      </c>
      <c r="G96" s="155" t="str">
        <f t="shared" si="17"/>
        <v>Autosoportada102181-220 km/h</v>
      </c>
      <c r="I96" s="323">
        <v>4044517.4879999999</v>
      </c>
      <c r="J96" s="324">
        <v>4.1200000000000001E-2</v>
      </c>
      <c r="K96" s="194">
        <f t="shared" si="22"/>
        <v>4211151.6085055992</v>
      </c>
      <c r="L96" s="265"/>
      <c r="M96" s="265">
        <v>0.03</v>
      </c>
      <c r="N96" s="194">
        <f t="shared" si="18"/>
        <v>0</v>
      </c>
      <c r="P96" s="326">
        <v>24440.251200000002</v>
      </c>
      <c r="Q96" s="327">
        <v>0.10300000000000001</v>
      </c>
      <c r="R96" s="265"/>
      <c r="S96" s="194">
        <f t="shared" si="23"/>
        <v>26957.597073600002</v>
      </c>
      <c r="W96" s="328">
        <f t="shared" si="20"/>
        <v>55</v>
      </c>
      <c r="X96" s="328">
        <f t="shared" si="21"/>
        <v>14.8</v>
      </c>
      <c r="Y96" s="263"/>
      <c r="Z96" s="230">
        <f t="shared" si="24"/>
        <v>14.8</v>
      </c>
      <c r="AA96" s="230">
        <f t="shared" si="25"/>
        <v>13.8</v>
      </c>
    </row>
    <row r="97" spans="3:27" s="151" customFormat="1" outlineLevel="1" x14ac:dyDescent="0.2">
      <c r="C97" s="155"/>
      <c r="D97" s="153" t="s">
        <v>187</v>
      </c>
      <c r="E97" s="228">
        <v>12</v>
      </c>
      <c r="F97" s="153" t="s">
        <v>955</v>
      </c>
      <c r="G97" s="155" t="str">
        <f t="shared" si="17"/>
        <v>Autosoportada12221-260 km/h</v>
      </c>
      <c r="I97" s="323">
        <v>1038283.7849999999</v>
      </c>
      <c r="J97" s="324">
        <v>4.9200000000000001E-2</v>
      </c>
      <c r="K97" s="194">
        <f t="shared" si="22"/>
        <v>1089367.3472219999</v>
      </c>
      <c r="L97" s="265"/>
      <c r="M97" s="265">
        <v>0.03</v>
      </c>
      <c r="N97" s="194">
        <f t="shared" si="18"/>
        <v>0</v>
      </c>
      <c r="P97" s="326">
        <v>23060.559600000001</v>
      </c>
      <c r="Q97" s="327">
        <v>0.10700000000000001</v>
      </c>
      <c r="R97" s="265"/>
      <c r="S97" s="194">
        <f t="shared" si="23"/>
        <v>25528.0394772</v>
      </c>
      <c r="W97" s="328">
        <f t="shared" si="20"/>
        <v>55</v>
      </c>
      <c r="X97" s="328">
        <f t="shared" si="21"/>
        <v>14.8</v>
      </c>
      <c r="Y97" s="263"/>
      <c r="Z97" s="230">
        <f t="shared" si="24"/>
        <v>14.8</v>
      </c>
      <c r="AA97" s="230">
        <f t="shared" si="25"/>
        <v>13.8</v>
      </c>
    </row>
    <row r="98" spans="3:27" s="151" customFormat="1" outlineLevel="1" x14ac:dyDescent="0.2">
      <c r="C98" s="155"/>
      <c r="D98" s="153" t="s">
        <v>187</v>
      </c>
      <c r="E98" s="228">
        <v>15</v>
      </c>
      <c r="F98" s="153" t="s">
        <v>955</v>
      </c>
      <c r="G98" s="155" t="str">
        <f t="shared" si="17"/>
        <v>Autosoportada15221-260 km/h</v>
      </c>
      <c r="I98" s="323">
        <v>849248.97750000004</v>
      </c>
      <c r="J98" s="324">
        <v>3.2799999999999996E-2</v>
      </c>
      <c r="K98" s="194">
        <f t="shared" si="22"/>
        <v>877104.34396199998</v>
      </c>
      <c r="L98" s="265"/>
      <c r="M98" s="265">
        <v>0.03</v>
      </c>
      <c r="N98" s="194">
        <f t="shared" si="18"/>
        <v>0</v>
      </c>
      <c r="P98" s="326">
        <v>16950.496800000001</v>
      </c>
      <c r="Q98" s="327">
        <v>0.10600000000000001</v>
      </c>
      <c r="R98" s="265"/>
      <c r="S98" s="194">
        <f t="shared" si="23"/>
        <v>18747.249460800002</v>
      </c>
      <c r="W98" s="328">
        <f t="shared" si="20"/>
        <v>55</v>
      </c>
      <c r="X98" s="328">
        <f t="shared" si="21"/>
        <v>14.8</v>
      </c>
      <c r="Y98" s="263"/>
      <c r="Z98" s="230">
        <f t="shared" si="24"/>
        <v>14.8</v>
      </c>
      <c r="AA98" s="230">
        <f t="shared" si="25"/>
        <v>13.8</v>
      </c>
    </row>
    <row r="99" spans="3:27" s="151" customFormat="1" outlineLevel="1" x14ac:dyDescent="0.2">
      <c r="C99" s="155"/>
      <c r="D99" s="153" t="s">
        <v>187</v>
      </c>
      <c r="E99" s="228">
        <v>18</v>
      </c>
      <c r="F99" s="153" t="s">
        <v>955</v>
      </c>
      <c r="G99" s="155" t="str">
        <f t="shared" si="17"/>
        <v>Autosoportada18221-260 km/h</v>
      </c>
      <c r="I99" s="323">
        <v>1158332.175</v>
      </c>
      <c r="J99" s="324">
        <v>5.1200000000000002E-2</v>
      </c>
      <c r="K99" s="194">
        <f t="shared" si="22"/>
        <v>1217638.7823599998</v>
      </c>
      <c r="L99" s="265"/>
      <c r="M99" s="265">
        <v>0.03</v>
      </c>
      <c r="N99" s="194">
        <f t="shared" si="18"/>
        <v>0</v>
      </c>
      <c r="P99" s="326">
        <v>16950.496800000001</v>
      </c>
      <c r="Q99" s="327">
        <v>8.2000000000000003E-2</v>
      </c>
      <c r="R99" s="265"/>
      <c r="S99" s="194">
        <f t="shared" si="23"/>
        <v>18340.437537600003</v>
      </c>
      <c r="W99" s="328">
        <f t="shared" si="20"/>
        <v>55</v>
      </c>
      <c r="X99" s="328">
        <f t="shared" si="21"/>
        <v>14.8</v>
      </c>
      <c r="Y99" s="263"/>
      <c r="Z99" s="230">
        <f t="shared" si="24"/>
        <v>14.8</v>
      </c>
      <c r="AA99" s="230">
        <f t="shared" si="25"/>
        <v>13.8</v>
      </c>
    </row>
    <row r="100" spans="3:27" s="151" customFormat="1" outlineLevel="1" x14ac:dyDescent="0.2">
      <c r="C100" s="155"/>
      <c r="D100" s="153" t="s">
        <v>187</v>
      </c>
      <c r="E100" s="228">
        <v>21</v>
      </c>
      <c r="F100" s="153" t="s">
        <v>955</v>
      </c>
      <c r="G100" s="155" t="str">
        <f t="shared" si="17"/>
        <v>Autosoportada21221-260 km/h</v>
      </c>
      <c r="I100" s="323">
        <v>1343647.3049999999</v>
      </c>
      <c r="J100" s="324">
        <v>0.03</v>
      </c>
      <c r="K100" s="194">
        <f t="shared" si="22"/>
        <v>1383956.7241499999</v>
      </c>
      <c r="L100" s="265"/>
      <c r="M100" s="265">
        <v>0.03</v>
      </c>
      <c r="N100" s="194">
        <f t="shared" si="18"/>
        <v>0</v>
      </c>
      <c r="P100" s="326">
        <v>18921.484800000002</v>
      </c>
      <c r="Q100" s="327">
        <v>0.11100000000000002</v>
      </c>
      <c r="R100" s="265"/>
      <c r="S100" s="194">
        <f t="shared" si="23"/>
        <v>21021.769612800003</v>
      </c>
      <c r="W100" s="328">
        <f t="shared" si="20"/>
        <v>55</v>
      </c>
      <c r="X100" s="328">
        <f t="shared" si="21"/>
        <v>14.8</v>
      </c>
      <c r="Y100" s="263"/>
      <c r="Z100" s="230">
        <f t="shared" si="24"/>
        <v>14.8</v>
      </c>
      <c r="AA100" s="230">
        <f t="shared" si="25"/>
        <v>13.8</v>
      </c>
    </row>
    <row r="101" spans="3:27" s="151" customFormat="1" outlineLevel="1" x14ac:dyDescent="0.2">
      <c r="C101" s="155"/>
      <c r="D101" s="153" t="s">
        <v>187</v>
      </c>
      <c r="E101" s="228">
        <v>24</v>
      </c>
      <c r="F101" s="153" t="s">
        <v>955</v>
      </c>
      <c r="G101" s="155" t="str">
        <f t="shared" si="17"/>
        <v>Autosoportada24221-260 km/h</v>
      </c>
      <c r="I101" s="323">
        <v>1178174.4974999998</v>
      </c>
      <c r="J101" s="324">
        <v>2.8799999999999999E-2</v>
      </c>
      <c r="K101" s="194">
        <f t="shared" si="22"/>
        <v>1212105.9230279997</v>
      </c>
      <c r="L101" s="265"/>
      <c r="M101" s="265">
        <v>0.03</v>
      </c>
      <c r="N101" s="194">
        <f t="shared" si="18"/>
        <v>0</v>
      </c>
      <c r="P101" s="326">
        <v>18527.287199999999</v>
      </c>
      <c r="Q101" s="327">
        <v>0.10500000000000001</v>
      </c>
      <c r="R101" s="265"/>
      <c r="S101" s="194">
        <f t="shared" si="23"/>
        <v>20472.652355999999</v>
      </c>
      <c r="W101" s="328">
        <f t="shared" si="20"/>
        <v>55</v>
      </c>
      <c r="X101" s="328">
        <f t="shared" si="21"/>
        <v>14.8</v>
      </c>
      <c r="Y101" s="263"/>
      <c r="Z101" s="230">
        <f t="shared" si="24"/>
        <v>14.8</v>
      </c>
      <c r="AA101" s="230">
        <f t="shared" si="25"/>
        <v>13.8</v>
      </c>
    </row>
    <row r="102" spans="3:27" s="151" customFormat="1" outlineLevel="1" x14ac:dyDescent="0.2">
      <c r="C102" s="155"/>
      <c r="D102" s="153" t="s">
        <v>187</v>
      </c>
      <c r="E102" s="228">
        <v>27</v>
      </c>
      <c r="F102" s="153" t="s">
        <v>955</v>
      </c>
      <c r="G102" s="155" t="str">
        <f t="shared" si="17"/>
        <v>Autosoportada27221-260 km/h</v>
      </c>
      <c r="I102" s="323">
        <v>1474493.2124999999</v>
      </c>
      <c r="J102" s="324">
        <v>4.2800000000000005E-2</v>
      </c>
      <c r="K102" s="194">
        <f t="shared" si="22"/>
        <v>1537601.5219949998</v>
      </c>
      <c r="L102" s="265"/>
      <c r="M102" s="265">
        <v>0.03</v>
      </c>
      <c r="N102" s="194">
        <f t="shared" si="18"/>
        <v>0</v>
      </c>
      <c r="P102" s="326">
        <v>23060.559600000001</v>
      </c>
      <c r="Q102" s="327">
        <v>9.8000000000000004E-2</v>
      </c>
      <c r="R102" s="265"/>
      <c r="S102" s="194">
        <f t="shared" si="23"/>
        <v>25320.494440800001</v>
      </c>
      <c r="W102" s="328">
        <f t="shared" si="20"/>
        <v>55</v>
      </c>
      <c r="X102" s="328">
        <f t="shared" si="21"/>
        <v>14.8</v>
      </c>
      <c r="Y102" s="263"/>
      <c r="Z102" s="230">
        <f t="shared" si="24"/>
        <v>14.8</v>
      </c>
      <c r="AA102" s="230">
        <f t="shared" si="25"/>
        <v>13.8</v>
      </c>
    </row>
    <row r="103" spans="3:27" s="151" customFormat="1" outlineLevel="1" x14ac:dyDescent="0.2">
      <c r="C103" s="155"/>
      <c r="D103" s="153" t="s">
        <v>187</v>
      </c>
      <c r="E103" s="228">
        <v>30</v>
      </c>
      <c r="F103" s="153" t="s">
        <v>955</v>
      </c>
      <c r="G103" s="155" t="str">
        <f t="shared" si="17"/>
        <v>Autosoportada30221-260 km/h</v>
      </c>
      <c r="I103" s="323">
        <v>1835841.8925000001</v>
      </c>
      <c r="J103" s="324">
        <v>3.6400000000000002E-2</v>
      </c>
      <c r="K103" s="194">
        <f t="shared" si="22"/>
        <v>1902666.5373870002</v>
      </c>
      <c r="L103" s="265"/>
      <c r="M103" s="265">
        <v>0.03</v>
      </c>
      <c r="N103" s="194">
        <f t="shared" si="18"/>
        <v>0</v>
      </c>
      <c r="P103" s="326">
        <v>13994.014800000001</v>
      </c>
      <c r="Q103" s="327">
        <v>8.5000000000000006E-2</v>
      </c>
      <c r="R103" s="265"/>
      <c r="S103" s="194">
        <f t="shared" si="23"/>
        <v>15183.506058000001</v>
      </c>
      <c r="W103" s="328">
        <f t="shared" si="20"/>
        <v>55</v>
      </c>
      <c r="X103" s="328">
        <f t="shared" si="21"/>
        <v>14.8</v>
      </c>
      <c r="Y103" s="263"/>
      <c r="Z103" s="230">
        <f t="shared" si="24"/>
        <v>14.8</v>
      </c>
      <c r="AA103" s="230">
        <f t="shared" si="25"/>
        <v>13.8</v>
      </c>
    </row>
    <row r="104" spans="3:27" s="151" customFormat="1" outlineLevel="1" x14ac:dyDescent="0.2">
      <c r="C104" s="155"/>
      <c r="D104" s="153" t="s">
        <v>187</v>
      </c>
      <c r="E104" s="228">
        <v>33</v>
      </c>
      <c r="F104" s="153" t="s">
        <v>955</v>
      </c>
      <c r="G104" s="155" t="str">
        <f t="shared" si="17"/>
        <v>Autosoportada33221-260 km/h</v>
      </c>
      <c r="I104" s="323">
        <v>1580173.7490000001</v>
      </c>
      <c r="J104" s="324">
        <v>4.2800000000000005E-2</v>
      </c>
      <c r="K104" s="194">
        <f t="shared" si="22"/>
        <v>1647805.1854572</v>
      </c>
      <c r="L104" s="265"/>
      <c r="M104" s="265">
        <v>0.03</v>
      </c>
      <c r="N104" s="194">
        <f t="shared" si="18"/>
        <v>0</v>
      </c>
      <c r="P104" s="326">
        <v>25622.844000000001</v>
      </c>
      <c r="Q104" s="327">
        <v>0.127</v>
      </c>
      <c r="R104" s="265"/>
      <c r="S104" s="194">
        <f t="shared" si="23"/>
        <v>28876.945188000002</v>
      </c>
      <c r="W104" s="328">
        <f t="shared" si="20"/>
        <v>55</v>
      </c>
      <c r="X104" s="328">
        <f t="shared" si="21"/>
        <v>14.8</v>
      </c>
      <c r="Y104" s="263"/>
      <c r="Z104" s="230">
        <f t="shared" si="24"/>
        <v>14.8</v>
      </c>
      <c r="AA104" s="230">
        <f t="shared" si="25"/>
        <v>13.8</v>
      </c>
    </row>
    <row r="105" spans="3:27" s="151" customFormat="1" outlineLevel="1" x14ac:dyDescent="0.2">
      <c r="C105" s="155"/>
      <c r="D105" s="153" t="s">
        <v>187</v>
      </c>
      <c r="E105" s="228">
        <v>36</v>
      </c>
      <c r="F105" s="153" t="s">
        <v>955</v>
      </c>
      <c r="G105" s="155" t="str">
        <f t="shared" si="17"/>
        <v>Autosoportada36221-260 km/h</v>
      </c>
      <c r="I105" s="323">
        <v>2124349.9200000004</v>
      </c>
      <c r="J105" s="324">
        <v>4.5599999999999995E-2</v>
      </c>
      <c r="K105" s="194">
        <f t="shared" si="22"/>
        <v>2221220.2763520004</v>
      </c>
      <c r="L105" s="265"/>
      <c r="M105" s="265">
        <v>0.03</v>
      </c>
      <c r="N105" s="194">
        <f t="shared" si="18"/>
        <v>0</v>
      </c>
      <c r="P105" s="326">
        <v>14388.2124</v>
      </c>
      <c r="Q105" s="327">
        <v>7.8000000000000014E-2</v>
      </c>
      <c r="R105" s="265"/>
      <c r="S105" s="194">
        <f t="shared" si="23"/>
        <v>15510.492967200002</v>
      </c>
      <c r="W105" s="328">
        <f t="shared" si="20"/>
        <v>55</v>
      </c>
      <c r="X105" s="328">
        <f t="shared" si="21"/>
        <v>14.8</v>
      </c>
      <c r="Y105" s="263"/>
      <c r="Z105" s="230">
        <f t="shared" si="24"/>
        <v>14.8</v>
      </c>
      <c r="AA105" s="230">
        <f t="shared" si="25"/>
        <v>13.8</v>
      </c>
    </row>
    <row r="106" spans="3:27" s="151" customFormat="1" outlineLevel="1" x14ac:dyDescent="0.2">
      <c r="C106" s="155"/>
      <c r="D106" s="153" t="s">
        <v>187</v>
      </c>
      <c r="E106" s="228">
        <v>39</v>
      </c>
      <c r="F106" s="153" t="s">
        <v>955</v>
      </c>
      <c r="G106" s="155" t="str">
        <f t="shared" si="17"/>
        <v>Autosoportada39221-260 km/h</v>
      </c>
      <c r="I106" s="323">
        <v>2154952.8000000003</v>
      </c>
      <c r="J106" s="324">
        <v>4.6399999999999997E-2</v>
      </c>
      <c r="K106" s="194">
        <f t="shared" si="22"/>
        <v>2254942.6099200002</v>
      </c>
      <c r="L106" s="265"/>
      <c r="M106" s="265">
        <v>0.03</v>
      </c>
      <c r="N106" s="194">
        <f t="shared" si="18"/>
        <v>0</v>
      </c>
      <c r="P106" s="326">
        <v>23848.9548</v>
      </c>
      <c r="Q106" s="327">
        <v>9.7000000000000003E-2</v>
      </c>
      <c r="R106" s="265"/>
      <c r="S106" s="194">
        <f t="shared" si="23"/>
        <v>26162.303415599999</v>
      </c>
      <c r="W106" s="328">
        <f t="shared" si="20"/>
        <v>55</v>
      </c>
      <c r="X106" s="328">
        <f t="shared" si="21"/>
        <v>14.8</v>
      </c>
      <c r="Y106" s="263"/>
      <c r="Z106" s="230">
        <f t="shared" si="24"/>
        <v>14.8</v>
      </c>
      <c r="AA106" s="230">
        <f t="shared" si="25"/>
        <v>13.8</v>
      </c>
    </row>
    <row r="107" spans="3:27" s="151" customFormat="1" outlineLevel="1" x14ac:dyDescent="0.2">
      <c r="C107" s="155"/>
      <c r="D107" s="153" t="s">
        <v>187</v>
      </c>
      <c r="E107" s="228">
        <v>42</v>
      </c>
      <c r="F107" s="153" t="s">
        <v>955</v>
      </c>
      <c r="G107" s="155" t="str">
        <f t="shared" si="17"/>
        <v>Autosoportada42221-260 km/h</v>
      </c>
      <c r="I107" s="323">
        <v>2213502.6275999998</v>
      </c>
      <c r="J107" s="324">
        <v>3.9600000000000003E-2</v>
      </c>
      <c r="K107" s="194">
        <f t="shared" si="22"/>
        <v>2301157.3316529598</v>
      </c>
      <c r="L107" s="265"/>
      <c r="M107" s="265">
        <v>0.03</v>
      </c>
      <c r="N107" s="194">
        <f t="shared" si="18"/>
        <v>0</v>
      </c>
      <c r="P107" s="326">
        <v>17541.7932</v>
      </c>
      <c r="Q107" s="327">
        <v>0.121</v>
      </c>
      <c r="R107" s="265"/>
      <c r="S107" s="194">
        <f t="shared" si="23"/>
        <v>19664.350177200002</v>
      </c>
      <c r="W107" s="328">
        <f t="shared" si="20"/>
        <v>55</v>
      </c>
      <c r="X107" s="328">
        <f t="shared" si="21"/>
        <v>14.8</v>
      </c>
      <c r="Y107" s="263"/>
      <c r="Z107" s="230">
        <f t="shared" si="24"/>
        <v>14.8</v>
      </c>
      <c r="AA107" s="230">
        <f t="shared" si="25"/>
        <v>13.8</v>
      </c>
    </row>
    <row r="108" spans="3:27" s="151" customFormat="1" outlineLevel="1" x14ac:dyDescent="0.2">
      <c r="C108" s="155"/>
      <c r="D108" s="153" t="s">
        <v>187</v>
      </c>
      <c r="E108" s="228">
        <v>45</v>
      </c>
      <c r="F108" s="153" t="s">
        <v>955</v>
      </c>
      <c r="G108" s="155" t="str">
        <f t="shared" si="17"/>
        <v>Autosoportada45221-260 km/h</v>
      </c>
      <c r="I108" s="323">
        <v>2295731.5920000002</v>
      </c>
      <c r="J108" s="324">
        <v>3.0800000000000001E-2</v>
      </c>
      <c r="K108" s="194">
        <f t="shared" si="22"/>
        <v>2366440.1250336003</v>
      </c>
      <c r="L108" s="265"/>
      <c r="M108" s="265">
        <v>0.03</v>
      </c>
      <c r="N108" s="194">
        <f t="shared" si="18"/>
        <v>0</v>
      </c>
      <c r="P108" s="326">
        <v>16950.496800000001</v>
      </c>
      <c r="Q108" s="327">
        <v>0.11200000000000002</v>
      </c>
      <c r="R108" s="265"/>
      <c r="S108" s="194">
        <f t="shared" si="23"/>
        <v>18848.952441600002</v>
      </c>
      <c r="W108" s="328">
        <f t="shared" si="20"/>
        <v>55</v>
      </c>
      <c r="X108" s="328">
        <f t="shared" si="21"/>
        <v>14.8</v>
      </c>
      <c r="Y108" s="263"/>
      <c r="Z108" s="230">
        <f t="shared" si="24"/>
        <v>14.8</v>
      </c>
      <c r="AA108" s="230">
        <f t="shared" si="25"/>
        <v>13.8</v>
      </c>
    </row>
    <row r="109" spans="3:27" s="151" customFormat="1" outlineLevel="1" x14ac:dyDescent="0.2">
      <c r="C109" s="155"/>
      <c r="D109" s="153" t="s">
        <v>187</v>
      </c>
      <c r="E109" s="228">
        <v>48</v>
      </c>
      <c r="F109" s="153" t="s">
        <v>955</v>
      </c>
      <c r="G109" s="155" t="str">
        <f t="shared" si="17"/>
        <v>Autosoportada48221-260 km/h</v>
      </c>
      <c r="I109" s="323">
        <v>2843936.568</v>
      </c>
      <c r="J109" s="324">
        <v>3.1600000000000003E-2</v>
      </c>
      <c r="K109" s="194">
        <f t="shared" si="22"/>
        <v>2933804.9635488</v>
      </c>
      <c r="L109" s="265"/>
      <c r="M109" s="265">
        <v>0.03</v>
      </c>
      <c r="N109" s="194">
        <f t="shared" si="18"/>
        <v>0</v>
      </c>
      <c r="P109" s="326">
        <v>18133.089600000003</v>
      </c>
      <c r="Q109" s="327">
        <v>8.4000000000000005E-2</v>
      </c>
      <c r="R109" s="265"/>
      <c r="S109" s="194">
        <f t="shared" si="23"/>
        <v>19656.269126400006</v>
      </c>
      <c r="W109" s="328">
        <f t="shared" si="20"/>
        <v>55</v>
      </c>
      <c r="X109" s="328">
        <f t="shared" si="21"/>
        <v>14.8</v>
      </c>
      <c r="Y109" s="263"/>
      <c r="Z109" s="230">
        <f t="shared" si="24"/>
        <v>14.8</v>
      </c>
      <c r="AA109" s="230">
        <f t="shared" si="25"/>
        <v>13.8</v>
      </c>
    </row>
    <row r="110" spans="3:27" s="151" customFormat="1" outlineLevel="1" x14ac:dyDescent="0.2">
      <c r="C110" s="155"/>
      <c r="D110" s="153" t="s">
        <v>187</v>
      </c>
      <c r="E110" s="228">
        <v>51</v>
      </c>
      <c r="F110" s="153" t="s">
        <v>955</v>
      </c>
      <c r="G110" s="155" t="str">
        <f t="shared" si="17"/>
        <v>Autosoportada51221-260 km/h</v>
      </c>
      <c r="I110" s="323">
        <v>2072796.5016000001</v>
      </c>
      <c r="J110" s="324">
        <v>0.03</v>
      </c>
      <c r="K110" s="194">
        <f t="shared" si="22"/>
        <v>2134980.396648</v>
      </c>
      <c r="L110" s="265"/>
      <c r="M110" s="265">
        <v>0.03</v>
      </c>
      <c r="N110" s="194">
        <f t="shared" si="18"/>
        <v>0</v>
      </c>
      <c r="P110" s="326">
        <v>20695.374000000003</v>
      </c>
      <c r="Q110" s="327">
        <v>7.9000000000000015E-2</v>
      </c>
      <c r="R110" s="265"/>
      <c r="S110" s="194">
        <f t="shared" si="23"/>
        <v>22330.308546000004</v>
      </c>
      <c r="W110" s="328">
        <f t="shared" si="20"/>
        <v>55</v>
      </c>
      <c r="X110" s="328">
        <f t="shared" si="21"/>
        <v>14.8</v>
      </c>
      <c r="Y110" s="263"/>
      <c r="Z110" s="230">
        <f t="shared" si="24"/>
        <v>14.8</v>
      </c>
      <c r="AA110" s="230">
        <f t="shared" si="25"/>
        <v>13.8</v>
      </c>
    </row>
    <row r="111" spans="3:27" s="151" customFormat="1" outlineLevel="1" x14ac:dyDescent="0.2">
      <c r="C111" s="155"/>
      <c r="D111" s="153" t="s">
        <v>187</v>
      </c>
      <c r="E111" s="228">
        <v>54</v>
      </c>
      <c r="F111" s="153" t="s">
        <v>955</v>
      </c>
      <c r="G111" s="155" t="str">
        <f t="shared" si="17"/>
        <v>Autosoportada54221-260 km/h</v>
      </c>
      <c r="I111" s="323">
        <v>2991166.5959999999</v>
      </c>
      <c r="J111" s="324">
        <v>3.7999999999999999E-2</v>
      </c>
      <c r="K111" s="194">
        <f t="shared" si="22"/>
        <v>3104830.9266479998</v>
      </c>
      <c r="L111" s="265"/>
      <c r="M111" s="265">
        <v>0.03</v>
      </c>
      <c r="N111" s="194">
        <f t="shared" si="18"/>
        <v>0</v>
      </c>
      <c r="P111" s="326">
        <v>23454.7572</v>
      </c>
      <c r="Q111" s="327">
        <v>0.121</v>
      </c>
      <c r="R111" s="265"/>
      <c r="S111" s="194">
        <f t="shared" si="23"/>
        <v>26292.782821199999</v>
      </c>
      <c r="W111" s="328">
        <f t="shared" si="20"/>
        <v>55</v>
      </c>
      <c r="X111" s="328">
        <f t="shared" si="21"/>
        <v>14.8</v>
      </c>
      <c r="Y111" s="263"/>
      <c r="Z111" s="230">
        <f t="shared" si="24"/>
        <v>14.8</v>
      </c>
      <c r="AA111" s="230">
        <f t="shared" si="25"/>
        <v>13.8</v>
      </c>
    </row>
    <row r="112" spans="3:27" s="151" customFormat="1" outlineLevel="1" x14ac:dyDescent="0.2">
      <c r="C112" s="155"/>
      <c r="D112" s="153" t="s">
        <v>187</v>
      </c>
      <c r="E112" s="228">
        <v>57</v>
      </c>
      <c r="F112" s="153" t="s">
        <v>955</v>
      </c>
      <c r="G112" s="155" t="str">
        <f t="shared" ref="G112:G175" si="26">D112&amp;E112&amp;F112</f>
        <v>Autosoportada57221-260 km/h</v>
      </c>
      <c r="I112" s="323">
        <v>3178198.7226000004</v>
      </c>
      <c r="J112" s="324">
        <v>3.8800000000000001E-2</v>
      </c>
      <c r="K112" s="194">
        <f t="shared" si="22"/>
        <v>3301512.8330368805</v>
      </c>
      <c r="L112" s="265"/>
      <c r="M112" s="265">
        <v>0.03</v>
      </c>
      <c r="N112" s="194">
        <f t="shared" ref="N112:N175" si="27">(L112*(1+M112)^$C$5)*((1+sens.capex.unitarios))</f>
        <v>0</v>
      </c>
      <c r="P112" s="326">
        <v>13994.014800000001</v>
      </c>
      <c r="Q112" s="327">
        <v>9.2000000000000012E-2</v>
      </c>
      <c r="R112" s="265"/>
      <c r="S112" s="194">
        <f t="shared" si="23"/>
        <v>15281.464161600003</v>
      </c>
      <c r="W112" s="328">
        <f t="shared" si="20"/>
        <v>55</v>
      </c>
      <c r="X112" s="328">
        <f t="shared" si="21"/>
        <v>14.8</v>
      </c>
      <c r="Y112" s="263"/>
      <c r="Z112" s="230">
        <f t="shared" si="24"/>
        <v>14.8</v>
      </c>
      <c r="AA112" s="230">
        <f t="shared" si="25"/>
        <v>13.8</v>
      </c>
    </row>
    <row r="113" spans="3:27" s="151" customFormat="1" outlineLevel="1" x14ac:dyDescent="0.2">
      <c r="C113" s="155"/>
      <c r="D113" s="153" t="s">
        <v>187</v>
      </c>
      <c r="E113" s="228">
        <v>60</v>
      </c>
      <c r="F113" s="153" t="s">
        <v>955</v>
      </c>
      <c r="G113" s="155" t="str">
        <f t="shared" si="26"/>
        <v>Autosoportada60221-260 km/h</v>
      </c>
      <c r="I113" s="323">
        <v>3746358</v>
      </c>
      <c r="J113" s="324">
        <v>3.1200000000000002E-2</v>
      </c>
      <c r="K113" s="194">
        <f t="shared" si="22"/>
        <v>3863244.3695999994</v>
      </c>
      <c r="L113" s="265"/>
      <c r="M113" s="265">
        <v>0.03</v>
      </c>
      <c r="N113" s="194">
        <f t="shared" si="27"/>
        <v>0</v>
      </c>
      <c r="P113" s="326">
        <v>22075.065600000002</v>
      </c>
      <c r="Q113" s="327">
        <v>0.126</v>
      </c>
      <c r="R113" s="265"/>
      <c r="S113" s="194">
        <f t="shared" si="23"/>
        <v>24856.5238656</v>
      </c>
      <c r="W113" s="328">
        <f t="shared" ref="W113:W176" si="28">$W$47</f>
        <v>55</v>
      </c>
      <c r="X113" s="328">
        <f t="shared" ref="X113:X176" si="29">$X$47</f>
        <v>14.8</v>
      </c>
      <c r="Y113" s="263"/>
      <c r="Z113" s="230">
        <f t="shared" si="24"/>
        <v>14.8</v>
      </c>
      <c r="AA113" s="230">
        <f t="shared" si="25"/>
        <v>13.8</v>
      </c>
    </row>
    <row r="114" spans="3:27" s="151" customFormat="1" outlineLevel="1" x14ac:dyDescent="0.2">
      <c r="C114" s="155"/>
      <c r="D114" s="153" t="s">
        <v>187</v>
      </c>
      <c r="E114" s="228">
        <v>63</v>
      </c>
      <c r="F114" s="153" t="s">
        <v>955</v>
      </c>
      <c r="G114" s="155" t="str">
        <f t="shared" si="26"/>
        <v>Autosoportada63221-260 km/h</v>
      </c>
      <c r="I114" s="323">
        <v>2782289.3471999997</v>
      </c>
      <c r="J114" s="324">
        <v>4.4000000000000004E-2</v>
      </c>
      <c r="K114" s="194">
        <f t="shared" si="22"/>
        <v>2904710.0784767997</v>
      </c>
      <c r="L114" s="265"/>
      <c r="M114" s="265">
        <v>0.03</v>
      </c>
      <c r="N114" s="194">
        <f t="shared" si="27"/>
        <v>0</v>
      </c>
      <c r="P114" s="326">
        <v>25425.745200000001</v>
      </c>
      <c r="Q114" s="327">
        <v>8.3000000000000004E-2</v>
      </c>
      <c r="R114" s="265"/>
      <c r="S114" s="194">
        <f t="shared" si="23"/>
        <v>27536.082051600002</v>
      </c>
      <c r="W114" s="328">
        <f t="shared" si="28"/>
        <v>55</v>
      </c>
      <c r="X114" s="328">
        <f t="shared" si="29"/>
        <v>14.8</v>
      </c>
      <c r="Y114" s="263"/>
      <c r="Z114" s="230">
        <f t="shared" si="24"/>
        <v>14.8</v>
      </c>
      <c r="AA114" s="230">
        <f t="shared" si="25"/>
        <v>13.8</v>
      </c>
    </row>
    <row r="115" spans="3:27" s="151" customFormat="1" outlineLevel="1" x14ac:dyDescent="0.2">
      <c r="C115" s="155"/>
      <c r="D115" s="153" t="s">
        <v>187</v>
      </c>
      <c r="E115" s="228">
        <v>66</v>
      </c>
      <c r="F115" s="153" t="s">
        <v>955</v>
      </c>
      <c r="G115" s="155" t="str">
        <f t="shared" si="26"/>
        <v>Autosoportada66221-260 km/h</v>
      </c>
      <c r="I115" s="323">
        <v>4084459.83</v>
      </c>
      <c r="J115" s="324">
        <v>3.7999999999999999E-2</v>
      </c>
      <c r="K115" s="194">
        <f t="shared" si="22"/>
        <v>4239669.3035399998</v>
      </c>
      <c r="L115" s="265"/>
      <c r="M115" s="265">
        <v>0.03</v>
      </c>
      <c r="N115" s="194">
        <f t="shared" si="27"/>
        <v>0</v>
      </c>
      <c r="P115" s="326">
        <v>23060.559600000001</v>
      </c>
      <c r="Q115" s="327">
        <v>8.900000000000001E-2</v>
      </c>
      <c r="R115" s="265"/>
      <c r="S115" s="194">
        <f t="shared" si="23"/>
        <v>25112.949404399998</v>
      </c>
      <c r="W115" s="328">
        <f t="shared" si="28"/>
        <v>55</v>
      </c>
      <c r="X115" s="328">
        <f t="shared" si="29"/>
        <v>14.8</v>
      </c>
      <c r="Y115" s="263"/>
      <c r="Z115" s="230">
        <f t="shared" si="24"/>
        <v>14.8</v>
      </c>
      <c r="AA115" s="230">
        <f t="shared" si="25"/>
        <v>13.8</v>
      </c>
    </row>
    <row r="116" spans="3:27" s="151" customFormat="1" outlineLevel="1" x14ac:dyDescent="0.2">
      <c r="C116" s="155"/>
      <c r="D116" s="153" t="s">
        <v>187</v>
      </c>
      <c r="E116" s="228">
        <v>69</v>
      </c>
      <c r="F116" s="153" t="s">
        <v>955</v>
      </c>
      <c r="G116" s="155" t="str">
        <f t="shared" si="26"/>
        <v>Autosoportada69221-260 km/h</v>
      </c>
      <c r="I116" s="323">
        <v>3699954.7199999997</v>
      </c>
      <c r="J116" s="324">
        <v>2.7999999999999997E-2</v>
      </c>
      <c r="K116" s="194">
        <f t="shared" si="22"/>
        <v>3803553.4521599999</v>
      </c>
      <c r="L116" s="265"/>
      <c r="M116" s="265">
        <v>0.03</v>
      </c>
      <c r="N116" s="194">
        <f t="shared" si="27"/>
        <v>0</v>
      </c>
      <c r="P116" s="326">
        <v>18724.385999999999</v>
      </c>
      <c r="Q116" s="327">
        <v>8.0000000000000016E-2</v>
      </c>
      <c r="R116" s="265"/>
      <c r="S116" s="194">
        <f t="shared" si="23"/>
        <v>20222.336879999999</v>
      </c>
      <c r="W116" s="328">
        <f t="shared" si="28"/>
        <v>55</v>
      </c>
      <c r="X116" s="328">
        <f t="shared" si="29"/>
        <v>14.8</v>
      </c>
      <c r="Y116" s="263"/>
      <c r="Z116" s="230">
        <f t="shared" si="24"/>
        <v>14.8</v>
      </c>
      <c r="AA116" s="230">
        <f t="shared" si="25"/>
        <v>13.8</v>
      </c>
    </row>
    <row r="117" spans="3:27" s="151" customFormat="1" outlineLevel="1" x14ac:dyDescent="0.2">
      <c r="C117" s="155"/>
      <c r="D117" s="153" t="s">
        <v>187</v>
      </c>
      <c r="E117" s="228">
        <v>72</v>
      </c>
      <c r="F117" s="153" t="s">
        <v>955</v>
      </c>
      <c r="G117" s="155" t="str">
        <f t="shared" si="26"/>
        <v>Autosoportada72221-260 km/h</v>
      </c>
      <c r="I117" s="323">
        <v>4913784.8099999996</v>
      </c>
      <c r="J117" s="324">
        <v>4.1600000000000005E-2</v>
      </c>
      <c r="K117" s="194">
        <f t="shared" si="22"/>
        <v>5118198.2580960002</v>
      </c>
      <c r="L117" s="265"/>
      <c r="M117" s="265">
        <v>0.03</v>
      </c>
      <c r="N117" s="194">
        <f t="shared" si="27"/>
        <v>0</v>
      </c>
      <c r="P117" s="326">
        <v>19118.583600000002</v>
      </c>
      <c r="Q117" s="327">
        <v>0.11499999999999999</v>
      </c>
      <c r="R117" s="265"/>
      <c r="S117" s="194">
        <f t="shared" si="23"/>
        <v>21317.220714000003</v>
      </c>
      <c r="W117" s="328">
        <f t="shared" si="28"/>
        <v>55</v>
      </c>
      <c r="X117" s="328">
        <f t="shared" si="29"/>
        <v>14.8</v>
      </c>
      <c r="Y117" s="263"/>
      <c r="Z117" s="230">
        <f t="shared" si="24"/>
        <v>14.8</v>
      </c>
      <c r="AA117" s="230">
        <f t="shared" si="25"/>
        <v>13.8</v>
      </c>
    </row>
    <row r="118" spans="3:27" s="151" customFormat="1" outlineLevel="1" x14ac:dyDescent="0.2">
      <c r="C118" s="155"/>
      <c r="D118" s="153" t="s">
        <v>187</v>
      </c>
      <c r="E118" s="228">
        <v>75</v>
      </c>
      <c r="F118" s="153" t="s">
        <v>955</v>
      </c>
      <c r="G118" s="155" t="str">
        <f t="shared" si="26"/>
        <v>Autosoportada75221-260 km/h</v>
      </c>
      <c r="I118" s="323">
        <v>3897498.8051999998</v>
      </c>
      <c r="J118" s="324">
        <v>4.3200000000000002E-2</v>
      </c>
      <c r="K118" s="194">
        <f t="shared" si="22"/>
        <v>4065870.7535846396</v>
      </c>
      <c r="L118" s="265"/>
      <c r="M118" s="265">
        <v>0.03</v>
      </c>
      <c r="N118" s="194">
        <f t="shared" si="27"/>
        <v>0</v>
      </c>
      <c r="P118" s="326">
        <v>19709.88</v>
      </c>
      <c r="Q118" s="327">
        <v>7.2999999999999995E-2</v>
      </c>
      <c r="R118" s="265"/>
      <c r="S118" s="194">
        <f t="shared" si="23"/>
        <v>21148.701239999999</v>
      </c>
      <c r="W118" s="328">
        <f t="shared" si="28"/>
        <v>55</v>
      </c>
      <c r="X118" s="328">
        <f t="shared" si="29"/>
        <v>14.8</v>
      </c>
      <c r="Y118" s="263"/>
      <c r="Z118" s="230">
        <f t="shared" si="24"/>
        <v>14.8</v>
      </c>
      <c r="AA118" s="230">
        <f t="shared" si="25"/>
        <v>13.8</v>
      </c>
    </row>
    <row r="119" spans="3:27" s="151" customFormat="1" outlineLevel="1" x14ac:dyDescent="0.2">
      <c r="C119" s="155"/>
      <c r="D119" s="153" t="s">
        <v>187</v>
      </c>
      <c r="E119" s="228">
        <v>78</v>
      </c>
      <c r="F119" s="153" t="s">
        <v>955</v>
      </c>
      <c r="G119" s="155" t="str">
        <f t="shared" si="26"/>
        <v>Autosoportada78221-260 km/h</v>
      </c>
      <c r="I119" s="323">
        <v>5818804.9920000006</v>
      </c>
      <c r="J119" s="324">
        <v>3.9600000000000003E-2</v>
      </c>
      <c r="K119" s="194">
        <f t="shared" si="22"/>
        <v>6049229.6696832012</v>
      </c>
      <c r="L119" s="265"/>
      <c r="M119" s="265">
        <v>0.03</v>
      </c>
      <c r="N119" s="194">
        <f t="shared" si="27"/>
        <v>0</v>
      </c>
      <c r="P119" s="326">
        <v>19512.781200000001</v>
      </c>
      <c r="Q119" s="327">
        <v>0.127</v>
      </c>
      <c r="R119" s="265"/>
      <c r="S119" s="194">
        <f t="shared" si="23"/>
        <v>21990.904412400003</v>
      </c>
      <c r="W119" s="328">
        <f t="shared" si="28"/>
        <v>55</v>
      </c>
      <c r="X119" s="328">
        <f t="shared" si="29"/>
        <v>14.8</v>
      </c>
      <c r="Y119" s="263"/>
      <c r="Z119" s="230">
        <f t="shared" si="24"/>
        <v>14.8</v>
      </c>
      <c r="AA119" s="230">
        <f t="shared" si="25"/>
        <v>13.8</v>
      </c>
    </row>
    <row r="120" spans="3:27" s="151" customFormat="1" outlineLevel="1" x14ac:dyDescent="0.2">
      <c r="C120" s="155"/>
      <c r="D120" s="153" t="s">
        <v>187</v>
      </c>
      <c r="E120" s="228">
        <v>81</v>
      </c>
      <c r="F120" s="153" t="s">
        <v>955</v>
      </c>
      <c r="G120" s="155" t="str">
        <f t="shared" si="26"/>
        <v>Autosoportada81221-260 km/h</v>
      </c>
      <c r="I120" s="323">
        <v>5263242.7320000008</v>
      </c>
      <c r="J120" s="324">
        <v>4.8000000000000001E-2</v>
      </c>
      <c r="K120" s="194">
        <f t="shared" si="22"/>
        <v>5515878.3831360014</v>
      </c>
      <c r="L120" s="265"/>
      <c r="M120" s="265">
        <v>0.03</v>
      </c>
      <c r="N120" s="194">
        <f t="shared" si="27"/>
        <v>0</v>
      </c>
      <c r="P120" s="326">
        <v>17738.892</v>
      </c>
      <c r="Q120" s="327">
        <v>0.10800000000000001</v>
      </c>
      <c r="R120" s="265"/>
      <c r="S120" s="194">
        <f t="shared" si="23"/>
        <v>19654.692336</v>
      </c>
      <c r="W120" s="328">
        <f t="shared" si="28"/>
        <v>55</v>
      </c>
      <c r="X120" s="328">
        <f t="shared" si="29"/>
        <v>14.8</v>
      </c>
      <c r="Y120" s="263"/>
      <c r="Z120" s="230">
        <f t="shared" si="24"/>
        <v>14.8</v>
      </c>
      <c r="AA120" s="230">
        <f t="shared" si="25"/>
        <v>13.8</v>
      </c>
    </row>
    <row r="121" spans="3:27" s="151" customFormat="1" outlineLevel="1" x14ac:dyDescent="0.2">
      <c r="C121" s="155"/>
      <c r="D121" s="153" t="s">
        <v>187</v>
      </c>
      <c r="E121" s="228">
        <v>102</v>
      </c>
      <c r="F121" s="153" t="s">
        <v>955</v>
      </c>
      <c r="G121" s="155" t="str">
        <f t="shared" si="26"/>
        <v>Autosoportada102221-260 km/h</v>
      </c>
      <c r="I121" s="323">
        <v>6427652.6160000004</v>
      </c>
      <c r="J121" s="324">
        <v>4.5999999999999999E-2</v>
      </c>
      <c r="K121" s="194">
        <f t="shared" si="22"/>
        <v>6723324.6363360006</v>
      </c>
      <c r="L121" s="265"/>
      <c r="M121" s="265">
        <v>0.03</v>
      </c>
      <c r="N121" s="194">
        <f t="shared" si="27"/>
        <v>0</v>
      </c>
      <c r="P121" s="326">
        <v>24637.350000000002</v>
      </c>
      <c r="Q121" s="327">
        <v>7.8000000000000014E-2</v>
      </c>
      <c r="R121" s="265"/>
      <c r="S121" s="194">
        <f t="shared" si="23"/>
        <v>26559.063300000005</v>
      </c>
      <c r="W121" s="328">
        <f t="shared" si="28"/>
        <v>55</v>
      </c>
      <c r="X121" s="328">
        <f t="shared" si="29"/>
        <v>14.8</v>
      </c>
      <c r="Y121" s="263"/>
      <c r="Z121" s="230">
        <f t="shared" si="24"/>
        <v>14.8</v>
      </c>
      <c r="AA121" s="230">
        <f t="shared" si="25"/>
        <v>13.8</v>
      </c>
    </row>
    <row r="122" spans="3:27" s="151" customFormat="1" outlineLevel="1" x14ac:dyDescent="0.2">
      <c r="C122" s="155"/>
      <c r="D122" s="153" t="s">
        <v>188</v>
      </c>
      <c r="E122" s="228">
        <v>12</v>
      </c>
      <c r="F122" s="153" t="s">
        <v>953</v>
      </c>
      <c r="G122" s="155" t="str">
        <f t="shared" si="26"/>
        <v>Arriostrada12130-180 km/h</v>
      </c>
      <c r="I122" s="323">
        <v>740163.40749999997</v>
      </c>
      <c r="J122" s="324">
        <v>5.1200000000000002E-2</v>
      </c>
      <c r="K122" s="194">
        <f t="shared" si="22"/>
        <v>778059.77396399993</v>
      </c>
      <c r="L122" s="265"/>
      <c r="M122" s="265">
        <v>0.03</v>
      </c>
      <c r="N122" s="194">
        <f t="shared" si="27"/>
        <v>0</v>
      </c>
      <c r="P122" s="326">
        <v>19709.88</v>
      </c>
      <c r="Q122" s="327">
        <v>0.128</v>
      </c>
      <c r="R122" s="265"/>
      <c r="S122" s="194">
        <f t="shared" si="23"/>
        <v>22232.744640000004</v>
      </c>
      <c r="W122" s="328">
        <f t="shared" si="28"/>
        <v>55</v>
      </c>
      <c r="X122" s="328">
        <f t="shared" si="29"/>
        <v>14.8</v>
      </c>
      <c r="Y122" s="263"/>
      <c r="Z122" s="230">
        <f t="shared" si="24"/>
        <v>14.8</v>
      </c>
      <c r="AA122" s="230">
        <f t="shared" si="25"/>
        <v>13.8</v>
      </c>
    </row>
    <row r="123" spans="3:27" s="151" customFormat="1" outlineLevel="1" x14ac:dyDescent="0.2">
      <c r="C123" s="155"/>
      <c r="D123" s="153" t="s">
        <v>188</v>
      </c>
      <c r="E123" s="228">
        <v>15</v>
      </c>
      <c r="F123" s="153" t="s">
        <v>953</v>
      </c>
      <c r="G123" s="155" t="str">
        <f t="shared" si="26"/>
        <v>Arriostrada15130-180 km/h</v>
      </c>
      <c r="I123" s="323">
        <v>669297.09</v>
      </c>
      <c r="J123" s="324">
        <v>3.0800000000000001E-2</v>
      </c>
      <c r="K123" s="194">
        <f t="shared" ref="K123:K186" si="30">(I123*(1+J123)^$C$5)*((1+sens.capex.unitarios))</f>
        <v>689911.44037199998</v>
      </c>
      <c r="L123" s="265"/>
      <c r="M123" s="265">
        <v>0.03</v>
      </c>
      <c r="N123" s="194">
        <f t="shared" si="27"/>
        <v>0</v>
      </c>
      <c r="P123" s="326">
        <v>17935.990800000003</v>
      </c>
      <c r="Q123" s="327">
        <v>0.11200000000000002</v>
      </c>
      <c r="R123" s="265"/>
      <c r="S123" s="194">
        <f t="shared" ref="S123:S186" si="31">(P123*(1+Q123)^$C$5)*(1+sens.opex.unitarios)</f>
        <v>19944.821769600007</v>
      </c>
      <c r="W123" s="328">
        <f t="shared" si="28"/>
        <v>55</v>
      </c>
      <c r="X123" s="328">
        <f t="shared" si="29"/>
        <v>14.8</v>
      </c>
      <c r="Y123" s="263"/>
      <c r="Z123" s="230">
        <f t="shared" ref="Z123:Z186" si="32">INDEX(W123:Y123,vida.util.activo.indice)</f>
        <v>14.8</v>
      </c>
      <c r="AA123" s="230">
        <f t="shared" ref="AA123:AA186" si="33">MAX(0,Z123-$C$5)</f>
        <v>13.8</v>
      </c>
    </row>
    <row r="124" spans="3:27" s="151" customFormat="1" outlineLevel="1" x14ac:dyDescent="0.2">
      <c r="C124" s="155"/>
      <c r="D124" s="153" t="s">
        <v>188</v>
      </c>
      <c r="E124" s="228">
        <v>18</v>
      </c>
      <c r="F124" s="153" t="s">
        <v>953</v>
      </c>
      <c r="G124" s="155" t="str">
        <f t="shared" si="26"/>
        <v>Arriostrada18130-180 km/h</v>
      </c>
      <c r="I124" s="323">
        <v>802305.625</v>
      </c>
      <c r="J124" s="324">
        <v>4.2800000000000005E-2</v>
      </c>
      <c r="K124" s="194">
        <f t="shared" si="30"/>
        <v>836644.30574999994</v>
      </c>
      <c r="L124" s="265"/>
      <c r="M124" s="265">
        <v>0.03</v>
      </c>
      <c r="N124" s="194">
        <f t="shared" si="27"/>
        <v>0</v>
      </c>
      <c r="P124" s="326">
        <v>17541.7932</v>
      </c>
      <c r="Q124" s="327">
        <v>9.6000000000000002E-2</v>
      </c>
      <c r="R124" s="265"/>
      <c r="S124" s="194">
        <f t="shared" si="31"/>
        <v>19225.805347200003</v>
      </c>
      <c r="W124" s="328">
        <f t="shared" si="28"/>
        <v>55</v>
      </c>
      <c r="X124" s="328">
        <f t="shared" si="29"/>
        <v>14.8</v>
      </c>
      <c r="Y124" s="263"/>
      <c r="Z124" s="230">
        <f t="shared" si="32"/>
        <v>14.8</v>
      </c>
      <c r="AA124" s="230">
        <f t="shared" si="33"/>
        <v>13.8</v>
      </c>
    </row>
    <row r="125" spans="3:27" s="151" customFormat="1" outlineLevel="1" x14ac:dyDescent="0.2">
      <c r="C125" s="155"/>
      <c r="D125" s="153" t="s">
        <v>188</v>
      </c>
      <c r="E125" s="228">
        <v>21</v>
      </c>
      <c r="F125" s="153" t="s">
        <v>953</v>
      </c>
      <c r="G125" s="155" t="str">
        <f t="shared" si="26"/>
        <v>Arriostrada21130-180 km/h</v>
      </c>
      <c r="I125" s="323">
        <v>1031766.4500000001</v>
      </c>
      <c r="J125" s="324">
        <v>4.8000000000000001E-2</v>
      </c>
      <c r="K125" s="194">
        <f t="shared" si="30"/>
        <v>1081291.2396000002</v>
      </c>
      <c r="L125" s="265"/>
      <c r="M125" s="265">
        <v>0.03</v>
      </c>
      <c r="N125" s="194">
        <f t="shared" si="27"/>
        <v>0</v>
      </c>
      <c r="P125" s="326">
        <v>14979.508800000001</v>
      </c>
      <c r="Q125" s="327">
        <v>0.10700000000000001</v>
      </c>
      <c r="R125" s="265"/>
      <c r="S125" s="194">
        <f t="shared" si="31"/>
        <v>16582.316241600001</v>
      </c>
      <c r="W125" s="328">
        <f t="shared" si="28"/>
        <v>55</v>
      </c>
      <c r="X125" s="328">
        <f t="shared" si="29"/>
        <v>14.8</v>
      </c>
      <c r="Y125" s="263"/>
      <c r="Z125" s="230">
        <f t="shared" si="32"/>
        <v>14.8</v>
      </c>
      <c r="AA125" s="230">
        <f t="shared" si="33"/>
        <v>13.8</v>
      </c>
    </row>
    <row r="126" spans="3:27" s="151" customFormat="1" outlineLevel="1" x14ac:dyDescent="0.2">
      <c r="C126" s="155"/>
      <c r="D126" s="153" t="s">
        <v>188</v>
      </c>
      <c r="E126" s="228">
        <v>24</v>
      </c>
      <c r="F126" s="153" t="s">
        <v>953</v>
      </c>
      <c r="G126" s="155" t="str">
        <f t="shared" si="26"/>
        <v>Arriostrada24130-180 km/h</v>
      </c>
      <c r="I126" s="323">
        <v>1010919.25</v>
      </c>
      <c r="J126" s="324">
        <v>4.8399999999999999E-2</v>
      </c>
      <c r="K126" s="194">
        <f t="shared" si="30"/>
        <v>1059847.7416999999</v>
      </c>
      <c r="L126" s="265"/>
      <c r="M126" s="265">
        <v>0.03</v>
      </c>
      <c r="N126" s="194">
        <f t="shared" si="27"/>
        <v>0</v>
      </c>
      <c r="P126" s="326">
        <v>19315.682400000002</v>
      </c>
      <c r="Q126" s="327">
        <v>0.127</v>
      </c>
      <c r="R126" s="265"/>
      <c r="S126" s="194">
        <f t="shared" si="31"/>
        <v>21768.774064800004</v>
      </c>
      <c r="W126" s="328">
        <f t="shared" si="28"/>
        <v>55</v>
      </c>
      <c r="X126" s="328">
        <f t="shared" si="29"/>
        <v>14.8</v>
      </c>
      <c r="Y126" s="263"/>
      <c r="Z126" s="230">
        <f t="shared" si="32"/>
        <v>14.8</v>
      </c>
      <c r="AA126" s="230">
        <f t="shared" si="33"/>
        <v>13.8</v>
      </c>
    </row>
    <row r="127" spans="3:27" s="151" customFormat="1" outlineLevel="1" x14ac:dyDescent="0.2">
      <c r="C127" s="155"/>
      <c r="D127" s="153" t="s">
        <v>188</v>
      </c>
      <c r="E127" s="228">
        <v>27</v>
      </c>
      <c r="F127" s="153" t="s">
        <v>953</v>
      </c>
      <c r="G127" s="155" t="str">
        <f t="shared" si="26"/>
        <v>Arriostrada27130-180 km/h</v>
      </c>
      <c r="I127" s="323">
        <v>868909.03</v>
      </c>
      <c r="J127" s="324">
        <v>5.1200000000000002E-2</v>
      </c>
      <c r="K127" s="194">
        <f t="shared" si="30"/>
        <v>913397.1723359999</v>
      </c>
      <c r="L127" s="265"/>
      <c r="M127" s="265">
        <v>0.03</v>
      </c>
      <c r="N127" s="194">
        <f t="shared" si="27"/>
        <v>0</v>
      </c>
      <c r="P127" s="326">
        <v>20301.1764</v>
      </c>
      <c r="Q127" s="327">
        <v>9.5000000000000001E-2</v>
      </c>
      <c r="R127" s="265"/>
      <c r="S127" s="194">
        <f t="shared" si="31"/>
        <v>22229.788157999999</v>
      </c>
      <c r="W127" s="328">
        <f t="shared" si="28"/>
        <v>55</v>
      </c>
      <c r="X127" s="328">
        <f t="shared" si="29"/>
        <v>14.8</v>
      </c>
      <c r="Y127" s="263"/>
      <c r="Z127" s="230">
        <f t="shared" si="32"/>
        <v>14.8</v>
      </c>
      <c r="AA127" s="230">
        <f t="shared" si="33"/>
        <v>13.8</v>
      </c>
    </row>
    <row r="128" spans="3:27" s="151" customFormat="1" outlineLevel="1" x14ac:dyDescent="0.2">
      <c r="C128" s="155"/>
      <c r="D128" s="153" t="s">
        <v>188</v>
      </c>
      <c r="E128" s="228">
        <v>30</v>
      </c>
      <c r="F128" s="153" t="s">
        <v>953</v>
      </c>
      <c r="G128" s="155" t="str">
        <f t="shared" si="26"/>
        <v>Arriostrada30130-180 km/h</v>
      </c>
      <c r="I128" s="323">
        <v>689338.1605</v>
      </c>
      <c r="J128" s="324">
        <v>5.16E-2</v>
      </c>
      <c r="K128" s="194">
        <f t="shared" si="30"/>
        <v>724908.00958180008</v>
      </c>
      <c r="L128" s="265"/>
      <c r="M128" s="265">
        <v>0.03</v>
      </c>
      <c r="N128" s="194">
        <f t="shared" si="27"/>
        <v>0</v>
      </c>
      <c r="P128" s="326">
        <v>24243.152400000003</v>
      </c>
      <c r="Q128" s="327">
        <v>0.127</v>
      </c>
      <c r="R128" s="265"/>
      <c r="S128" s="194">
        <f t="shared" si="31"/>
        <v>27322.032754800002</v>
      </c>
      <c r="W128" s="328">
        <f t="shared" si="28"/>
        <v>55</v>
      </c>
      <c r="X128" s="328">
        <f t="shared" si="29"/>
        <v>14.8</v>
      </c>
      <c r="Y128" s="263"/>
      <c r="Z128" s="230">
        <f t="shared" si="32"/>
        <v>14.8</v>
      </c>
      <c r="AA128" s="230">
        <f t="shared" si="33"/>
        <v>13.8</v>
      </c>
    </row>
    <row r="129" spans="3:27" s="151" customFormat="1" outlineLevel="1" x14ac:dyDescent="0.2">
      <c r="C129" s="155"/>
      <c r="D129" s="153" t="s">
        <v>188</v>
      </c>
      <c r="E129" s="228">
        <v>33</v>
      </c>
      <c r="F129" s="153" t="s">
        <v>953</v>
      </c>
      <c r="G129" s="155" t="str">
        <f t="shared" si="26"/>
        <v>Arriostrada33130-180 km/h</v>
      </c>
      <c r="I129" s="323">
        <v>1069928.7225000001</v>
      </c>
      <c r="J129" s="324">
        <v>0.04</v>
      </c>
      <c r="K129" s="194">
        <f t="shared" si="30"/>
        <v>1112725.8714000003</v>
      </c>
      <c r="L129" s="265"/>
      <c r="M129" s="265">
        <v>0.03</v>
      </c>
      <c r="N129" s="194">
        <f t="shared" si="27"/>
        <v>0</v>
      </c>
      <c r="P129" s="326">
        <v>16556.299200000001</v>
      </c>
      <c r="Q129" s="327">
        <v>9.2000000000000012E-2</v>
      </c>
      <c r="R129" s="265"/>
      <c r="S129" s="194">
        <f t="shared" si="31"/>
        <v>18079.478726400004</v>
      </c>
      <c r="W129" s="328">
        <f t="shared" si="28"/>
        <v>55</v>
      </c>
      <c r="X129" s="328">
        <f t="shared" si="29"/>
        <v>14.8</v>
      </c>
      <c r="Y129" s="263"/>
      <c r="Z129" s="230">
        <f t="shared" si="32"/>
        <v>14.8</v>
      </c>
      <c r="AA129" s="230">
        <f t="shared" si="33"/>
        <v>13.8</v>
      </c>
    </row>
    <row r="130" spans="3:27" s="151" customFormat="1" outlineLevel="1" x14ac:dyDescent="0.2">
      <c r="C130" s="155"/>
      <c r="D130" s="153" t="s">
        <v>188</v>
      </c>
      <c r="E130" s="228">
        <v>36</v>
      </c>
      <c r="F130" s="153" t="s">
        <v>953</v>
      </c>
      <c r="G130" s="155" t="str">
        <f t="shared" si="26"/>
        <v>Arriostrada36130-180 km/h</v>
      </c>
      <c r="I130" s="323">
        <v>1084328.5860000001</v>
      </c>
      <c r="J130" s="324">
        <v>3.8800000000000001E-2</v>
      </c>
      <c r="K130" s="194">
        <f t="shared" si="30"/>
        <v>1126400.5351368</v>
      </c>
      <c r="L130" s="265"/>
      <c r="M130" s="265">
        <v>0.03</v>
      </c>
      <c r="N130" s="194">
        <f t="shared" si="27"/>
        <v>0</v>
      </c>
      <c r="P130" s="326">
        <v>24243.152400000003</v>
      </c>
      <c r="Q130" s="327">
        <v>0.10800000000000001</v>
      </c>
      <c r="R130" s="265"/>
      <c r="S130" s="194">
        <f t="shared" si="31"/>
        <v>26861.412859200005</v>
      </c>
      <c r="W130" s="328">
        <f t="shared" si="28"/>
        <v>55</v>
      </c>
      <c r="X130" s="328">
        <f t="shared" si="29"/>
        <v>14.8</v>
      </c>
      <c r="Y130" s="263"/>
      <c r="Z130" s="230">
        <f t="shared" si="32"/>
        <v>14.8</v>
      </c>
      <c r="AA130" s="230">
        <f t="shared" si="33"/>
        <v>13.8</v>
      </c>
    </row>
    <row r="131" spans="3:27" s="151" customFormat="1" outlineLevel="1" x14ac:dyDescent="0.2">
      <c r="C131" s="155"/>
      <c r="D131" s="153" t="s">
        <v>188</v>
      </c>
      <c r="E131" s="228">
        <v>39</v>
      </c>
      <c r="F131" s="153" t="s">
        <v>953</v>
      </c>
      <c r="G131" s="155" t="str">
        <f t="shared" si="26"/>
        <v>Arriostrada39130-180 km/h</v>
      </c>
      <c r="I131" s="323">
        <v>879842.48</v>
      </c>
      <c r="J131" s="324">
        <v>3.04E-2</v>
      </c>
      <c r="K131" s="194">
        <f t="shared" si="30"/>
        <v>906589.69139199995</v>
      </c>
      <c r="L131" s="265"/>
      <c r="M131" s="265">
        <v>0.03</v>
      </c>
      <c r="N131" s="194">
        <f t="shared" si="27"/>
        <v>0</v>
      </c>
      <c r="P131" s="326">
        <v>23060.559600000001</v>
      </c>
      <c r="Q131" s="327">
        <v>8.2000000000000003E-2</v>
      </c>
      <c r="R131" s="265"/>
      <c r="S131" s="194">
        <f t="shared" si="31"/>
        <v>24951.5254872</v>
      </c>
      <c r="W131" s="328">
        <f t="shared" si="28"/>
        <v>55</v>
      </c>
      <c r="X131" s="328">
        <f t="shared" si="29"/>
        <v>14.8</v>
      </c>
      <c r="Y131" s="263"/>
      <c r="Z131" s="230">
        <f t="shared" si="32"/>
        <v>14.8</v>
      </c>
      <c r="AA131" s="230">
        <f t="shared" si="33"/>
        <v>13.8</v>
      </c>
    </row>
    <row r="132" spans="3:27" s="151" customFormat="1" outlineLevel="1" x14ac:dyDescent="0.2">
      <c r="C132" s="155"/>
      <c r="D132" s="153" t="s">
        <v>188</v>
      </c>
      <c r="E132" s="228">
        <v>42</v>
      </c>
      <c r="F132" s="153" t="s">
        <v>953</v>
      </c>
      <c r="G132" s="155" t="str">
        <f t="shared" si="26"/>
        <v>Arriostrada42130-180 km/h</v>
      </c>
      <c r="I132" s="323">
        <v>1027026</v>
      </c>
      <c r="J132" s="324">
        <v>5.0800000000000005E-2</v>
      </c>
      <c r="K132" s="194">
        <f t="shared" si="30"/>
        <v>1079198.9208</v>
      </c>
      <c r="L132" s="265"/>
      <c r="M132" s="265">
        <v>0.03</v>
      </c>
      <c r="N132" s="194">
        <f t="shared" si="27"/>
        <v>0</v>
      </c>
      <c r="P132" s="326">
        <v>19118.583600000002</v>
      </c>
      <c r="Q132" s="327">
        <v>8.1000000000000016E-2</v>
      </c>
      <c r="R132" s="265"/>
      <c r="S132" s="194">
        <f t="shared" si="31"/>
        <v>20667.188871599999</v>
      </c>
      <c r="W132" s="328">
        <f t="shared" si="28"/>
        <v>55</v>
      </c>
      <c r="X132" s="328">
        <f t="shared" si="29"/>
        <v>14.8</v>
      </c>
      <c r="Y132" s="263"/>
      <c r="Z132" s="230">
        <f t="shared" si="32"/>
        <v>14.8</v>
      </c>
      <c r="AA132" s="230">
        <f t="shared" si="33"/>
        <v>13.8</v>
      </c>
    </row>
    <row r="133" spans="3:27" s="151" customFormat="1" outlineLevel="1" x14ac:dyDescent="0.2">
      <c r="C133" s="155"/>
      <c r="D133" s="153" t="s">
        <v>188</v>
      </c>
      <c r="E133" s="228">
        <v>45</v>
      </c>
      <c r="F133" s="153" t="s">
        <v>953</v>
      </c>
      <c r="G133" s="155" t="str">
        <f t="shared" si="26"/>
        <v>Arriostrada45130-180 km/h</v>
      </c>
      <c r="I133" s="323">
        <v>912767.625</v>
      </c>
      <c r="J133" s="324">
        <v>0.03</v>
      </c>
      <c r="K133" s="194">
        <f t="shared" si="30"/>
        <v>940150.65375000006</v>
      </c>
      <c r="L133" s="265"/>
      <c r="M133" s="265">
        <v>0.03</v>
      </c>
      <c r="N133" s="194">
        <f t="shared" si="27"/>
        <v>0</v>
      </c>
      <c r="P133" s="326">
        <v>24046.053599999999</v>
      </c>
      <c r="Q133" s="327">
        <v>8.4000000000000005E-2</v>
      </c>
      <c r="R133" s="265"/>
      <c r="S133" s="194">
        <f t="shared" si="31"/>
        <v>26065.9221024</v>
      </c>
      <c r="W133" s="328">
        <f t="shared" si="28"/>
        <v>55</v>
      </c>
      <c r="X133" s="328">
        <f t="shared" si="29"/>
        <v>14.8</v>
      </c>
      <c r="Y133" s="263"/>
      <c r="Z133" s="230">
        <f t="shared" si="32"/>
        <v>14.8</v>
      </c>
      <c r="AA133" s="230">
        <f t="shared" si="33"/>
        <v>13.8</v>
      </c>
    </row>
    <row r="134" spans="3:27" s="151" customFormat="1" outlineLevel="1" x14ac:dyDescent="0.2">
      <c r="C134" s="155"/>
      <c r="D134" s="153" t="s">
        <v>188</v>
      </c>
      <c r="E134" s="228">
        <v>48</v>
      </c>
      <c r="F134" s="153" t="s">
        <v>953</v>
      </c>
      <c r="G134" s="155" t="str">
        <f t="shared" si="26"/>
        <v>Arriostrada48130-180 km/h</v>
      </c>
      <c r="I134" s="323">
        <v>1243533.06</v>
      </c>
      <c r="J134" s="324">
        <v>3.2000000000000001E-2</v>
      </c>
      <c r="K134" s="194">
        <f t="shared" si="30"/>
        <v>1283326.1179200001</v>
      </c>
      <c r="L134" s="265"/>
      <c r="M134" s="265">
        <v>0.03</v>
      </c>
      <c r="N134" s="194">
        <f t="shared" si="27"/>
        <v>0</v>
      </c>
      <c r="P134" s="326">
        <v>17344.6944</v>
      </c>
      <c r="Q134" s="327">
        <v>0.11100000000000002</v>
      </c>
      <c r="R134" s="265"/>
      <c r="S134" s="194">
        <f t="shared" si="31"/>
        <v>19269.955478399999</v>
      </c>
      <c r="W134" s="328">
        <f t="shared" si="28"/>
        <v>55</v>
      </c>
      <c r="X134" s="328">
        <f t="shared" si="29"/>
        <v>14.8</v>
      </c>
      <c r="Y134" s="263"/>
      <c r="Z134" s="230">
        <f t="shared" si="32"/>
        <v>14.8</v>
      </c>
      <c r="AA134" s="230">
        <f t="shared" si="33"/>
        <v>13.8</v>
      </c>
    </row>
    <row r="135" spans="3:27" s="151" customFormat="1" outlineLevel="1" x14ac:dyDescent="0.2">
      <c r="C135" s="155"/>
      <c r="D135" s="153" t="s">
        <v>188</v>
      </c>
      <c r="E135" s="228">
        <v>51</v>
      </c>
      <c r="F135" s="153" t="s">
        <v>953</v>
      </c>
      <c r="G135" s="155" t="str">
        <f t="shared" si="26"/>
        <v>Arriostrada51130-180 km/h</v>
      </c>
      <c r="I135" s="323">
        <v>1167748.3125</v>
      </c>
      <c r="J135" s="324">
        <v>4.6399999999999997E-2</v>
      </c>
      <c r="K135" s="194">
        <f t="shared" si="30"/>
        <v>1221931.8341999999</v>
      </c>
      <c r="L135" s="265"/>
      <c r="M135" s="265">
        <v>0.03</v>
      </c>
      <c r="N135" s="194">
        <f t="shared" si="27"/>
        <v>0</v>
      </c>
      <c r="P135" s="326">
        <v>23848.9548</v>
      </c>
      <c r="Q135" s="327">
        <v>8.900000000000001E-2</v>
      </c>
      <c r="R135" s="265"/>
      <c r="S135" s="194">
        <f t="shared" si="31"/>
        <v>25971.511777199998</v>
      </c>
      <c r="W135" s="328">
        <f t="shared" si="28"/>
        <v>55</v>
      </c>
      <c r="X135" s="328">
        <f t="shared" si="29"/>
        <v>14.8</v>
      </c>
      <c r="Y135" s="263"/>
      <c r="Z135" s="230">
        <f t="shared" si="32"/>
        <v>14.8</v>
      </c>
      <c r="AA135" s="230">
        <f t="shared" si="33"/>
        <v>13.8</v>
      </c>
    </row>
    <row r="136" spans="3:27" s="151" customFormat="1" outlineLevel="1" x14ac:dyDescent="0.2">
      <c r="C136" s="155"/>
      <c r="D136" s="153" t="s">
        <v>188</v>
      </c>
      <c r="E136" s="228">
        <v>54</v>
      </c>
      <c r="F136" s="153" t="s">
        <v>953</v>
      </c>
      <c r="G136" s="155" t="str">
        <f t="shared" si="26"/>
        <v>Arriostrada54130-180 km/h</v>
      </c>
      <c r="I136" s="323">
        <v>1323477.54</v>
      </c>
      <c r="J136" s="324">
        <v>4.7599999999999996E-2</v>
      </c>
      <c r="K136" s="194">
        <f t="shared" si="30"/>
        <v>1386475.0709040002</v>
      </c>
      <c r="L136" s="265"/>
      <c r="M136" s="265">
        <v>0.03</v>
      </c>
      <c r="N136" s="194">
        <f t="shared" si="27"/>
        <v>0</v>
      </c>
      <c r="P136" s="326">
        <v>25228.646400000001</v>
      </c>
      <c r="Q136" s="327">
        <v>9.7000000000000003E-2</v>
      </c>
      <c r="R136" s="265"/>
      <c r="S136" s="194">
        <f t="shared" si="31"/>
        <v>27675.825100800001</v>
      </c>
      <c r="W136" s="328">
        <f t="shared" si="28"/>
        <v>55</v>
      </c>
      <c r="X136" s="328">
        <f t="shared" si="29"/>
        <v>14.8</v>
      </c>
      <c r="Y136" s="263"/>
      <c r="Z136" s="230">
        <f t="shared" si="32"/>
        <v>14.8</v>
      </c>
      <c r="AA136" s="230">
        <f t="shared" si="33"/>
        <v>13.8</v>
      </c>
    </row>
    <row r="137" spans="3:27" s="151" customFormat="1" outlineLevel="1" x14ac:dyDescent="0.2">
      <c r="C137" s="155"/>
      <c r="D137" s="153" t="s">
        <v>188</v>
      </c>
      <c r="E137" s="228">
        <v>57</v>
      </c>
      <c r="F137" s="153" t="s">
        <v>953</v>
      </c>
      <c r="G137" s="155" t="str">
        <f t="shared" si="26"/>
        <v>Arriostrada57130-180 km/h</v>
      </c>
      <c r="I137" s="323">
        <v>1042791.75</v>
      </c>
      <c r="J137" s="324">
        <v>3.1200000000000002E-2</v>
      </c>
      <c r="K137" s="194">
        <f t="shared" si="30"/>
        <v>1075326.8525999999</v>
      </c>
      <c r="L137" s="265"/>
      <c r="M137" s="265">
        <v>0.03</v>
      </c>
      <c r="N137" s="194">
        <f t="shared" si="27"/>
        <v>0</v>
      </c>
      <c r="P137" s="326">
        <v>23454.7572</v>
      </c>
      <c r="Q137" s="327">
        <v>9.2000000000000012E-2</v>
      </c>
      <c r="R137" s="265"/>
      <c r="S137" s="194">
        <f t="shared" si="31"/>
        <v>25612.594862400001</v>
      </c>
      <c r="W137" s="328">
        <f t="shared" si="28"/>
        <v>55</v>
      </c>
      <c r="X137" s="328">
        <f t="shared" si="29"/>
        <v>14.8</v>
      </c>
      <c r="Y137" s="263"/>
      <c r="Z137" s="230">
        <f t="shared" si="32"/>
        <v>14.8</v>
      </c>
      <c r="AA137" s="230">
        <f t="shared" si="33"/>
        <v>13.8</v>
      </c>
    </row>
    <row r="138" spans="3:27" s="151" customFormat="1" outlineLevel="1" x14ac:dyDescent="0.2">
      <c r="C138" s="155"/>
      <c r="D138" s="153" t="s">
        <v>188</v>
      </c>
      <c r="E138" s="228">
        <v>60</v>
      </c>
      <c r="F138" s="153" t="s">
        <v>953</v>
      </c>
      <c r="G138" s="155" t="str">
        <f t="shared" si="26"/>
        <v>Arriostrada60130-180 km/h</v>
      </c>
      <c r="I138" s="323">
        <v>1644904.8</v>
      </c>
      <c r="J138" s="324">
        <v>4.2000000000000003E-2</v>
      </c>
      <c r="K138" s="194">
        <f t="shared" si="30"/>
        <v>1713990.8016000001</v>
      </c>
      <c r="L138" s="265"/>
      <c r="M138" s="265">
        <v>0.03</v>
      </c>
      <c r="N138" s="194">
        <f t="shared" si="27"/>
        <v>0</v>
      </c>
      <c r="P138" s="326">
        <v>20892.472800000003</v>
      </c>
      <c r="Q138" s="327">
        <v>0.121</v>
      </c>
      <c r="R138" s="265"/>
      <c r="S138" s="194">
        <f t="shared" si="31"/>
        <v>23420.462008800005</v>
      </c>
      <c r="W138" s="328">
        <f t="shared" si="28"/>
        <v>55</v>
      </c>
      <c r="X138" s="328">
        <f t="shared" si="29"/>
        <v>14.8</v>
      </c>
      <c r="Y138" s="263"/>
      <c r="Z138" s="230">
        <f t="shared" si="32"/>
        <v>14.8</v>
      </c>
      <c r="AA138" s="230">
        <f t="shared" si="33"/>
        <v>13.8</v>
      </c>
    </row>
    <row r="139" spans="3:27" s="151" customFormat="1" outlineLevel="1" x14ac:dyDescent="0.2">
      <c r="C139" s="155"/>
      <c r="D139" s="153" t="s">
        <v>188</v>
      </c>
      <c r="E139" s="228">
        <v>63</v>
      </c>
      <c r="F139" s="153" t="s">
        <v>953</v>
      </c>
      <c r="G139" s="155" t="str">
        <f t="shared" si="26"/>
        <v>Arriostrada63130-180 km/h</v>
      </c>
      <c r="I139" s="323">
        <v>1781636.01</v>
      </c>
      <c r="J139" s="324">
        <v>4.24E-2</v>
      </c>
      <c r="K139" s="194">
        <f t="shared" si="30"/>
        <v>1857177.3768239999</v>
      </c>
      <c r="L139" s="265"/>
      <c r="M139" s="265">
        <v>0.03</v>
      </c>
      <c r="N139" s="194">
        <f t="shared" si="27"/>
        <v>0</v>
      </c>
      <c r="P139" s="326">
        <v>21680.868000000002</v>
      </c>
      <c r="Q139" s="327">
        <v>0.10300000000000001</v>
      </c>
      <c r="R139" s="265"/>
      <c r="S139" s="194">
        <f t="shared" si="31"/>
        <v>23913.997404000002</v>
      </c>
      <c r="W139" s="328">
        <f t="shared" si="28"/>
        <v>55</v>
      </c>
      <c r="X139" s="328">
        <f t="shared" si="29"/>
        <v>14.8</v>
      </c>
      <c r="Y139" s="263"/>
      <c r="Z139" s="230">
        <f t="shared" si="32"/>
        <v>14.8</v>
      </c>
      <c r="AA139" s="230">
        <f t="shared" si="33"/>
        <v>13.8</v>
      </c>
    </row>
    <row r="140" spans="3:27" s="151" customFormat="1" outlineLevel="1" x14ac:dyDescent="0.2">
      <c r="C140" s="155"/>
      <c r="D140" s="153" t="s">
        <v>188</v>
      </c>
      <c r="E140" s="228">
        <v>66</v>
      </c>
      <c r="F140" s="153" t="s">
        <v>953</v>
      </c>
      <c r="G140" s="155" t="str">
        <f t="shared" si="26"/>
        <v>Arriostrada66130-180 km/h</v>
      </c>
      <c r="I140" s="323">
        <v>1754874.66</v>
      </c>
      <c r="J140" s="324">
        <v>3.1200000000000002E-2</v>
      </c>
      <c r="K140" s="194">
        <f t="shared" si="30"/>
        <v>1809626.7493919998</v>
      </c>
      <c r="L140" s="265"/>
      <c r="M140" s="265">
        <v>0.03</v>
      </c>
      <c r="N140" s="194">
        <f t="shared" si="27"/>
        <v>0</v>
      </c>
      <c r="P140" s="326">
        <v>14585.3112</v>
      </c>
      <c r="Q140" s="327">
        <v>7.1999999999999995E-2</v>
      </c>
      <c r="R140" s="265"/>
      <c r="S140" s="194">
        <f t="shared" si="31"/>
        <v>15635.4536064</v>
      </c>
      <c r="W140" s="328">
        <f t="shared" si="28"/>
        <v>55</v>
      </c>
      <c r="X140" s="328">
        <f t="shared" si="29"/>
        <v>14.8</v>
      </c>
      <c r="Y140" s="263"/>
      <c r="Z140" s="230">
        <f t="shared" si="32"/>
        <v>14.8</v>
      </c>
      <c r="AA140" s="230">
        <f t="shared" si="33"/>
        <v>13.8</v>
      </c>
    </row>
    <row r="141" spans="3:27" s="151" customFormat="1" outlineLevel="1" x14ac:dyDescent="0.2">
      <c r="C141" s="155"/>
      <c r="D141" s="153" t="s">
        <v>188</v>
      </c>
      <c r="E141" s="228">
        <v>69</v>
      </c>
      <c r="F141" s="153" t="s">
        <v>953</v>
      </c>
      <c r="G141" s="155" t="str">
        <f t="shared" si="26"/>
        <v>Arriostrada69130-180 km/h</v>
      </c>
      <c r="I141" s="323">
        <v>1192730.385</v>
      </c>
      <c r="J141" s="324">
        <v>3.4799999999999998E-2</v>
      </c>
      <c r="K141" s="194">
        <f t="shared" si="30"/>
        <v>1234237.402398</v>
      </c>
      <c r="L141" s="265"/>
      <c r="M141" s="265">
        <v>0.03</v>
      </c>
      <c r="N141" s="194">
        <f t="shared" si="27"/>
        <v>0</v>
      </c>
      <c r="P141" s="326">
        <v>23848.9548</v>
      </c>
      <c r="Q141" s="327">
        <v>0.121</v>
      </c>
      <c r="R141" s="265"/>
      <c r="S141" s="194">
        <f t="shared" si="31"/>
        <v>26734.678330799998</v>
      </c>
      <c r="W141" s="328">
        <f t="shared" si="28"/>
        <v>55</v>
      </c>
      <c r="X141" s="328">
        <f t="shared" si="29"/>
        <v>14.8</v>
      </c>
      <c r="Y141" s="263"/>
      <c r="Z141" s="230">
        <f t="shared" si="32"/>
        <v>14.8</v>
      </c>
      <c r="AA141" s="230">
        <f t="shared" si="33"/>
        <v>13.8</v>
      </c>
    </row>
    <row r="142" spans="3:27" s="151" customFormat="1" outlineLevel="1" x14ac:dyDescent="0.2">
      <c r="C142" s="155"/>
      <c r="D142" s="153" t="s">
        <v>188</v>
      </c>
      <c r="E142" s="228">
        <v>72</v>
      </c>
      <c r="F142" s="153" t="s">
        <v>953</v>
      </c>
      <c r="G142" s="155" t="str">
        <f t="shared" si="26"/>
        <v>Arriostrada72130-180 km/h</v>
      </c>
      <c r="I142" s="323">
        <v>1592454.5175000001</v>
      </c>
      <c r="J142" s="324">
        <v>2.92E-2</v>
      </c>
      <c r="K142" s="194">
        <f t="shared" si="30"/>
        <v>1638954.1894109999</v>
      </c>
      <c r="L142" s="265"/>
      <c r="M142" s="265">
        <v>0.03</v>
      </c>
      <c r="N142" s="194">
        <f t="shared" si="27"/>
        <v>0</v>
      </c>
      <c r="P142" s="326">
        <v>18330.188400000003</v>
      </c>
      <c r="Q142" s="327">
        <v>0.11200000000000002</v>
      </c>
      <c r="R142" s="265"/>
      <c r="S142" s="194">
        <f t="shared" si="31"/>
        <v>20383.169500800006</v>
      </c>
      <c r="W142" s="328">
        <f t="shared" si="28"/>
        <v>55</v>
      </c>
      <c r="X142" s="328">
        <f t="shared" si="29"/>
        <v>14.8</v>
      </c>
      <c r="Y142" s="263"/>
      <c r="Z142" s="230">
        <f t="shared" si="32"/>
        <v>14.8</v>
      </c>
      <c r="AA142" s="230">
        <f t="shared" si="33"/>
        <v>13.8</v>
      </c>
    </row>
    <row r="143" spans="3:27" s="151" customFormat="1" outlineLevel="1" x14ac:dyDescent="0.2">
      <c r="C143" s="155"/>
      <c r="D143" s="153" t="s">
        <v>188</v>
      </c>
      <c r="E143" s="228">
        <v>75</v>
      </c>
      <c r="F143" s="153" t="s">
        <v>953</v>
      </c>
      <c r="G143" s="155" t="str">
        <f t="shared" si="26"/>
        <v>Arriostrada75130-180 km/h</v>
      </c>
      <c r="I143" s="323">
        <v>1806027.2999999998</v>
      </c>
      <c r="J143" s="324">
        <v>3.32E-2</v>
      </c>
      <c r="K143" s="194">
        <f t="shared" si="30"/>
        <v>1865987.4063599997</v>
      </c>
      <c r="L143" s="265"/>
      <c r="M143" s="265">
        <v>0.03</v>
      </c>
      <c r="N143" s="194">
        <f t="shared" si="27"/>
        <v>0</v>
      </c>
      <c r="P143" s="326">
        <v>16162.1016</v>
      </c>
      <c r="Q143" s="327">
        <v>0.125</v>
      </c>
      <c r="R143" s="265"/>
      <c r="S143" s="194">
        <f t="shared" si="31"/>
        <v>18182.364300000001</v>
      </c>
      <c r="W143" s="328">
        <f t="shared" si="28"/>
        <v>55</v>
      </c>
      <c r="X143" s="328">
        <f t="shared" si="29"/>
        <v>14.8</v>
      </c>
      <c r="Y143" s="263"/>
      <c r="Z143" s="230">
        <f t="shared" si="32"/>
        <v>14.8</v>
      </c>
      <c r="AA143" s="230">
        <f t="shared" si="33"/>
        <v>13.8</v>
      </c>
    </row>
    <row r="144" spans="3:27" s="151" customFormat="1" outlineLevel="1" x14ac:dyDescent="0.2">
      <c r="C144" s="155"/>
      <c r="D144" s="153" t="s">
        <v>188</v>
      </c>
      <c r="E144" s="228">
        <v>78</v>
      </c>
      <c r="F144" s="153" t="s">
        <v>953</v>
      </c>
      <c r="G144" s="155" t="str">
        <f t="shared" si="26"/>
        <v>Arriostrada78130-180 km/h</v>
      </c>
      <c r="I144" s="323">
        <v>1821056.16</v>
      </c>
      <c r="J144" s="324">
        <v>4.1600000000000005E-2</v>
      </c>
      <c r="K144" s="194">
        <f t="shared" si="30"/>
        <v>1896812.096256</v>
      </c>
      <c r="L144" s="265"/>
      <c r="M144" s="265">
        <v>0.03</v>
      </c>
      <c r="N144" s="194">
        <f t="shared" si="27"/>
        <v>0</v>
      </c>
      <c r="P144" s="326">
        <v>21877.966800000002</v>
      </c>
      <c r="Q144" s="327">
        <v>7.2999999999999995E-2</v>
      </c>
      <c r="R144" s="265"/>
      <c r="S144" s="194">
        <f t="shared" si="31"/>
        <v>23475.0583764</v>
      </c>
      <c r="W144" s="328">
        <f t="shared" si="28"/>
        <v>55</v>
      </c>
      <c r="X144" s="328">
        <f t="shared" si="29"/>
        <v>14.8</v>
      </c>
      <c r="Y144" s="263"/>
      <c r="Z144" s="230">
        <f t="shared" si="32"/>
        <v>14.8</v>
      </c>
      <c r="AA144" s="230">
        <f t="shared" si="33"/>
        <v>13.8</v>
      </c>
    </row>
    <row r="145" spans="3:27" s="151" customFormat="1" outlineLevel="1" x14ac:dyDescent="0.2">
      <c r="C145" s="155"/>
      <c r="D145" s="153" t="s">
        <v>188</v>
      </c>
      <c r="E145" s="228">
        <v>81</v>
      </c>
      <c r="F145" s="153" t="s">
        <v>953</v>
      </c>
      <c r="G145" s="155" t="str">
        <f t="shared" si="26"/>
        <v>Arriostrada81130-180 km/h</v>
      </c>
      <c r="I145" s="323">
        <v>1269437.3999999999</v>
      </c>
      <c r="J145" s="324">
        <v>4.4800000000000006E-2</v>
      </c>
      <c r="K145" s="194">
        <f t="shared" si="30"/>
        <v>1326308.1955199998</v>
      </c>
      <c r="L145" s="265"/>
      <c r="M145" s="265">
        <v>0.03</v>
      </c>
      <c r="N145" s="194">
        <f t="shared" si="27"/>
        <v>0</v>
      </c>
      <c r="P145" s="326">
        <v>23651.856</v>
      </c>
      <c r="Q145" s="327">
        <v>0.129</v>
      </c>
      <c r="R145" s="265"/>
      <c r="S145" s="194">
        <f t="shared" si="31"/>
        <v>26702.945424000001</v>
      </c>
      <c r="W145" s="328">
        <f t="shared" si="28"/>
        <v>55</v>
      </c>
      <c r="X145" s="328">
        <f t="shared" si="29"/>
        <v>14.8</v>
      </c>
      <c r="Y145" s="263"/>
      <c r="Z145" s="230">
        <f t="shared" si="32"/>
        <v>14.8</v>
      </c>
      <c r="AA145" s="230">
        <f t="shared" si="33"/>
        <v>13.8</v>
      </c>
    </row>
    <row r="146" spans="3:27" s="151" customFormat="1" outlineLevel="1" x14ac:dyDescent="0.2">
      <c r="C146" s="155"/>
      <c r="D146" s="153" t="s">
        <v>188</v>
      </c>
      <c r="E146" s="228">
        <v>102</v>
      </c>
      <c r="F146" s="153" t="s">
        <v>953</v>
      </c>
      <c r="G146" s="155" t="str">
        <f t="shared" si="26"/>
        <v>Arriostrada102130-180 km/h</v>
      </c>
      <c r="I146" s="323">
        <v>2447814.6</v>
      </c>
      <c r="J146" s="324">
        <v>2.8799999999999999E-2</v>
      </c>
      <c r="K146" s="194">
        <f t="shared" si="30"/>
        <v>2518311.6604800001</v>
      </c>
      <c r="L146" s="265"/>
      <c r="M146" s="265">
        <v>0.03</v>
      </c>
      <c r="N146" s="194">
        <f t="shared" si="27"/>
        <v>0</v>
      </c>
      <c r="P146" s="326">
        <v>14979.508800000001</v>
      </c>
      <c r="Q146" s="327">
        <v>0.121</v>
      </c>
      <c r="R146" s="265"/>
      <c r="S146" s="194">
        <f t="shared" si="31"/>
        <v>16792.029364800001</v>
      </c>
      <c r="W146" s="328">
        <f t="shared" si="28"/>
        <v>55</v>
      </c>
      <c r="X146" s="328">
        <f t="shared" si="29"/>
        <v>14.8</v>
      </c>
      <c r="Y146" s="263"/>
      <c r="Z146" s="230">
        <f t="shared" si="32"/>
        <v>14.8</v>
      </c>
      <c r="AA146" s="230">
        <f t="shared" si="33"/>
        <v>13.8</v>
      </c>
    </row>
    <row r="147" spans="3:27" s="151" customFormat="1" outlineLevel="1" x14ac:dyDescent="0.2">
      <c r="C147" s="155"/>
      <c r="D147" s="153" t="s">
        <v>188</v>
      </c>
      <c r="E147" s="228">
        <v>12</v>
      </c>
      <c r="F147" s="153" t="s">
        <v>954</v>
      </c>
      <c r="G147" s="155" t="str">
        <f t="shared" si="26"/>
        <v>Arriostrada12181-220 km/h</v>
      </c>
      <c r="I147" s="323">
        <v>652506.03</v>
      </c>
      <c r="J147" s="324">
        <v>3.8800000000000001E-2</v>
      </c>
      <c r="K147" s="194">
        <f t="shared" si="30"/>
        <v>677823.26396400004</v>
      </c>
      <c r="L147" s="265"/>
      <c r="M147" s="265">
        <v>0.03</v>
      </c>
      <c r="N147" s="194">
        <f t="shared" si="27"/>
        <v>0</v>
      </c>
      <c r="P147" s="326">
        <v>24834.448800000002</v>
      </c>
      <c r="Q147" s="327">
        <v>0.125</v>
      </c>
      <c r="R147" s="265"/>
      <c r="S147" s="194">
        <f t="shared" si="31"/>
        <v>27938.754900000004</v>
      </c>
      <c r="W147" s="328">
        <f t="shared" si="28"/>
        <v>55</v>
      </c>
      <c r="X147" s="328">
        <f t="shared" si="29"/>
        <v>14.8</v>
      </c>
      <c r="Y147" s="263"/>
      <c r="Z147" s="230">
        <f t="shared" si="32"/>
        <v>14.8</v>
      </c>
      <c r="AA147" s="230">
        <f t="shared" si="33"/>
        <v>13.8</v>
      </c>
    </row>
    <row r="148" spans="3:27" s="151" customFormat="1" outlineLevel="1" x14ac:dyDescent="0.2">
      <c r="C148" s="155"/>
      <c r="D148" s="153" t="s">
        <v>188</v>
      </c>
      <c r="E148" s="228">
        <v>15</v>
      </c>
      <c r="F148" s="153" t="s">
        <v>954</v>
      </c>
      <c r="G148" s="155" t="str">
        <f t="shared" si="26"/>
        <v>Arriostrada15181-220 km/h</v>
      </c>
      <c r="I148" s="323">
        <v>727728.16599999997</v>
      </c>
      <c r="J148" s="324">
        <v>3.04E-2</v>
      </c>
      <c r="K148" s="194">
        <f t="shared" si="30"/>
        <v>749851.10224639997</v>
      </c>
      <c r="L148" s="265"/>
      <c r="M148" s="265">
        <v>0.03</v>
      </c>
      <c r="N148" s="194">
        <f t="shared" si="27"/>
        <v>0</v>
      </c>
      <c r="P148" s="326">
        <v>25622.844000000001</v>
      </c>
      <c r="Q148" s="327">
        <v>0.11899999999999999</v>
      </c>
      <c r="R148" s="265"/>
      <c r="S148" s="194">
        <f t="shared" si="31"/>
        <v>28671.962436000002</v>
      </c>
      <c r="W148" s="328">
        <f t="shared" si="28"/>
        <v>55</v>
      </c>
      <c r="X148" s="328">
        <f t="shared" si="29"/>
        <v>14.8</v>
      </c>
      <c r="Y148" s="263"/>
      <c r="Z148" s="230">
        <f t="shared" si="32"/>
        <v>14.8</v>
      </c>
      <c r="AA148" s="230">
        <f t="shared" si="33"/>
        <v>13.8</v>
      </c>
    </row>
    <row r="149" spans="3:27" s="151" customFormat="1" outlineLevel="1" x14ac:dyDescent="0.2">
      <c r="C149" s="155"/>
      <c r="D149" s="153" t="s">
        <v>188</v>
      </c>
      <c r="E149" s="228">
        <v>18</v>
      </c>
      <c r="F149" s="153" t="s">
        <v>954</v>
      </c>
      <c r="G149" s="155" t="str">
        <f t="shared" si="26"/>
        <v>Arriostrada18181-220 km/h</v>
      </c>
      <c r="I149" s="323">
        <v>703338.07499999995</v>
      </c>
      <c r="J149" s="324">
        <v>3.9199999999999999E-2</v>
      </c>
      <c r="K149" s="194">
        <f t="shared" si="30"/>
        <v>730908.92753999983</v>
      </c>
      <c r="L149" s="265"/>
      <c r="M149" s="265">
        <v>0.03</v>
      </c>
      <c r="N149" s="194">
        <f t="shared" si="27"/>
        <v>0</v>
      </c>
      <c r="P149" s="326">
        <v>24046.053599999999</v>
      </c>
      <c r="Q149" s="327">
        <v>0.12</v>
      </c>
      <c r="R149" s="265"/>
      <c r="S149" s="194">
        <f t="shared" si="31"/>
        <v>26931.580032000002</v>
      </c>
      <c r="W149" s="328">
        <f t="shared" si="28"/>
        <v>55</v>
      </c>
      <c r="X149" s="328">
        <f t="shared" si="29"/>
        <v>14.8</v>
      </c>
      <c r="Y149" s="263"/>
      <c r="Z149" s="230">
        <f t="shared" si="32"/>
        <v>14.8</v>
      </c>
      <c r="AA149" s="230">
        <f t="shared" si="33"/>
        <v>13.8</v>
      </c>
    </row>
    <row r="150" spans="3:27" s="151" customFormat="1" outlineLevel="1" x14ac:dyDescent="0.2">
      <c r="C150" s="155"/>
      <c r="D150" s="153" t="s">
        <v>188</v>
      </c>
      <c r="E150" s="228">
        <v>21</v>
      </c>
      <c r="F150" s="153" t="s">
        <v>954</v>
      </c>
      <c r="G150" s="155" t="str">
        <f t="shared" si="26"/>
        <v>Arriostrada21181-220 km/h</v>
      </c>
      <c r="I150" s="323">
        <v>845129.62600000005</v>
      </c>
      <c r="J150" s="324">
        <v>0.04</v>
      </c>
      <c r="K150" s="194">
        <f t="shared" si="30"/>
        <v>878934.81104000006</v>
      </c>
      <c r="L150" s="265"/>
      <c r="M150" s="265">
        <v>0.03</v>
      </c>
      <c r="N150" s="194">
        <f t="shared" si="27"/>
        <v>0</v>
      </c>
      <c r="P150" s="326">
        <v>21877.966800000002</v>
      </c>
      <c r="Q150" s="327">
        <v>7.6000000000000012E-2</v>
      </c>
      <c r="R150" s="265"/>
      <c r="S150" s="194">
        <f t="shared" si="31"/>
        <v>23540.692276800004</v>
      </c>
      <c r="W150" s="328">
        <f t="shared" si="28"/>
        <v>55</v>
      </c>
      <c r="X150" s="328">
        <f t="shared" si="29"/>
        <v>14.8</v>
      </c>
      <c r="Y150" s="263"/>
      <c r="Z150" s="230">
        <f t="shared" si="32"/>
        <v>14.8</v>
      </c>
      <c r="AA150" s="230">
        <f t="shared" si="33"/>
        <v>13.8</v>
      </c>
    </row>
    <row r="151" spans="3:27" s="151" customFormat="1" outlineLevel="1" x14ac:dyDescent="0.2">
      <c r="C151" s="155"/>
      <c r="D151" s="153" t="s">
        <v>188</v>
      </c>
      <c r="E151" s="228">
        <v>24</v>
      </c>
      <c r="F151" s="153" t="s">
        <v>954</v>
      </c>
      <c r="G151" s="155" t="str">
        <f t="shared" si="26"/>
        <v>Arriostrada24181-220 km/h</v>
      </c>
      <c r="I151" s="323">
        <v>621226.16599999997</v>
      </c>
      <c r="J151" s="324">
        <v>3.9600000000000003E-2</v>
      </c>
      <c r="K151" s="194">
        <f t="shared" si="30"/>
        <v>645826.72217359999</v>
      </c>
      <c r="L151" s="265"/>
      <c r="M151" s="265">
        <v>0.03</v>
      </c>
      <c r="N151" s="194">
        <f t="shared" si="27"/>
        <v>0</v>
      </c>
      <c r="P151" s="326">
        <v>22666.362000000001</v>
      </c>
      <c r="Q151" s="327">
        <v>0.121</v>
      </c>
      <c r="R151" s="265"/>
      <c r="S151" s="194">
        <f t="shared" si="31"/>
        <v>25408.991802</v>
      </c>
      <c r="W151" s="328">
        <f t="shared" si="28"/>
        <v>55</v>
      </c>
      <c r="X151" s="328">
        <f t="shared" si="29"/>
        <v>14.8</v>
      </c>
      <c r="Y151" s="263"/>
      <c r="Z151" s="230">
        <f t="shared" si="32"/>
        <v>14.8</v>
      </c>
      <c r="AA151" s="230">
        <f t="shared" si="33"/>
        <v>13.8</v>
      </c>
    </row>
    <row r="152" spans="3:27" s="151" customFormat="1" outlineLevel="1" x14ac:dyDescent="0.2">
      <c r="C152" s="155"/>
      <c r="D152" s="153" t="s">
        <v>188</v>
      </c>
      <c r="E152" s="228">
        <v>27</v>
      </c>
      <c r="F152" s="153" t="s">
        <v>954</v>
      </c>
      <c r="G152" s="155" t="str">
        <f t="shared" si="26"/>
        <v>Arriostrada27181-220 km/h</v>
      </c>
      <c r="I152" s="323">
        <v>1065790.4400000002</v>
      </c>
      <c r="J152" s="324">
        <v>4.4400000000000002E-2</v>
      </c>
      <c r="K152" s="194">
        <f t="shared" si="30"/>
        <v>1113111.5355360003</v>
      </c>
      <c r="L152" s="265"/>
      <c r="M152" s="265">
        <v>0.03</v>
      </c>
      <c r="N152" s="194">
        <f t="shared" si="27"/>
        <v>0</v>
      </c>
      <c r="P152" s="326">
        <v>14191.113600000001</v>
      </c>
      <c r="Q152" s="327">
        <v>8.0000000000000016E-2</v>
      </c>
      <c r="R152" s="265"/>
      <c r="S152" s="194">
        <f t="shared" si="31"/>
        <v>15326.402688000002</v>
      </c>
      <c r="W152" s="328">
        <f t="shared" si="28"/>
        <v>55</v>
      </c>
      <c r="X152" s="328">
        <f t="shared" si="29"/>
        <v>14.8</v>
      </c>
      <c r="Y152" s="263"/>
      <c r="Z152" s="230">
        <f t="shared" si="32"/>
        <v>14.8</v>
      </c>
      <c r="AA152" s="230">
        <f t="shared" si="33"/>
        <v>13.8</v>
      </c>
    </row>
    <row r="153" spans="3:27" s="151" customFormat="1" outlineLevel="1" x14ac:dyDescent="0.2">
      <c r="C153" s="155"/>
      <c r="D153" s="153" t="s">
        <v>188</v>
      </c>
      <c r="E153" s="228">
        <v>30</v>
      </c>
      <c r="F153" s="153" t="s">
        <v>954</v>
      </c>
      <c r="G153" s="155" t="str">
        <f t="shared" si="26"/>
        <v>Arriostrada30181-220 km/h</v>
      </c>
      <c r="I153" s="323">
        <v>795099.745</v>
      </c>
      <c r="J153" s="324">
        <v>4.0800000000000003E-2</v>
      </c>
      <c r="K153" s="194">
        <f t="shared" si="30"/>
        <v>827539.81459600001</v>
      </c>
      <c r="L153" s="265"/>
      <c r="M153" s="265">
        <v>0.03</v>
      </c>
      <c r="N153" s="194">
        <f t="shared" si="27"/>
        <v>0</v>
      </c>
      <c r="P153" s="326">
        <v>24834.448800000002</v>
      </c>
      <c r="Q153" s="327">
        <v>7.9000000000000015E-2</v>
      </c>
      <c r="R153" s="265"/>
      <c r="S153" s="194">
        <f t="shared" si="31"/>
        <v>26796.3702552</v>
      </c>
      <c r="W153" s="328">
        <f t="shared" si="28"/>
        <v>55</v>
      </c>
      <c r="X153" s="328">
        <f t="shared" si="29"/>
        <v>14.8</v>
      </c>
      <c r="Y153" s="263"/>
      <c r="Z153" s="230">
        <f t="shared" si="32"/>
        <v>14.8</v>
      </c>
      <c r="AA153" s="230">
        <f t="shared" si="33"/>
        <v>13.8</v>
      </c>
    </row>
    <row r="154" spans="3:27" s="151" customFormat="1" outlineLevel="1" x14ac:dyDescent="0.2">
      <c r="C154" s="155"/>
      <c r="D154" s="153" t="s">
        <v>188</v>
      </c>
      <c r="E154" s="228">
        <v>33</v>
      </c>
      <c r="F154" s="153" t="s">
        <v>954</v>
      </c>
      <c r="G154" s="155" t="str">
        <f t="shared" si="26"/>
        <v>Arriostrada33181-220 km/h</v>
      </c>
      <c r="I154" s="323">
        <v>1018442.37</v>
      </c>
      <c r="J154" s="324">
        <v>2.92E-2</v>
      </c>
      <c r="K154" s="194">
        <f t="shared" si="30"/>
        <v>1048180.8872039999</v>
      </c>
      <c r="L154" s="265"/>
      <c r="M154" s="265">
        <v>0.03</v>
      </c>
      <c r="N154" s="194">
        <f t="shared" si="27"/>
        <v>0</v>
      </c>
      <c r="P154" s="326">
        <v>25622.844000000001</v>
      </c>
      <c r="Q154" s="327">
        <v>7.5000000000000011E-2</v>
      </c>
      <c r="R154" s="265"/>
      <c r="S154" s="194">
        <f t="shared" si="31"/>
        <v>27544.5573</v>
      </c>
      <c r="W154" s="328">
        <f t="shared" si="28"/>
        <v>55</v>
      </c>
      <c r="X154" s="328">
        <f t="shared" si="29"/>
        <v>14.8</v>
      </c>
      <c r="Y154" s="263"/>
      <c r="Z154" s="230">
        <f t="shared" si="32"/>
        <v>14.8</v>
      </c>
      <c r="AA154" s="230">
        <f t="shared" si="33"/>
        <v>13.8</v>
      </c>
    </row>
    <row r="155" spans="3:27" s="151" customFormat="1" outlineLevel="1" x14ac:dyDescent="0.2">
      <c r="C155" s="155"/>
      <c r="D155" s="153" t="s">
        <v>188</v>
      </c>
      <c r="E155" s="228">
        <v>36</v>
      </c>
      <c r="F155" s="153" t="s">
        <v>954</v>
      </c>
      <c r="G155" s="155" t="str">
        <f t="shared" si="26"/>
        <v>Arriostrada36181-220 km/h</v>
      </c>
      <c r="I155" s="323">
        <v>1338254.2799999998</v>
      </c>
      <c r="J155" s="324">
        <v>3.6799999999999999E-2</v>
      </c>
      <c r="K155" s="194">
        <f t="shared" si="30"/>
        <v>1387502.0375039997</v>
      </c>
      <c r="L155" s="265"/>
      <c r="M155" s="265">
        <v>0.03</v>
      </c>
      <c r="N155" s="194">
        <f t="shared" si="27"/>
        <v>0</v>
      </c>
      <c r="P155" s="326">
        <v>21877.966800000002</v>
      </c>
      <c r="Q155" s="327">
        <v>7.2999999999999995E-2</v>
      </c>
      <c r="R155" s="265"/>
      <c r="S155" s="194">
        <f t="shared" si="31"/>
        <v>23475.0583764</v>
      </c>
      <c r="W155" s="328">
        <f t="shared" si="28"/>
        <v>55</v>
      </c>
      <c r="X155" s="328">
        <f t="shared" si="29"/>
        <v>14.8</v>
      </c>
      <c r="Y155" s="263"/>
      <c r="Z155" s="230">
        <f t="shared" si="32"/>
        <v>14.8</v>
      </c>
      <c r="AA155" s="230">
        <f t="shared" si="33"/>
        <v>13.8</v>
      </c>
    </row>
    <row r="156" spans="3:27" s="151" customFormat="1" outlineLevel="1" x14ac:dyDescent="0.2">
      <c r="C156" s="155"/>
      <c r="D156" s="153" t="s">
        <v>188</v>
      </c>
      <c r="E156" s="228">
        <v>39</v>
      </c>
      <c r="F156" s="153" t="s">
        <v>954</v>
      </c>
      <c r="G156" s="155" t="str">
        <f t="shared" si="26"/>
        <v>Arriostrada39181-220 km/h</v>
      </c>
      <c r="I156" s="323">
        <v>1435687.7479999999</v>
      </c>
      <c r="J156" s="324">
        <v>4.8399999999999999E-2</v>
      </c>
      <c r="K156" s="194">
        <f t="shared" si="30"/>
        <v>1505175.0350031999</v>
      </c>
      <c r="L156" s="265"/>
      <c r="M156" s="265">
        <v>0.03</v>
      </c>
      <c r="N156" s="194">
        <f t="shared" si="27"/>
        <v>0</v>
      </c>
      <c r="P156" s="326">
        <v>23060.559600000001</v>
      </c>
      <c r="Q156" s="327">
        <v>7.2999999999999995E-2</v>
      </c>
      <c r="R156" s="265"/>
      <c r="S156" s="194">
        <f t="shared" si="31"/>
        <v>24743.980450799998</v>
      </c>
      <c r="W156" s="328">
        <f t="shared" si="28"/>
        <v>55</v>
      </c>
      <c r="X156" s="328">
        <f t="shared" si="29"/>
        <v>14.8</v>
      </c>
      <c r="Y156" s="263"/>
      <c r="Z156" s="230">
        <f t="shared" si="32"/>
        <v>14.8</v>
      </c>
      <c r="AA156" s="230">
        <f t="shared" si="33"/>
        <v>13.8</v>
      </c>
    </row>
    <row r="157" spans="3:27" s="151" customFormat="1" outlineLevel="1" x14ac:dyDescent="0.2">
      <c r="C157" s="155"/>
      <c r="D157" s="153" t="s">
        <v>188</v>
      </c>
      <c r="E157" s="228">
        <v>42</v>
      </c>
      <c r="F157" s="153" t="s">
        <v>954</v>
      </c>
      <c r="G157" s="155" t="str">
        <f t="shared" si="26"/>
        <v>Arriostrada42181-220 km/h</v>
      </c>
      <c r="I157" s="323">
        <v>1212628.7250000001</v>
      </c>
      <c r="J157" s="324">
        <v>2.7999999999999997E-2</v>
      </c>
      <c r="K157" s="194">
        <f t="shared" si="30"/>
        <v>1246582.3293000001</v>
      </c>
      <c r="L157" s="265"/>
      <c r="M157" s="265">
        <v>0.03</v>
      </c>
      <c r="N157" s="194">
        <f t="shared" si="27"/>
        <v>0</v>
      </c>
      <c r="P157" s="326">
        <v>15965.002800000002</v>
      </c>
      <c r="Q157" s="327">
        <v>0.11899999999999999</v>
      </c>
      <c r="R157" s="265"/>
      <c r="S157" s="194">
        <f t="shared" si="31"/>
        <v>17864.838133200003</v>
      </c>
      <c r="W157" s="328">
        <f t="shared" si="28"/>
        <v>55</v>
      </c>
      <c r="X157" s="328">
        <f t="shared" si="29"/>
        <v>14.8</v>
      </c>
      <c r="Y157" s="263"/>
      <c r="Z157" s="230">
        <f t="shared" si="32"/>
        <v>14.8</v>
      </c>
      <c r="AA157" s="230">
        <f t="shared" si="33"/>
        <v>13.8</v>
      </c>
    </row>
    <row r="158" spans="3:27" s="151" customFormat="1" outlineLevel="1" x14ac:dyDescent="0.2">
      <c r="C158" s="155"/>
      <c r="D158" s="153" t="s">
        <v>188</v>
      </c>
      <c r="E158" s="228">
        <v>45</v>
      </c>
      <c r="F158" s="153" t="s">
        <v>954</v>
      </c>
      <c r="G158" s="155" t="str">
        <f t="shared" si="26"/>
        <v>Arriostrada45181-220 km/h</v>
      </c>
      <c r="I158" s="323">
        <v>1348992.0675000001</v>
      </c>
      <c r="J158" s="324">
        <v>0.05</v>
      </c>
      <c r="K158" s="194">
        <f t="shared" si="30"/>
        <v>1416441.6708750003</v>
      </c>
      <c r="L158" s="265"/>
      <c r="M158" s="265">
        <v>0.03</v>
      </c>
      <c r="N158" s="194">
        <f t="shared" si="27"/>
        <v>0</v>
      </c>
      <c r="P158" s="326">
        <v>18724.385999999999</v>
      </c>
      <c r="Q158" s="327">
        <v>0.10200000000000001</v>
      </c>
      <c r="R158" s="265"/>
      <c r="S158" s="194">
        <f t="shared" si="31"/>
        <v>20634.273372</v>
      </c>
      <c r="W158" s="328">
        <f t="shared" si="28"/>
        <v>55</v>
      </c>
      <c r="X158" s="328">
        <f t="shared" si="29"/>
        <v>14.8</v>
      </c>
      <c r="Y158" s="263"/>
      <c r="Z158" s="230">
        <f t="shared" si="32"/>
        <v>14.8</v>
      </c>
      <c r="AA158" s="230">
        <f t="shared" si="33"/>
        <v>13.8</v>
      </c>
    </row>
    <row r="159" spans="3:27" s="151" customFormat="1" outlineLevel="1" x14ac:dyDescent="0.2">
      <c r="C159" s="155"/>
      <c r="D159" s="153" t="s">
        <v>188</v>
      </c>
      <c r="E159" s="228">
        <v>48</v>
      </c>
      <c r="F159" s="153" t="s">
        <v>954</v>
      </c>
      <c r="G159" s="155" t="str">
        <f t="shared" si="26"/>
        <v>Arriostrada48181-220 km/h</v>
      </c>
      <c r="I159" s="323">
        <v>1329191.325</v>
      </c>
      <c r="J159" s="324">
        <v>4.24E-2</v>
      </c>
      <c r="K159" s="194">
        <f t="shared" si="30"/>
        <v>1385549.03718</v>
      </c>
      <c r="L159" s="265"/>
      <c r="M159" s="265">
        <v>0.03</v>
      </c>
      <c r="N159" s="194">
        <f t="shared" si="27"/>
        <v>0</v>
      </c>
      <c r="P159" s="326">
        <v>25622.844000000001</v>
      </c>
      <c r="Q159" s="327">
        <v>0.121</v>
      </c>
      <c r="R159" s="265"/>
      <c r="S159" s="194">
        <f t="shared" si="31"/>
        <v>28723.208124000001</v>
      </c>
      <c r="W159" s="328">
        <f t="shared" si="28"/>
        <v>55</v>
      </c>
      <c r="X159" s="328">
        <f t="shared" si="29"/>
        <v>14.8</v>
      </c>
      <c r="Y159" s="263"/>
      <c r="Z159" s="230">
        <f t="shared" si="32"/>
        <v>14.8</v>
      </c>
      <c r="AA159" s="230">
        <f t="shared" si="33"/>
        <v>13.8</v>
      </c>
    </row>
    <row r="160" spans="3:27" s="151" customFormat="1" outlineLevel="1" x14ac:dyDescent="0.2">
      <c r="C160" s="155"/>
      <c r="D160" s="153" t="s">
        <v>188</v>
      </c>
      <c r="E160" s="228">
        <v>51</v>
      </c>
      <c r="F160" s="153" t="s">
        <v>954</v>
      </c>
      <c r="G160" s="155" t="str">
        <f t="shared" si="26"/>
        <v>Arriostrada51181-220 km/h</v>
      </c>
      <c r="I160" s="323">
        <v>1257294.885</v>
      </c>
      <c r="J160" s="324">
        <v>5.1200000000000002E-2</v>
      </c>
      <c r="K160" s="194">
        <f t="shared" si="30"/>
        <v>1321668.3831119998</v>
      </c>
      <c r="L160" s="265"/>
      <c r="M160" s="265">
        <v>0.03</v>
      </c>
      <c r="N160" s="194">
        <f t="shared" si="27"/>
        <v>0</v>
      </c>
      <c r="P160" s="326">
        <v>17147.595600000001</v>
      </c>
      <c r="Q160" s="327">
        <v>8.6000000000000007E-2</v>
      </c>
      <c r="R160" s="265"/>
      <c r="S160" s="194">
        <f t="shared" si="31"/>
        <v>18622.288821600003</v>
      </c>
      <c r="W160" s="328">
        <f t="shared" si="28"/>
        <v>55</v>
      </c>
      <c r="X160" s="328">
        <f t="shared" si="29"/>
        <v>14.8</v>
      </c>
      <c r="Y160" s="263"/>
      <c r="Z160" s="230">
        <f t="shared" si="32"/>
        <v>14.8</v>
      </c>
      <c r="AA160" s="230">
        <f t="shared" si="33"/>
        <v>13.8</v>
      </c>
    </row>
    <row r="161" spans="3:27" s="151" customFormat="1" outlineLevel="1" x14ac:dyDescent="0.2">
      <c r="C161" s="155"/>
      <c r="D161" s="153" t="s">
        <v>188</v>
      </c>
      <c r="E161" s="228">
        <v>54</v>
      </c>
      <c r="F161" s="153" t="s">
        <v>954</v>
      </c>
      <c r="G161" s="155" t="str">
        <f t="shared" si="26"/>
        <v>Arriostrada54181-220 km/h</v>
      </c>
      <c r="I161" s="323">
        <v>1552671.12</v>
      </c>
      <c r="J161" s="324">
        <v>5.2000000000000005E-2</v>
      </c>
      <c r="K161" s="194">
        <f t="shared" si="30"/>
        <v>1633410.0182400001</v>
      </c>
      <c r="L161" s="265"/>
      <c r="M161" s="265">
        <v>0.03</v>
      </c>
      <c r="N161" s="194">
        <f t="shared" si="27"/>
        <v>0</v>
      </c>
      <c r="P161" s="326">
        <v>24046.053599999999</v>
      </c>
      <c r="Q161" s="327">
        <v>0.10200000000000001</v>
      </c>
      <c r="R161" s="265"/>
      <c r="S161" s="194">
        <f t="shared" si="31"/>
        <v>26498.751067200003</v>
      </c>
      <c r="W161" s="328">
        <f t="shared" si="28"/>
        <v>55</v>
      </c>
      <c r="X161" s="328">
        <f t="shared" si="29"/>
        <v>14.8</v>
      </c>
      <c r="Y161" s="263"/>
      <c r="Z161" s="230">
        <f t="shared" si="32"/>
        <v>14.8</v>
      </c>
      <c r="AA161" s="230">
        <f t="shared" si="33"/>
        <v>13.8</v>
      </c>
    </row>
    <row r="162" spans="3:27" s="151" customFormat="1" outlineLevel="1" x14ac:dyDescent="0.2">
      <c r="C162" s="155"/>
      <c r="D162" s="153" t="s">
        <v>188</v>
      </c>
      <c r="E162" s="228">
        <v>57</v>
      </c>
      <c r="F162" s="153" t="s">
        <v>954</v>
      </c>
      <c r="G162" s="155" t="str">
        <f t="shared" si="26"/>
        <v>Arriostrada57181-220 km/h</v>
      </c>
      <c r="I162" s="323">
        <v>1150120.125</v>
      </c>
      <c r="J162" s="324">
        <v>3.5200000000000002E-2</v>
      </c>
      <c r="K162" s="194">
        <f t="shared" si="30"/>
        <v>1190604.3533999999</v>
      </c>
      <c r="L162" s="265"/>
      <c r="M162" s="265">
        <v>0.03</v>
      </c>
      <c r="N162" s="194">
        <f t="shared" si="27"/>
        <v>0</v>
      </c>
      <c r="P162" s="326">
        <v>24046.053599999999</v>
      </c>
      <c r="Q162" s="327">
        <v>0.124</v>
      </c>
      <c r="R162" s="265"/>
      <c r="S162" s="194">
        <f t="shared" si="31"/>
        <v>27027.764246400002</v>
      </c>
      <c r="W162" s="328">
        <f t="shared" si="28"/>
        <v>55</v>
      </c>
      <c r="X162" s="328">
        <f t="shared" si="29"/>
        <v>14.8</v>
      </c>
      <c r="Y162" s="263"/>
      <c r="Z162" s="230">
        <f t="shared" si="32"/>
        <v>14.8</v>
      </c>
      <c r="AA162" s="230">
        <f t="shared" si="33"/>
        <v>13.8</v>
      </c>
    </row>
    <row r="163" spans="3:27" s="151" customFormat="1" outlineLevel="1" x14ac:dyDescent="0.2">
      <c r="C163" s="155"/>
      <c r="D163" s="153" t="s">
        <v>188</v>
      </c>
      <c r="E163" s="228">
        <v>60</v>
      </c>
      <c r="F163" s="153" t="s">
        <v>954</v>
      </c>
      <c r="G163" s="155" t="str">
        <f t="shared" si="26"/>
        <v>Arriostrada60181-220 km/h</v>
      </c>
      <c r="I163" s="323">
        <v>1397035.4475</v>
      </c>
      <c r="J163" s="324">
        <v>3.4799999999999998E-2</v>
      </c>
      <c r="K163" s="194">
        <f t="shared" si="30"/>
        <v>1445652.2810729998</v>
      </c>
      <c r="L163" s="265"/>
      <c r="M163" s="265">
        <v>0.03</v>
      </c>
      <c r="N163" s="194">
        <f t="shared" si="27"/>
        <v>0</v>
      </c>
      <c r="P163" s="326">
        <v>14979.508800000001</v>
      </c>
      <c r="Q163" s="327">
        <v>0.11200000000000002</v>
      </c>
      <c r="R163" s="265"/>
      <c r="S163" s="194">
        <f t="shared" si="31"/>
        <v>16657.213785600004</v>
      </c>
      <c r="W163" s="328">
        <f t="shared" si="28"/>
        <v>55</v>
      </c>
      <c r="X163" s="328">
        <f t="shared" si="29"/>
        <v>14.8</v>
      </c>
      <c r="Y163" s="263"/>
      <c r="Z163" s="230">
        <f t="shared" si="32"/>
        <v>14.8</v>
      </c>
      <c r="AA163" s="230">
        <f t="shared" si="33"/>
        <v>13.8</v>
      </c>
    </row>
    <row r="164" spans="3:27" s="151" customFormat="1" outlineLevel="1" x14ac:dyDescent="0.2">
      <c r="C164" s="155"/>
      <c r="D164" s="153" t="s">
        <v>188</v>
      </c>
      <c r="E164" s="228">
        <v>63</v>
      </c>
      <c r="F164" s="153" t="s">
        <v>954</v>
      </c>
      <c r="G164" s="155" t="str">
        <f t="shared" si="26"/>
        <v>Arriostrada63181-220 km/h</v>
      </c>
      <c r="I164" s="323">
        <v>2076245.325</v>
      </c>
      <c r="J164" s="324">
        <v>4.7199999999999999E-2</v>
      </c>
      <c r="K164" s="194">
        <f t="shared" si="30"/>
        <v>2174244.1043399996</v>
      </c>
      <c r="L164" s="265"/>
      <c r="M164" s="265">
        <v>0.03</v>
      </c>
      <c r="N164" s="194">
        <f t="shared" si="27"/>
        <v>0</v>
      </c>
      <c r="P164" s="326">
        <v>25228.646400000001</v>
      </c>
      <c r="Q164" s="327">
        <v>0.10100000000000001</v>
      </c>
      <c r="R164" s="265"/>
      <c r="S164" s="194">
        <f t="shared" si="31"/>
        <v>27776.7396864</v>
      </c>
      <c r="W164" s="328">
        <f t="shared" si="28"/>
        <v>55</v>
      </c>
      <c r="X164" s="328">
        <f t="shared" si="29"/>
        <v>14.8</v>
      </c>
      <c r="Y164" s="263"/>
      <c r="Z164" s="230">
        <f t="shared" si="32"/>
        <v>14.8</v>
      </c>
      <c r="AA164" s="230">
        <f t="shared" si="33"/>
        <v>13.8</v>
      </c>
    </row>
    <row r="165" spans="3:27" s="151" customFormat="1" outlineLevel="1" x14ac:dyDescent="0.2">
      <c r="C165" s="155"/>
      <c r="D165" s="153" t="s">
        <v>188</v>
      </c>
      <c r="E165" s="228">
        <v>66</v>
      </c>
      <c r="F165" s="153" t="s">
        <v>954</v>
      </c>
      <c r="G165" s="155" t="str">
        <f t="shared" si="26"/>
        <v>Arriostrada66181-220 km/h</v>
      </c>
      <c r="I165" s="323">
        <v>2137773.33</v>
      </c>
      <c r="J165" s="324">
        <v>4.3200000000000002E-2</v>
      </c>
      <c r="K165" s="194">
        <f t="shared" si="30"/>
        <v>2230125.1378560001</v>
      </c>
      <c r="L165" s="265"/>
      <c r="M165" s="265">
        <v>0.03</v>
      </c>
      <c r="N165" s="194">
        <f t="shared" si="27"/>
        <v>0</v>
      </c>
      <c r="P165" s="326">
        <v>16950.496800000001</v>
      </c>
      <c r="Q165" s="327">
        <v>9.5000000000000001E-2</v>
      </c>
      <c r="R165" s="265"/>
      <c r="S165" s="194">
        <f t="shared" si="31"/>
        <v>18560.793996</v>
      </c>
      <c r="W165" s="328">
        <f t="shared" si="28"/>
        <v>55</v>
      </c>
      <c r="X165" s="328">
        <f t="shared" si="29"/>
        <v>14.8</v>
      </c>
      <c r="Y165" s="263"/>
      <c r="Z165" s="230">
        <f t="shared" si="32"/>
        <v>14.8</v>
      </c>
      <c r="AA165" s="230">
        <f t="shared" si="33"/>
        <v>13.8</v>
      </c>
    </row>
    <row r="166" spans="3:27" s="151" customFormat="1" outlineLevel="1" x14ac:dyDescent="0.2">
      <c r="C166" s="155"/>
      <c r="D166" s="153" t="s">
        <v>188</v>
      </c>
      <c r="E166" s="228">
        <v>69</v>
      </c>
      <c r="F166" s="153" t="s">
        <v>954</v>
      </c>
      <c r="G166" s="155" t="str">
        <f t="shared" si="26"/>
        <v>Arriostrada69181-220 km/h</v>
      </c>
      <c r="I166" s="323">
        <v>2115936.9</v>
      </c>
      <c r="J166" s="324">
        <v>4.0399999999999998E-2</v>
      </c>
      <c r="K166" s="194">
        <f t="shared" si="30"/>
        <v>2201420.7507599997</v>
      </c>
      <c r="L166" s="265"/>
      <c r="M166" s="265">
        <v>0.03</v>
      </c>
      <c r="N166" s="194">
        <f t="shared" si="27"/>
        <v>0</v>
      </c>
      <c r="P166" s="326">
        <v>23257.6584</v>
      </c>
      <c r="Q166" s="327">
        <v>0.11799999999999999</v>
      </c>
      <c r="R166" s="265"/>
      <c r="S166" s="194">
        <f t="shared" si="31"/>
        <v>26002.062091199998</v>
      </c>
      <c r="W166" s="328">
        <f t="shared" si="28"/>
        <v>55</v>
      </c>
      <c r="X166" s="328">
        <f t="shared" si="29"/>
        <v>14.8</v>
      </c>
      <c r="Y166" s="263"/>
      <c r="Z166" s="230">
        <f t="shared" si="32"/>
        <v>14.8</v>
      </c>
      <c r="AA166" s="230">
        <f t="shared" si="33"/>
        <v>13.8</v>
      </c>
    </row>
    <row r="167" spans="3:27" s="151" customFormat="1" outlineLevel="1" x14ac:dyDescent="0.2">
      <c r="C167" s="155"/>
      <c r="D167" s="153" t="s">
        <v>188</v>
      </c>
      <c r="E167" s="228">
        <v>72</v>
      </c>
      <c r="F167" s="153" t="s">
        <v>954</v>
      </c>
      <c r="G167" s="155" t="str">
        <f t="shared" si="26"/>
        <v>Arriostrada72181-220 km/h</v>
      </c>
      <c r="I167" s="323">
        <v>1563255.54</v>
      </c>
      <c r="J167" s="324">
        <v>3.7600000000000001E-2</v>
      </c>
      <c r="K167" s="194">
        <f t="shared" si="30"/>
        <v>1622033.9483040001</v>
      </c>
      <c r="L167" s="265"/>
      <c r="M167" s="265">
        <v>0.03</v>
      </c>
      <c r="N167" s="194">
        <f t="shared" si="27"/>
        <v>0</v>
      </c>
      <c r="P167" s="326">
        <v>21680.868000000002</v>
      </c>
      <c r="Q167" s="327">
        <v>8.0000000000000016E-2</v>
      </c>
      <c r="R167" s="265"/>
      <c r="S167" s="194">
        <f t="shared" si="31"/>
        <v>23415.337440000003</v>
      </c>
      <c r="W167" s="328">
        <f t="shared" si="28"/>
        <v>55</v>
      </c>
      <c r="X167" s="328">
        <f t="shared" si="29"/>
        <v>14.8</v>
      </c>
      <c r="Y167" s="263"/>
      <c r="Z167" s="230">
        <f t="shared" si="32"/>
        <v>14.8</v>
      </c>
      <c r="AA167" s="230">
        <f t="shared" si="33"/>
        <v>13.8</v>
      </c>
    </row>
    <row r="168" spans="3:27" s="151" customFormat="1" outlineLevel="1" x14ac:dyDescent="0.2">
      <c r="C168" s="155"/>
      <c r="D168" s="153" t="s">
        <v>188</v>
      </c>
      <c r="E168" s="228">
        <v>75</v>
      </c>
      <c r="F168" s="153" t="s">
        <v>954</v>
      </c>
      <c r="G168" s="155" t="str">
        <f t="shared" si="26"/>
        <v>Arriostrada75181-220 km/h</v>
      </c>
      <c r="I168" s="323">
        <v>2122846.11</v>
      </c>
      <c r="J168" s="324">
        <v>3.2400000000000005E-2</v>
      </c>
      <c r="K168" s="194">
        <f t="shared" si="30"/>
        <v>2191626.3239639997</v>
      </c>
      <c r="L168" s="265"/>
      <c r="M168" s="265">
        <v>0.03</v>
      </c>
      <c r="N168" s="194">
        <f t="shared" si="27"/>
        <v>0</v>
      </c>
      <c r="P168" s="326">
        <v>25228.646400000001</v>
      </c>
      <c r="Q168" s="327">
        <v>8.0000000000000016E-2</v>
      </c>
      <c r="R168" s="265"/>
      <c r="S168" s="194">
        <f t="shared" si="31"/>
        <v>27246.938112000003</v>
      </c>
      <c r="W168" s="328">
        <f t="shared" si="28"/>
        <v>55</v>
      </c>
      <c r="X168" s="328">
        <f t="shared" si="29"/>
        <v>14.8</v>
      </c>
      <c r="Y168" s="263"/>
      <c r="Z168" s="230">
        <f t="shared" si="32"/>
        <v>14.8</v>
      </c>
      <c r="AA168" s="230">
        <f t="shared" si="33"/>
        <v>13.8</v>
      </c>
    </row>
    <row r="169" spans="3:27" s="151" customFormat="1" outlineLevel="1" x14ac:dyDescent="0.2">
      <c r="C169" s="155"/>
      <c r="D169" s="153" t="s">
        <v>188</v>
      </c>
      <c r="E169" s="228">
        <v>78</v>
      </c>
      <c r="F169" s="153" t="s">
        <v>954</v>
      </c>
      <c r="G169" s="155" t="str">
        <f t="shared" si="26"/>
        <v>Arriostrada78181-220 km/h</v>
      </c>
      <c r="I169" s="323">
        <v>2386403.25</v>
      </c>
      <c r="J169" s="324">
        <v>4.4800000000000006E-2</v>
      </c>
      <c r="K169" s="194">
        <f t="shared" si="30"/>
        <v>2493314.1155999997</v>
      </c>
      <c r="L169" s="265"/>
      <c r="M169" s="265">
        <v>0.03</v>
      </c>
      <c r="N169" s="194">
        <f t="shared" si="27"/>
        <v>0</v>
      </c>
      <c r="P169" s="326">
        <v>15767.904000000002</v>
      </c>
      <c r="Q169" s="327">
        <v>7.5000000000000011E-2</v>
      </c>
      <c r="R169" s="265"/>
      <c r="S169" s="194">
        <f t="shared" si="31"/>
        <v>16950.496800000001</v>
      </c>
      <c r="W169" s="328">
        <f t="shared" si="28"/>
        <v>55</v>
      </c>
      <c r="X169" s="328">
        <f t="shared" si="29"/>
        <v>14.8</v>
      </c>
      <c r="Y169" s="263"/>
      <c r="Z169" s="230">
        <f t="shared" si="32"/>
        <v>14.8</v>
      </c>
      <c r="AA169" s="230">
        <f t="shared" si="33"/>
        <v>13.8</v>
      </c>
    </row>
    <row r="170" spans="3:27" s="151" customFormat="1" outlineLevel="1" x14ac:dyDescent="0.2">
      <c r="C170" s="155"/>
      <c r="D170" s="153" t="s">
        <v>188</v>
      </c>
      <c r="E170" s="228">
        <v>81</v>
      </c>
      <c r="F170" s="153" t="s">
        <v>954</v>
      </c>
      <c r="G170" s="155" t="str">
        <f t="shared" si="26"/>
        <v>Arriostrada81181-220 km/h</v>
      </c>
      <c r="I170" s="323">
        <v>2639914.2000000002</v>
      </c>
      <c r="J170" s="324">
        <v>3.4799999999999998E-2</v>
      </c>
      <c r="K170" s="194">
        <f t="shared" si="30"/>
        <v>2731783.21416</v>
      </c>
      <c r="L170" s="265"/>
      <c r="M170" s="265">
        <v>0.03</v>
      </c>
      <c r="N170" s="194">
        <f t="shared" si="27"/>
        <v>0</v>
      </c>
      <c r="P170" s="326">
        <v>21680.868000000002</v>
      </c>
      <c r="Q170" s="327">
        <v>6.9999999999999993E-2</v>
      </c>
      <c r="R170" s="265"/>
      <c r="S170" s="194">
        <f t="shared" si="31"/>
        <v>23198.528760000005</v>
      </c>
      <c r="W170" s="328">
        <f t="shared" si="28"/>
        <v>55</v>
      </c>
      <c r="X170" s="328">
        <f t="shared" si="29"/>
        <v>14.8</v>
      </c>
      <c r="Y170" s="263"/>
      <c r="Z170" s="230">
        <f t="shared" si="32"/>
        <v>14.8</v>
      </c>
      <c r="AA170" s="230">
        <f t="shared" si="33"/>
        <v>13.8</v>
      </c>
    </row>
    <row r="171" spans="3:27" s="151" customFormat="1" outlineLevel="1" x14ac:dyDescent="0.2">
      <c r="C171" s="155"/>
      <c r="D171" s="153" t="s">
        <v>188</v>
      </c>
      <c r="E171" s="228">
        <v>102</v>
      </c>
      <c r="F171" s="153" t="s">
        <v>954</v>
      </c>
      <c r="G171" s="155" t="str">
        <f t="shared" si="26"/>
        <v>Arriostrada102181-220 km/h</v>
      </c>
      <c r="I171" s="323">
        <v>2372935.3725000001</v>
      </c>
      <c r="J171" s="324">
        <v>3.2799999999999996E-2</v>
      </c>
      <c r="K171" s="194">
        <f t="shared" si="30"/>
        <v>2450767.6527180001</v>
      </c>
      <c r="L171" s="265"/>
      <c r="M171" s="265">
        <v>0.03</v>
      </c>
      <c r="N171" s="194">
        <f t="shared" si="27"/>
        <v>0</v>
      </c>
      <c r="P171" s="326">
        <v>22863.460800000001</v>
      </c>
      <c r="Q171" s="327">
        <v>9.9000000000000005E-2</v>
      </c>
      <c r="R171" s="265"/>
      <c r="S171" s="194">
        <f t="shared" si="31"/>
        <v>25126.943419200001</v>
      </c>
      <c r="W171" s="328">
        <f t="shared" si="28"/>
        <v>55</v>
      </c>
      <c r="X171" s="328">
        <f t="shared" si="29"/>
        <v>14.8</v>
      </c>
      <c r="Y171" s="263"/>
      <c r="Z171" s="230">
        <f t="shared" si="32"/>
        <v>14.8</v>
      </c>
      <c r="AA171" s="230">
        <f t="shared" si="33"/>
        <v>13.8</v>
      </c>
    </row>
    <row r="172" spans="3:27" s="151" customFormat="1" outlineLevel="1" x14ac:dyDescent="0.2">
      <c r="C172" s="155"/>
      <c r="D172" s="153" t="s">
        <v>188</v>
      </c>
      <c r="E172" s="228">
        <v>12</v>
      </c>
      <c r="F172" s="153" t="s">
        <v>955</v>
      </c>
      <c r="G172" s="155" t="str">
        <f t="shared" si="26"/>
        <v>Arriostrada12221-260 km/h</v>
      </c>
      <c r="I172" s="323">
        <v>883850.46749999991</v>
      </c>
      <c r="J172" s="324">
        <v>4.3200000000000002E-2</v>
      </c>
      <c r="K172" s="194">
        <f t="shared" si="30"/>
        <v>922032.80769599986</v>
      </c>
      <c r="L172" s="265"/>
      <c r="M172" s="265">
        <v>0.03</v>
      </c>
      <c r="N172" s="194">
        <f t="shared" si="27"/>
        <v>0</v>
      </c>
      <c r="P172" s="326">
        <v>13994.014800000001</v>
      </c>
      <c r="Q172" s="327">
        <v>0.10600000000000001</v>
      </c>
      <c r="R172" s="265"/>
      <c r="S172" s="194">
        <f t="shared" si="31"/>
        <v>15477.380368800003</v>
      </c>
      <c r="W172" s="328">
        <f t="shared" si="28"/>
        <v>55</v>
      </c>
      <c r="X172" s="328">
        <f t="shared" si="29"/>
        <v>14.8</v>
      </c>
      <c r="Y172" s="263"/>
      <c r="Z172" s="230">
        <f t="shared" si="32"/>
        <v>14.8</v>
      </c>
      <c r="AA172" s="230">
        <f t="shared" si="33"/>
        <v>13.8</v>
      </c>
    </row>
    <row r="173" spans="3:27" s="151" customFormat="1" outlineLevel="1" x14ac:dyDescent="0.2">
      <c r="C173" s="155"/>
      <c r="D173" s="153" t="s">
        <v>188</v>
      </c>
      <c r="E173" s="228">
        <v>15</v>
      </c>
      <c r="F173" s="153" t="s">
        <v>955</v>
      </c>
      <c r="G173" s="155" t="str">
        <f t="shared" si="26"/>
        <v>Arriostrada15221-260 km/h</v>
      </c>
      <c r="I173" s="323">
        <v>576880.91999999993</v>
      </c>
      <c r="J173" s="324">
        <v>3.6400000000000002E-2</v>
      </c>
      <c r="K173" s="194">
        <f t="shared" si="30"/>
        <v>597879.38548799988</v>
      </c>
      <c r="L173" s="265"/>
      <c r="M173" s="265">
        <v>0.03</v>
      </c>
      <c r="N173" s="194">
        <f t="shared" si="27"/>
        <v>0</v>
      </c>
      <c r="P173" s="326">
        <v>17935.990800000003</v>
      </c>
      <c r="Q173" s="327">
        <v>7.0999999999999994E-2</v>
      </c>
      <c r="R173" s="265"/>
      <c r="S173" s="194">
        <f t="shared" si="31"/>
        <v>19209.446146800001</v>
      </c>
      <c r="W173" s="328">
        <f t="shared" si="28"/>
        <v>55</v>
      </c>
      <c r="X173" s="328">
        <f t="shared" si="29"/>
        <v>14.8</v>
      </c>
      <c r="Y173" s="263"/>
      <c r="Z173" s="230">
        <f t="shared" si="32"/>
        <v>14.8</v>
      </c>
      <c r="AA173" s="230">
        <f t="shared" si="33"/>
        <v>13.8</v>
      </c>
    </row>
    <row r="174" spans="3:27" s="151" customFormat="1" outlineLevel="1" x14ac:dyDescent="0.2">
      <c r="C174" s="155"/>
      <c r="D174" s="153" t="s">
        <v>188</v>
      </c>
      <c r="E174" s="228">
        <v>18</v>
      </c>
      <c r="F174" s="153" t="s">
        <v>955</v>
      </c>
      <c r="G174" s="155" t="str">
        <f t="shared" si="26"/>
        <v>Arriostrada18221-260 km/h</v>
      </c>
      <c r="I174" s="323">
        <v>1000179.1799999999</v>
      </c>
      <c r="J174" s="324">
        <v>4.9200000000000001E-2</v>
      </c>
      <c r="K174" s="194">
        <f t="shared" si="30"/>
        <v>1049387.9956559998</v>
      </c>
      <c r="L174" s="265"/>
      <c r="M174" s="265">
        <v>0.03</v>
      </c>
      <c r="N174" s="194">
        <f t="shared" si="27"/>
        <v>0</v>
      </c>
      <c r="P174" s="326">
        <v>15570.805200000001</v>
      </c>
      <c r="Q174" s="327">
        <v>8.1000000000000016E-2</v>
      </c>
      <c r="R174" s="265"/>
      <c r="S174" s="194">
        <f t="shared" si="31"/>
        <v>16832.040421199999</v>
      </c>
      <c r="W174" s="328">
        <f t="shared" si="28"/>
        <v>55</v>
      </c>
      <c r="X174" s="328">
        <f t="shared" si="29"/>
        <v>14.8</v>
      </c>
      <c r="Y174" s="263"/>
      <c r="Z174" s="230">
        <f t="shared" si="32"/>
        <v>14.8</v>
      </c>
      <c r="AA174" s="230">
        <f t="shared" si="33"/>
        <v>13.8</v>
      </c>
    </row>
    <row r="175" spans="3:27" s="151" customFormat="1" outlineLevel="1" x14ac:dyDescent="0.2">
      <c r="C175" s="155"/>
      <c r="D175" s="153" t="s">
        <v>188</v>
      </c>
      <c r="E175" s="228">
        <v>21</v>
      </c>
      <c r="F175" s="153" t="s">
        <v>955</v>
      </c>
      <c r="G175" s="155" t="str">
        <f t="shared" si="26"/>
        <v>Arriostrada21221-260 km/h</v>
      </c>
      <c r="I175" s="323">
        <v>907358.76</v>
      </c>
      <c r="J175" s="324">
        <v>4.0399999999999998E-2</v>
      </c>
      <c r="K175" s="194">
        <f t="shared" si="30"/>
        <v>944016.05390399997</v>
      </c>
      <c r="L175" s="265"/>
      <c r="M175" s="265">
        <v>0.03</v>
      </c>
      <c r="N175" s="194">
        <f t="shared" si="27"/>
        <v>0</v>
      </c>
      <c r="P175" s="326">
        <v>23848.9548</v>
      </c>
      <c r="Q175" s="327">
        <v>0.124</v>
      </c>
      <c r="R175" s="265"/>
      <c r="S175" s="194">
        <f t="shared" si="31"/>
        <v>26806.225195200001</v>
      </c>
      <c r="W175" s="328">
        <f t="shared" si="28"/>
        <v>55</v>
      </c>
      <c r="X175" s="328">
        <f t="shared" si="29"/>
        <v>14.8</v>
      </c>
      <c r="Y175" s="263"/>
      <c r="Z175" s="230">
        <f t="shared" si="32"/>
        <v>14.8</v>
      </c>
      <c r="AA175" s="230">
        <f t="shared" si="33"/>
        <v>13.8</v>
      </c>
    </row>
    <row r="176" spans="3:27" s="151" customFormat="1" outlineLevel="1" x14ac:dyDescent="0.2">
      <c r="C176" s="155"/>
      <c r="D176" s="153" t="s">
        <v>188</v>
      </c>
      <c r="E176" s="228">
        <v>24</v>
      </c>
      <c r="F176" s="153" t="s">
        <v>955</v>
      </c>
      <c r="G176" s="155" t="str">
        <f t="shared" ref="G176:G239" si="34">D176&amp;E176&amp;F176</f>
        <v>Arriostrada24221-260 km/h</v>
      </c>
      <c r="I176" s="323">
        <v>741498.45</v>
      </c>
      <c r="J176" s="324">
        <v>4.24E-2</v>
      </c>
      <c r="K176" s="194">
        <f t="shared" si="30"/>
        <v>772937.98427999998</v>
      </c>
      <c r="L176" s="265"/>
      <c r="M176" s="265">
        <v>0.03</v>
      </c>
      <c r="N176" s="194">
        <f t="shared" ref="N176:N239" si="35">(L176*(1+M176)^$C$5)*((1+sens.capex.unitarios))</f>
        <v>0</v>
      </c>
      <c r="P176" s="326">
        <v>18133.089600000003</v>
      </c>
      <c r="Q176" s="327">
        <v>0.10600000000000001</v>
      </c>
      <c r="R176" s="265"/>
      <c r="S176" s="194">
        <f t="shared" si="31"/>
        <v>20055.197097600005</v>
      </c>
      <c r="W176" s="328">
        <f t="shared" si="28"/>
        <v>55</v>
      </c>
      <c r="X176" s="328">
        <f t="shared" si="29"/>
        <v>14.8</v>
      </c>
      <c r="Y176" s="263"/>
      <c r="Z176" s="230">
        <f t="shared" si="32"/>
        <v>14.8</v>
      </c>
      <c r="AA176" s="230">
        <f t="shared" si="33"/>
        <v>13.8</v>
      </c>
    </row>
    <row r="177" spans="3:27" s="151" customFormat="1" outlineLevel="1" x14ac:dyDescent="0.2">
      <c r="C177" s="155"/>
      <c r="D177" s="153" t="s">
        <v>188</v>
      </c>
      <c r="E177" s="228">
        <v>27</v>
      </c>
      <c r="F177" s="153" t="s">
        <v>955</v>
      </c>
      <c r="G177" s="155" t="str">
        <f t="shared" si="34"/>
        <v>Arriostrada27221-260 km/h</v>
      </c>
      <c r="I177" s="323">
        <v>935476.65750000009</v>
      </c>
      <c r="J177" s="324">
        <v>3.1600000000000003E-2</v>
      </c>
      <c r="K177" s="194">
        <f t="shared" si="30"/>
        <v>965037.7198770002</v>
      </c>
      <c r="L177" s="265"/>
      <c r="M177" s="265">
        <v>0.03</v>
      </c>
      <c r="N177" s="194">
        <f t="shared" si="35"/>
        <v>0</v>
      </c>
      <c r="P177" s="326">
        <v>23060.559600000001</v>
      </c>
      <c r="Q177" s="327">
        <v>9.9000000000000005E-2</v>
      </c>
      <c r="R177" s="265"/>
      <c r="S177" s="194">
        <f t="shared" si="31"/>
        <v>25343.5550004</v>
      </c>
      <c r="W177" s="328">
        <f t="shared" ref="W177:W240" si="36">$W$47</f>
        <v>55</v>
      </c>
      <c r="X177" s="328">
        <f t="shared" ref="X177:X240" si="37">$X$47</f>
        <v>14.8</v>
      </c>
      <c r="Y177" s="263"/>
      <c r="Z177" s="230">
        <f t="shared" si="32"/>
        <v>14.8</v>
      </c>
      <c r="AA177" s="230">
        <f t="shared" si="33"/>
        <v>13.8</v>
      </c>
    </row>
    <row r="178" spans="3:27" s="151" customFormat="1" outlineLevel="1" x14ac:dyDescent="0.2">
      <c r="C178" s="155"/>
      <c r="D178" s="153" t="s">
        <v>188</v>
      </c>
      <c r="E178" s="228">
        <v>30</v>
      </c>
      <c r="F178" s="153" t="s">
        <v>955</v>
      </c>
      <c r="G178" s="155" t="str">
        <f t="shared" si="34"/>
        <v>Arriostrada30221-260 km/h</v>
      </c>
      <c r="I178" s="323">
        <v>1290666.3</v>
      </c>
      <c r="J178" s="324">
        <v>0.05</v>
      </c>
      <c r="K178" s="194">
        <f t="shared" si="30"/>
        <v>1355199.615</v>
      </c>
      <c r="L178" s="265"/>
      <c r="M178" s="265">
        <v>0.03</v>
      </c>
      <c r="N178" s="194">
        <f t="shared" si="35"/>
        <v>0</v>
      </c>
      <c r="P178" s="326">
        <v>19709.88</v>
      </c>
      <c r="Q178" s="327">
        <v>8.4000000000000005E-2</v>
      </c>
      <c r="R178" s="265"/>
      <c r="S178" s="194">
        <f t="shared" si="31"/>
        <v>21365.509920000004</v>
      </c>
      <c r="W178" s="328">
        <f t="shared" si="36"/>
        <v>55</v>
      </c>
      <c r="X178" s="328">
        <f t="shared" si="37"/>
        <v>14.8</v>
      </c>
      <c r="Y178" s="263"/>
      <c r="Z178" s="230">
        <f t="shared" si="32"/>
        <v>14.8</v>
      </c>
      <c r="AA178" s="230">
        <f t="shared" si="33"/>
        <v>13.8</v>
      </c>
    </row>
    <row r="179" spans="3:27" s="151" customFormat="1" outlineLevel="1" x14ac:dyDescent="0.2">
      <c r="C179" s="155"/>
      <c r="D179" s="153" t="s">
        <v>188</v>
      </c>
      <c r="E179" s="228">
        <v>33</v>
      </c>
      <c r="F179" s="153" t="s">
        <v>955</v>
      </c>
      <c r="G179" s="155" t="str">
        <f t="shared" si="34"/>
        <v>Arriostrada33221-260 km/h</v>
      </c>
      <c r="I179" s="323">
        <v>1656103.68</v>
      </c>
      <c r="J179" s="324">
        <v>4.6800000000000001E-2</v>
      </c>
      <c r="K179" s="194">
        <f t="shared" si="30"/>
        <v>1733609.3322239998</v>
      </c>
      <c r="L179" s="265"/>
      <c r="M179" s="265">
        <v>0.03</v>
      </c>
      <c r="N179" s="194">
        <f t="shared" si="35"/>
        <v>0</v>
      </c>
      <c r="P179" s="326">
        <v>18330.188400000003</v>
      </c>
      <c r="Q179" s="327">
        <v>9.0000000000000011E-2</v>
      </c>
      <c r="R179" s="265"/>
      <c r="S179" s="194">
        <f t="shared" si="31"/>
        <v>19979.905356000003</v>
      </c>
      <c r="W179" s="328">
        <f t="shared" si="36"/>
        <v>55</v>
      </c>
      <c r="X179" s="328">
        <f t="shared" si="37"/>
        <v>14.8</v>
      </c>
      <c r="Y179" s="263"/>
      <c r="Z179" s="230">
        <f t="shared" si="32"/>
        <v>14.8</v>
      </c>
      <c r="AA179" s="230">
        <f t="shared" si="33"/>
        <v>13.8</v>
      </c>
    </row>
    <row r="180" spans="3:27" s="151" customFormat="1" outlineLevel="1" x14ac:dyDescent="0.2">
      <c r="C180" s="155"/>
      <c r="D180" s="153" t="s">
        <v>188</v>
      </c>
      <c r="E180" s="228">
        <v>36</v>
      </c>
      <c r="F180" s="153" t="s">
        <v>955</v>
      </c>
      <c r="G180" s="155" t="str">
        <f t="shared" si="34"/>
        <v>Arriostrada36221-260 km/h</v>
      </c>
      <c r="I180" s="323">
        <v>1056575.52</v>
      </c>
      <c r="J180" s="324">
        <v>3.44E-2</v>
      </c>
      <c r="K180" s="194">
        <f t="shared" si="30"/>
        <v>1092921.717888</v>
      </c>
      <c r="L180" s="265"/>
      <c r="M180" s="265">
        <v>0.03</v>
      </c>
      <c r="N180" s="194">
        <f t="shared" si="35"/>
        <v>0</v>
      </c>
      <c r="P180" s="326">
        <v>21286.670400000003</v>
      </c>
      <c r="Q180" s="327">
        <v>0.125</v>
      </c>
      <c r="R180" s="265"/>
      <c r="S180" s="194">
        <f t="shared" si="31"/>
        <v>23947.504200000003</v>
      </c>
      <c r="W180" s="328">
        <f t="shared" si="36"/>
        <v>55</v>
      </c>
      <c r="X180" s="328">
        <f t="shared" si="37"/>
        <v>14.8</v>
      </c>
      <c r="Y180" s="263"/>
      <c r="Z180" s="230">
        <f t="shared" si="32"/>
        <v>14.8</v>
      </c>
      <c r="AA180" s="230">
        <f t="shared" si="33"/>
        <v>13.8</v>
      </c>
    </row>
    <row r="181" spans="3:27" s="151" customFormat="1" outlineLevel="1" x14ac:dyDescent="0.2">
      <c r="C181" s="155"/>
      <c r="D181" s="153" t="s">
        <v>188</v>
      </c>
      <c r="E181" s="228">
        <v>39</v>
      </c>
      <c r="F181" s="153" t="s">
        <v>955</v>
      </c>
      <c r="G181" s="155" t="str">
        <f t="shared" si="34"/>
        <v>Arriostrada39221-260 km/h</v>
      </c>
      <c r="I181" s="323">
        <v>1771553.4375</v>
      </c>
      <c r="J181" s="324">
        <v>4.5999999999999999E-2</v>
      </c>
      <c r="K181" s="194">
        <f t="shared" si="30"/>
        <v>1853044.8956250001</v>
      </c>
      <c r="L181" s="265"/>
      <c r="M181" s="265">
        <v>0.03</v>
      </c>
      <c r="N181" s="194">
        <f t="shared" si="35"/>
        <v>0</v>
      </c>
      <c r="P181" s="326">
        <v>19315.682400000002</v>
      </c>
      <c r="Q181" s="327">
        <v>0.10100000000000001</v>
      </c>
      <c r="R181" s="265"/>
      <c r="S181" s="194">
        <f t="shared" si="31"/>
        <v>21266.566322400002</v>
      </c>
      <c r="W181" s="328">
        <f t="shared" si="36"/>
        <v>55</v>
      </c>
      <c r="X181" s="328">
        <f t="shared" si="37"/>
        <v>14.8</v>
      </c>
      <c r="Y181" s="263"/>
      <c r="Z181" s="230">
        <f t="shared" si="32"/>
        <v>14.8</v>
      </c>
      <c r="AA181" s="230">
        <f t="shared" si="33"/>
        <v>13.8</v>
      </c>
    </row>
    <row r="182" spans="3:27" s="151" customFormat="1" outlineLevel="1" x14ac:dyDescent="0.2">
      <c r="C182" s="155"/>
      <c r="D182" s="153" t="s">
        <v>188</v>
      </c>
      <c r="E182" s="228">
        <v>42</v>
      </c>
      <c r="F182" s="153" t="s">
        <v>955</v>
      </c>
      <c r="G182" s="155" t="str">
        <f t="shared" si="34"/>
        <v>Arriostrada42221-260 km/h</v>
      </c>
      <c r="I182" s="323">
        <v>1063117.44</v>
      </c>
      <c r="J182" s="324">
        <v>4.2800000000000005E-2</v>
      </c>
      <c r="K182" s="194">
        <f t="shared" si="30"/>
        <v>1108618.866432</v>
      </c>
      <c r="L182" s="265"/>
      <c r="M182" s="265">
        <v>0.03</v>
      </c>
      <c r="N182" s="194">
        <f t="shared" si="35"/>
        <v>0</v>
      </c>
      <c r="P182" s="326">
        <v>15965.002800000002</v>
      </c>
      <c r="Q182" s="327">
        <v>8.6000000000000007E-2</v>
      </c>
      <c r="R182" s="265"/>
      <c r="S182" s="194">
        <f t="shared" si="31"/>
        <v>17337.993040800004</v>
      </c>
      <c r="W182" s="328">
        <f t="shared" si="36"/>
        <v>55</v>
      </c>
      <c r="X182" s="328">
        <f t="shared" si="37"/>
        <v>14.8</v>
      </c>
      <c r="Y182" s="263"/>
      <c r="Z182" s="230">
        <f t="shared" si="32"/>
        <v>14.8</v>
      </c>
      <c r="AA182" s="230">
        <f t="shared" si="33"/>
        <v>13.8</v>
      </c>
    </row>
    <row r="183" spans="3:27" s="151" customFormat="1" outlineLevel="1" x14ac:dyDescent="0.2">
      <c r="C183" s="155"/>
      <c r="D183" s="153" t="s">
        <v>188</v>
      </c>
      <c r="E183" s="228">
        <v>45</v>
      </c>
      <c r="F183" s="153" t="s">
        <v>955</v>
      </c>
      <c r="G183" s="155" t="str">
        <f t="shared" si="34"/>
        <v>Arriostrada45221-260 km/h</v>
      </c>
      <c r="I183" s="323">
        <v>1178481.1499999999</v>
      </c>
      <c r="J183" s="324">
        <v>3.2799999999999996E-2</v>
      </c>
      <c r="K183" s="194">
        <f t="shared" si="30"/>
        <v>1217135.3317199999</v>
      </c>
      <c r="L183" s="265"/>
      <c r="M183" s="265">
        <v>0.03</v>
      </c>
      <c r="N183" s="194">
        <f t="shared" si="35"/>
        <v>0</v>
      </c>
      <c r="P183" s="326">
        <v>19906.978800000001</v>
      </c>
      <c r="Q183" s="327">
        <v>0.125</v>
      </c>
      <c r="R183" s="265"/>
      <c r="S183" s="194">
        <f t="shared" si="31"/>
        <v>22395.351150000002</v>
      </c>
      <c r="W183" s="328">
        <f t="shared" si="36"/>
        <v>55</v>
      </c>
      <c r="X183" s="328">
        <f t="shared" si="37"/>
        <v>14.8</v>
      </c>
      <c r="Y183" s="263"/>
      <c r="Z183" s="230">
        <f t="shared" si="32"/>
        <v>14.8</v>
      </c>
      <c r="AA183" s="230">
        <f t="shared" si="33"/>
        <v>13.8</v>
      </c>
    </row>
    <row r="184" spans="3:27" s="151" customFormat="1" outlineLevel="1" x14ac:dyDescent="0.2">
      <c r="C184" s="155"/>
      <c r="D184" s="153" t="s">
        <v>188</v>
      </c>
      <c r="E184" s="228">
        <v>48</v>
      </c>
      <c r="F184" s="153" t="s">
        <v>955</v>
      </c>
      <c r="G184" s="155" t="str">
        <f t="shared" si="34"/>
        <v>Arriostrada48221-260 km/h</v>
      </c>
      <c r="I184" s="323">
        <v>1598734.368</v>
      </c>
      <c r="J184" s="324">
        <v>4.24E-2</v>
      </c>
      <c r="K184" s="194">
        <f t="shared" si="30"/>
        <v>1666520.7052032</v>
      </c>
      <c r="L184" s="265"/>
      <c r="M184" s="265">
        <v>0.03</v>
      </c>
      <c r="N184" s="194">
        <f t="shared" si="35"/>
        <v>0</v>
      </c>
      <c r="P184" s="326">
        <v>18527.287199999999</v>
      </c>
      <c r="Q184" s="327">
        <v>7.3999999999999996E-2</v>
      </c>
      <c r="R184" s="265"/>
      <c r="S184" s="194">
        <f t="shared" si="31"/>
        <v>19898.3064528</v>
      </c>
      <c r="W184" s="328">
        <f t="shared" si="36"/>
        <v>55</v>
      </c>
      <c r="X184" s="328">
        <f t="shared" si="37"/>
        <v>14.8</v>
      </c>
      <c r="Y184" s="263"/>
      <c r="Z184" s="230">
        <f t="shared" si="32"/>
        <v>14.8</v>
      </c>
      <c r="AA184" s="230">
        <f t="shared" si="33"/>
        <v>13.8</v>
      </c>
    </row>
    <row r="185" spans="3:27" s="151" customFormat="1" outlineLevel="1" x14ac:dyDescent="0.2">
      <c r="C185" s="155"/>
      <c r="D185" s="153" t="s">
        <v>188</v>
      </c>
      <c r="E185" s="228">
        <v>51</v>
      </c>
      <c r="F185" s="153" t="s">
        <v>955</v>
      </c>
      <c r="G185" s="155" t="str">
        <f t="shared" si="34"/>
        <v>Arriostrada51221-260 km/h</v>
      </c>
      <c r="I185" s="323">
        <v>1401754.4639999999</v>
      </c>
      <c r="J185" s="324">
        <v>4.7199999999999999E-2</v>
      </c>
      <c r="K185" s="194">
        <f t="shared" si="30"/>
        <v>1467917.2747007997</v>
      </c>
      <c r="L185" s="265"/>
      <c r="M185" s="265">
        <v>0.03</v>
      </c>
      <c r="N185" s="194">
        <f t="shared" si="35"/>
        <v>0</v>
      </c>
      <c r="P185" s="326">
        <v>19512.781200000001</v>
      </c>
      <c r="Q185" s="327">
        <v>0.129</v>
      </c>
      <c r="R185" s="265"/>
      <c r="S185" s="194">
        <f t="shared" si="31"/>
        <v>22029.929974800001</v>
      </c>
      <c r="W185" s="328">
        <f t="shared" si="36"/>
        <v>55</v>
      </c>
      <c r="X185" s="328">
        <f t="shared" si="37"/>
        <v>14.8</v>
      </c>
      <c r="Y185" s="263"/>
      <c r="Z185" s="230">
        <f t="shared" si="32"/>
        <v>14.8</v>
      </c>
      <c r="AA185" s="230">
        <f t="shared" si="33"/>
        <v>13.8</v>
      </c>
    </row>
    <row r="186" spans="3:27" s="151" customFormat="1" outlineLevel="1" x14ac:dyDescent="0.2">
      <c r="C186" s="155"/>
      <c r="D186" s="153" t="s">
        <v>188</v>
      </c>
      <c r="E186" s="228">
        <v>54</v>
      </c>
      <c r="F186" s="153" t="s">
        <v>955</v>
      </c>
      <c r="G186" s="155" t="str">
        <f t="shared" si="34"/>
        <v>Arriostrada54221-260 km/h</v>
      </c>
      <c r="I186" s="323">
        <v>2515055.4</v>
      </c>
      <c r="J186" s="324">
        <v>5.1200000000000002E-2</v>
      </c>
      <c r="K186" s="194">
        <f t="shared" si="30"/>
        <v>2643826.2364799995</v>
      </c>
      <c r="L186" s="265"/>
      <c r="M186" s="265">
        <v>0.03</v>
      </c>
      <c r="N186" s="194">
        <f t="shared" si="35"/>
        <v>0</v>
      </c>
      <c r="P186" s="326">
        <v>23848.9548</v>
      </c>
      <c r="Q186" s="327">
        <v>9.5000000000000001E-2</v>
      </c>
      <c r="R186" s="265"/>
      <c r="S186" s="194">
        <f t="shared" si="31"/>
        <v>26114.605506</v>
      </c>
      <c r="W186" s="328">
        <f t="shared" si="36"/>
        <v>55</v>
      </c>
      <c r="X186" s="328">
        <f t="shared" si="37"/>
        <v>14.8</v>
      </c>
      <c r="Y186" s="263"/>
      <c r="Z186" s="230">
        <f t="shared" si="32"/>
        <v>14.8</v>
      </c>
      <c r="AA186" s="230">
        <f t="shared" si="33"/>
        <v>13.8</v>
      </c>
    </row>
    <row r="187" spans="3:27" s="151" customFormat="1" outlineLevel="1" x14ac:dyDescent="0.2">
      <c r="C187" s="155"/>
      <c r="D187" s="153" t="s">
        <v>188</v>
      </c>
      <c r="E187" s="228">
        <v>57</v>
      </c>
      <c r="F187" s="153" t="s">
        <v>955</v>
      </c>
      <c r="G187" s="155" t="str">
        <f t="shared" si="34"/>
        <v>Arriostrada57221-260 km/h</v>
      </c>
      <c r="I187" s="323">
        <v>2077218</v>
      </c>
      <c r="J187" s="324">
        <v>4.7599999999999996E-2</v>
      </c>
      <c r="K187" s="194">
        <f t="shared" ref="K187:K246" si="38">(I187*(1+J187)^$C$5)*((1+sens.capex.unitarios))</f>
        <v>2176093.5768000004</v>
      </c>
      <c r="L187" s="265"/>
      <c r="M187" s="265">
        <v>0.03</v>
      </c>
      <c r="N187" s="194">
        <f t="shared" si="35"/>
        <v>0</v>
      </c>
      <c r="P187" s="326">
        <v>15965.002800000002</v>
      </c>
      <c r="Q187" s="327">
        <v>0.124</v>
      </c>
      <c r="R187" s="265"/>
      <c r="S187" s="194">
        <f t="shared" ref="S187:S246" si="39">(P187*(1+Q187)^$C$5)*(1+sens.opex.unitarios)</f>
        <v>17944.663147200004</v>
      </c>
      <c r="W187" s="328">
        <f t="shared" si="36"/>
        <v>55</v>
      </c>
      <c r="X187" s="328">
        <f t="shared" si="37"/>
        <v>14.8</v>
      </c>
      <c r="Y187" s="263"/>
      <c r="Z187" s="230">
        <f t="shared" ref="Z187:Z246" si="40">INDEX(W187:Y187,vida.util.activo.indice)</f>
        <v>14.8</v>
      </c>
      <c r="AA187" s="230">
        <f t="shared" ref="AA187:AA246" si="41">MAX(0,Z187-$C$5)</f>
        <v>13.8</v>
      </c>
    </row>
    <row r="188" spans="3:27" s="151" customFormat="1" outlineLevel="1" x14ac:dyDescent="0.2">
      <c r="C188" s="155"/>
      <c r="D188" s="153" t="s">
        <v>188</v>
      </c>
      <c r="E188" s="228">
        <v>60</v>
      </c>
      <c r="F188" s="153" t="s">
        <v>955</v>
      </c>
      <c r="G188" s="155" t="str">
        <f t="shared" si="34"/>
        <v>Arriostrada60221-260 km/h</v>
      </c>
      <c r="I188" s="323">
        <v>2388901.6799999997</v>
      </c>
      <c r="J188" s="324">
        <v>3.1200000000000002E-2</v>
      </c>
      <c r="K188" s="194">
        <f t="shared" si="38"/>
        <v>2463435.4124159995</v>
      </c>
      <c r="L188" s="265"/>
      <c r="M188" s="265">
        <v>0.03</v>
      </c>
      <c r="N188" s="194">
        <f t="shared" si="35"/>
        <v>0</v>
      </c>
      <c r="P188" s="326">
        <v>25031.547600000002</v>
      </c>
      <c r="Q188" s="327">
        <v>0.129</v>
      </c>
      <c r="R188" s="265"/>
      <c r="S188" s="194">
        <f t="shared" si="39"/>
        <v>28260.617240400003</v>
      </c>
      <c r="W188" s="328">
        <f t="shared" si="36"/>
        <v>55</v>
      </c>
      <c r="X188" s="328">
        <f t="shared" si="37"/>
        <v>14.8</v>
      </c>
      <c r="Y188" s="263"/>
      <c r="Z188" s="230">
        <f t="shared" si="40"/>
        <v>14.8</v>
      </c>
      <c r="AA188" s="230">
        <f t="shared" si="41"/>
        <v>13.8</v>
      </c>
    </row>
    <row r="189" spans="3:27" s="151" customFormat="1" outlineLevel="1" x14ac:dyDescent="0.2">
      <c r="C189" s="155"/>
      <c r="D189" s="153" t="s">
        <v>188</v>
      </c>
      <c r="E189" s="228">
        <v>63</v>
      </c>
      <c r="F189" s="153" t="s">
        <v>955</v>
      </c>
      <c r="G189" s="155" t="str">
        <f t="shared" si="34"/>
        <v>Arriostrada63221-260 km/h</v>
      </c>
      <c r="I189" s="323">
        <v>2645304.75</v>
      </c>
      <c r="J189" s="324">
        <v>3.6799999999999999E-2</v>
      </c>
      <c r="K189" s="194">
        <f t="shared" si="38"/>
        <v>2742651.9647999997</v>
      </c>
      <c r="L189" s="265"/>
      <c r="M189" s="265">
        <v>0.03</v>
      </c>
      <c r="N189" s="194">
        <f t="shared" si="35"/>
        <v>0</v>
      </c>
      <c r="P189" s="326">
        <v>23848.9548</v>
      </c>
      <c r="Q189" s="327">
        <v>8.900000000000001E-2</v>
      </c>
      <c r="R189" s="265"/>
      <c r="S189" s="194">
        <f t="shared" si="39"/>
        <v>25971.511777199998</v>
      </c>
      <c r="W189" s="328">
        <f t="shared" si="36"/>
        <v>55</v>
      </c>
      <c r="X189" s="328">
        <f t="shared" si="37"/>
        <v>14.8</v>
      </c>
      <c r="Y189" s="263"/>
      <c r="Z189" s="230">
        <f t="shared" si="40"/>
        <v>14.8</v>
      </c>
      <c r="AA189" s="230">
        <f t="shared" si="41"/>
        <v>13.8</v>
      </c>
    </row>
    <row r="190" spans="3:27" s="151" customFormat="1" outlineLevel="1" x14ac:dyDescent="0.2">
      <c r="C190" s="155"/>
      <c r="D190" s="153" t="s">
        <v>188</v>
      </c>
      <c r="E190" s="228">
        <v>66</v>
      </c>
      <c r="F190" s="153" t="s">
        <v>955</v>
      </c>
      <c r="G190" s="155" t="str">
        <f t="shared" si="34"/>
        <v>Arriostrada66221-260 km/h</v>
      </c>
      <c r="I190" s="323">
        <v>1860499.4759999998</v>
      </c>
      <c r="J190" s="324">
        <v>0.03</v>
      </c>
      <c r="K190" s="194">
        <f t="shared" si="38"/>
        <v>1916314.4602799998</v>
      </c>
      <c r="L190" s="265"/>
      <c r="M190" s="265">
        <v>0.03</v>
      </c>
      <c r="N190" s="194">
        <f t="shared" si="35"/>
        <v>0</v>
      </c>
      <c r="P190" s="326">
        <v>25228.646400000001</v>
      </c>
      <c r="Q190" s="327">
        <v>0.11000000000000001</v>
      </c>
      <c r="R190" s="265"/>
      <c r="S190" s="194">
        <f t="shared" si="39"/>
        <v>28003.797504000006</v>
      </c>
      <c r="W190" s="328">
        <f t="shared" si="36"/>
        <v>55</v>
      </c>
      <c r="X190" s="328">
        <f t="shared" si="37"/>
        <v>14.8</v>
      </c>
      <c r="Y190" s="263"/>
      <c r="Z190" s="230">
        <f t="shared" si="40"/>
        <v>14.8</v>
      </c>
      <c r="AA190" s="230">
        <f t="shared" si="41"/>
        <v>13.8</v>
      </c>
    </row>
    <row r="191" spans="3:27" s="151" customFormat="1" outlineLevel="1" x14ac:dyDescent="0.2">
      <c r="C191" s="155"/>
      <c r="D191" s="153" t="s">
        <v>188</v>
      </c>
      <c r="E191" s="228">
        <v>69</v>
      </c>
      <c r="F191" s="153" t="s">
        <v>955</v>
      </c>
      <c r="G191" s="155" t="str">
        <f t="shared" si="34"/>
        <v>Arriostrada69221-260 km/h</v>
      </c>
      <c r="I191" s="323">
        <v>2430184.6800000002</v>
      </c>
      <c r="J191" s="324">
        <v>0.04</v>
      </c>
      <c r="K191" s="194">
        <f t="shared" si="38"/>
        <v>2527392.0672000004</v>
      </c>
      <c r="L191" s="265"/>
      <c r="M191" s="265">
        <v>0.03</v>
      </c>
      <c r="N191" s="194">
        <f t="shared" si="35"/>
        <v>0</v>
      </c>
      <c r="P191" s="326">
        <v>21680.868000000002</v>
      </c>
      <c r="Q191" s="327">
        <v>7.2999999999999995E-2</v>
      </c>
      <c r="R191" s="265"/>
      <c r="S191" s="194">
        <f t="shared" si="39"/>
        <v>23263.571364000003</v>
      </c>
      <c r="W191" s="328">
        <f t="shared" si="36"/>
        <v>55</v>
      </c>
      <c r="X191" s="328">
        <f t="shared" si="37"/>
        <v>14.8</v>
      </c>
      <c r="Y191" s="263"/>
      <c r="Z191" s="230">
        <f t="shared" si="40"/>
        <v>14.8</v>
      </c>
      <c r="AA191" s="230">
        <f t="shared" si="41"/>
        <v>13.8</v>
      </c>
    </row>
    <row r="192" spans="3:27" s="151" customFormat="1" outlineLevel="1" x14ac:dyDescent="0.2">
      <c r="C192" s="155"/>
      <c r="D192" s="153" t="s">
        <v>188</v>
      </c>
      <c r="E192" s="228">
        <v>72</v>
      </c>
      <c r="F192" s="153" t="s">
        <v>955</v>
      </c>
      <c r="G192" s="155" t="str">
        <f t="shared" si="34"/>
        <v>Arriostrada72221-260 km/h</v>
      </c>
      <c r="I192" s="323">
        <v>2450783.412</v>
      </c>
      <c r="J192" s="324">
        <v>4.8000000000000001E-2</v>
      </c>
      <c r="K192" s="194">
        <f t="shared" si="38"/>
        <v>2568421.015776</v>
      </c>
      <c r="L192" s="265"/>
      <c r="M192" s="265">
        <v>0.03</v>
      </c>
      <c r="N192" s="194">
        <f t="shared" si="35"/>
        <v>0</v>
      </c>
      <c r="P192" s="326">
        <v>17344.6944</v>
      </c>
      <c r="Q192" s="327">
        <v>0.10400000000000001</v>
      </c>
      <c r="R192" s="265"/>
      <c r="S192" s="194">
        <f t="shared" si="39"/>
        <v>19148.542617600004</v>
      </c>
      <c r="W192" s="328">
        <f t="shared" si="36"/>
        <v>55</v>
      </c>
      <c r="X192" s="328">
        <f t="shared" si="37"/>
        <v>14.8</v>
      </c>
      <c r="Y192" s="263"/>
      <c r="Z192" s="230">
        <f t="shared" si="40"/>
        <v>14.8</v>
      </c>
      <c r="AA192" s="230">
        <f t="shared" si="41"/>
        <v>13.8</v>
      </c>
    </row>
    <row r="193" spans="3:27" s="151" customFormat="1" outlineLevel="1" x14ac:dyDescent="0.2">
      <c r="C193" s="155"/>
      <c r="D193" s="153" t="s">
        <v>188</v>
      </c>
      <c r="E193" s="228">
        <v>75</v>
      </c>
      <c r="F193" s="153" t="s">
        <v>955</v>
      </c>
      <c r="G193" s="155" t="str">
        <f t="shared" si="34"/>
        <v>Arriostrada75221-260 km/h</v>
      </c>
      <c r="I193" s="323">
        <v>3380923.2600000002</v>
      </c>
      <c r="J193" s="324">
        <v>5.2000000000000005E-2</v>
      </c>
      <c r="K193" s="194">
        <f t="shared" si="38"/>
        <v>3556731.2695200006</v>
      </c>
      <c r="L193" s="265"/>
      <c r="M193" s="265">
        <v>0.03</v>
      </c>
      <c r="N193" s="194">
        <f t="shared" si="35"/>
        <v>0</v>
      </c>
      <c r="P193" s="326">
        <v>18527.287199999999</v>
      </c>
      <c r="Q193" s="327">
        <v>9.2000000000000012E-2</v>
      </c>
      <c r="R193" s="265"/>
      <c r="S193" s="194">
        <f t="shared" si="39"/>
        <v>20231.797622400001</v>
      </c>
      <c r="W193" s="328">
        <f t="shared" si="36"/>
        <v>55</v>
      </c>
      <c r="X193" s="328">
        <f t="shared" si="37"/>
        <v>14.8</v>
      </c>
      <c r="Y193" s="263"/>
      <c r="Z193" s="230">
        <f t="shared" si="40"/>
        <v>14.8</v>
      </c>
      <c r="AA193" s="230">
        <f t="shared" si="41"/>
        <v>13.8</v>
      </c>
    </row>
    <row r="194" spans="3:27" s="151" customFormat="1" outlineLevel="1" x14ac:dyDescent="0.2">
      <c r="C194" s="155"/>
      <c r="D194" s="153" t="s">
        <v>188</v>
      </c>
      <c r="E194" s="228">
        <v>78</v>
      </c>
      <c r="F194" s="153" t="s">
        <v>955</v>
      </c>
      <c r="G194" s="155" t="str">
        <f t="shared" si="34"/>
        <v>Arriostrada78221-260 km/h</v>
      </c>
      <c r="I194" s="323">
        <v>3247267.32</v>
      </c>
      <c r="J194" s="324">
        <v>3.8800000000000001E-2</v>
      </c>
      <c r="K194" s="194">
        <f t="shared" si="38"/>
        <v>3373261.2920159996</v>
      </c>
      <c r="L194" s="265"/>
      <c r="M194" s="265">
        <v>0.03</v>
      </c>
      <c r="N194" s="194">
        <f t="shared" si="35"/>
        <v>0</v>
      </c>
      <c r="P194" s="326">
        <v>14979.508800000001</v>
      </c>
      <c r="Q194" s="327">
        <v>7.5000000000000011E-2</v>
      </c>
      <c r="R194" s="265"/>
      <c r="S194" s="194">
        <f t="shared" si="39"/>
        <v>16102.971960000001</v>
      </c>
      <c r="W194" s="328">
        <f t="shared" si="36"/>
        <v>55</v>
      </c>
      <c r="X194" s="328">
        <f t="shared" si="37"/>
        <v>14.8</v>
      </c>
      <c r="Y194" s="263"/>
      <c r="Z194" s="230">
        <f t="shared" si="40"/>
        <v>14.8</v>
      </c>
      <c r="AA194" s="230">
        <f t="shared" si="41"/>
        <v>13.8</v>
      </c>
    </row>
    <row r="195" spans="3:27" s="151" customFormat="1" outlineLevel="1" x14ac:dyDescent="0.2">
      <c r="C195" s="155"/>
      <c r="D195" s="153" t="s">
        <v>188</v>
      </c>
      <c r="E195" s="228">
        <v>81</v>
      </c>
      <c r="F195" s="153" t="s">
        <v>955</v>
      </c>
      <c r="G195" s="155" t="str">
        <f t="shared" si="34"/>
        <v>Arriostrada81221-260 km/h</v>
      </c>
      <c r="I195" s="323">
        <v>3866940</v>
      </c>
      <c r="J195" s="324">
        <v>3.04E-2</v>
      </c>
      <c r="K195" s="194">
        <f t="shared" si="38"/>
        <v>3984494.9759999998</v>
      </c>
      <c r="L195" s="265"/>
      <c r="M195" s="265">
        <v>0.03</v>
      </c>
      <c r="N195" s="194">
        <f t="shared" si="35"/>
        <v>0</v>
      </c>
      <c r="P195" s="326">
        <v>21089.571600000003</v>
      </c>
      <c r="Q195" s="327">
        <v>0.11699999999999999</v>
      </c>
      <c r="R195" s="265"/>
      <c r="S195" s="194">
        <f t="shared" si="39"/>
        <v>23557.051477200002</v>
      </c>
      <c r="W195" s="328">
        <f t="shared" si="36"/>
        <v>55</v>
      </c>
      <c r="X195" s="328">
        <f t="shared" si="37"/>
        <v>14.8</v>
      </c>
      <c r="Y195" s="263"/>
      <c r="Z195" s="230">
        <f t="shared" si="40"/>
        <v>14.8</v>
      </c>
      <c r="AA195" s="230">
        <f t="shared" si="41"/>
        <v>13.8</v>
      </c>
    </row>
    <row r="196" spans="3:27" s="151" customFormat="1" outlineLevel="1" x14ac:dyDescent="0.2">
      <c r="C196" s="155"/>
      <c r="D196" s="153" t="s">
        <v>188</v>
      </c>
      <c r="E196" s="228">
        <v>102</v>
      </c>
      <c r="F196" s="153" t="s">
        <v>955</v>
      </c>
      <c r="G196" s="155" t="str">
        <f t="shared" si="34"/>
        <v>Arriostrada102221-260 km/h</v>
      </c>
      <c r="I196" s="323">
        <v>3016640.8800000004</v>
      </c>
      <c r="J196" s="324">
        <v>5.2000000000000005E-2</v>
      </c>
      <c r="K196" s="194">
        <f t="shared" si="38"/>
        <v>3173506.2057600007</v>
      </c>
      <c r="L196" s="265"/>
      <c r="M196" s="265">
        <v>0.03</v>
      </c>
      <c r="N196" s="194">
        <f t="shared" si="35"/>
        <v>0</v>
      </c>
      <c r="P196" s="326">
        <v>22666.362000000001</v>
      </c>
      <c r="Q196" s="327">
        <v>9.3000000000000013E-2</v>
      </c>
      <c r="R196" s="265"/>
      <c r="S196" s="194">
        <f t="shared" si="39"/>
        <v>24774.333665999999</v>
      </c>
      <c r="W196" s="328">
        <f t="shared" si="36"/>
        <v>55</v>
      </c>
      <c r="X196" s="328">
        <f t="shared" si="37"/>
        <v>14.8</v>
      </c>
      <c r="Y196" s="263"/>
      <c r="Z196" s="230">
        <f t="shared" si="40"/>
        <v>14.8</v>
      </c>
      <c r="AA196" s="230">
        <f t="shared" si="41"/>
        <v>13.8</v>
      </c>
    </row>
    <row r="197" spans="3:27" s="151" customFormat="1" outlineLevel="1" x14ac:dyDescent="0.2">
      <c r="C197" s="155"/>
      <c r="D197" s="153" t="s">
        <v>189</v>
      </c>
      <c r="E197" s="228">
        <v>15</v>
      </c>
      <c r="F197" s="153" t="s">
        <v>953</v>
      </c>
      <c r="G197" s="155" t="str">
        <f t="shared" si="34"/>
        <v>Monopolo15130-180 km/h</v>
      </c>
      <c r="I197" s="323">
        <v>1022070.1919999999</v>
      </c>
      <c r="J197" s="324">
        <v>3.8399999999999997E-2</v>
      </c>
      <c r="K197" s="194">
        <f t="shared" si="38"/>
        <v>1061317.6873728</v>
      </c>
      <c r="L197" s="265"/>
      <c r="M197" s="265">
        <v>0.03</v>
      </c>
      <c r="N197" s="194">
        <f t="shared" si="35"/>
        <v>0</v>
      </c>
      <c r="P197" s="326">
        <v>15767.904000000002</v>
      </c>
      <c r="Q197" s="327">
        <v>0.10700000000000001</v>
      </c>
      <c r="R197" s="265"/>
      <c r="S197" s="194">
        <f t="shared" si="39"/>
        <v>17455.069728000002</v>
      </c>
      <c r="W197" s="328">
        <f t="shared" si="36"/>
        <v>55</v>
      </c>
      <c r="X197" s="328">
        <f t="shared" si="37"/>
        <v>14.8</v>
      </c>
      <c r="Y197" s="263"/>
      <c r="Z197" s="230">
        <f t="shared" si="40"/>
        <v>14.8</v>
      </c>
      <c r="AA197" s="230">
        <f t="shared" si="41"/>
        <v>13.8</v>
      </c>
    </row>
    <row r="198" spans="3:27" s="151" customFormat="1" outlineLevel="1" x14ac:dyDescent="0.2">
      <c r="C198" s="155"/>
      <c r="D198" s="153" t="s">
        <v>189</v>
      </c>
      <c r="E198" s="228">
        <v>18</v>
      </c>
      <c r="F198" s="153" t="s">
        <v>953</v>
      </c>
      <c r="G198" s="155" t="str">
        <f t="shared" si="34"/>
        <v>Monopolo18130-180 km/h</v>
      </c>
      <c r="I198" s="323">
        <v>820473.36800000002</v>
      </c>
      <c r="J198" s="324">
        <v>5.0800000000000005E-2</v>
      </c>
      <c r="K198" s="194">
        <f t="shared" si="38"/>
        <v>862153.41509439994</v>
      </c>
      <c r="L198" s="265"/>
      <c r="M198" s="265">
        <v>0.03</v>
      </c>
      <c r="N198" s="194">
        <f t="shared" si="35"/>
        <v>0</v>
      </c>
      <c r="P198" s="326">
        <v>21483.769200000002</v>
      </c>
      <c r="Q198" s="327">
        <v>7.0999999999999994E-2</v>
      </c>
      <c r="R198" s="265"/>
      <c r="S198" s="194">
        <f t="shared" si="39"/>
        <v>23009.116813200002</v>
      </c>
      <c r="W198" s="328">
        <f t="shared" si="36"/>
        <v>55</v>
      </c>
      <c r="X198" s="328">
        <f t="shared" si="37"/>
        <v>14.8</v>
      </c>
      <c r="Y198" s="263"/>
      <c r="Z198" s="230">
        <f t="shared" si="40"/>
        <v>14.8</v>
      </c>
      <c r="AA198" s="230">
        <f t="shared" si="41"/>
        <v>13.8</v>
      </c>
    </row>
    <row r="199" spans="3:27" s="151" customFormat="1" outlineLevel="1" x14ac:dyDescent="0.2">
      <c r="C199" s="155"/>
      <c r="D199" s="153" t="s">
        <v>189</v>
      </c>
      <c r="E199" s="228">
        <v>21</v>
      </c>
      <c r="F199" s="153" t="s">
        <v>953</v>
      </c>
      <c r="G199" s="155" t="str">
        <f t="shared" si="34"/>
        <v>Monopolo21130-180 km/h</v>
      </c>
      <c r="I199" s="323">
        <v>1064394.76</v>
      </c>
      <c r="J199" s="324">
        <v>3.04E-2</v>
      </c>
      <c r="K199" s="194">
        <f t="shared" si="38"/>
        <v>1096752.3607039999</v>
      </c>
      <c r="L199" s="265"/>
      <c r="M199" s="265">
        <v>0.03</v>
      </c>
      <c r="N199" s="194">
        <f t="shared" si="35"/>
        <v>0</v>
      </c>
      <c r="P199" s="326">
        <v>14585.3112</v>
      </c>
      <c r="Q199" s="327">
        <v>9.0000000000000011E-2</v>
      </c>
      <c r="R199" s="265"/>
      <c r="S199" s="194">
        <f t="shared" si="39"/>
        <v>15897.989208000001</v>
      </c>
      <c r="W199" s="328">
        <f t="shared" si="36"/>
        <v>55</v>
      </c>
      <c r="X199" s="328">
        <f t="shared" si="37"/>
        <v>14.8</v>
      </c>
      <c r="Y199" s="263"/>
      <c r="Z199" s="230">
        <f t="shared" si="40"/>
        <v>14.8</v>
      </c>
      <c r="AA199" s="230">
        <f t="shared" si="41"/>
        <v>13.8</v>
      </c>
    </row>
    <row r="200" spans="3:27" s="151" customFormat="1" outlineLevel="1" x14ac:dyDescent="0.2">
      <c r="C200" s="155"/>
      <c r="D200" s="153" t="s">
        <v>189</v>
      </c>
      <c r="E200" s="228">
        <v>24</v>
      </c>
      <c r="F200" s="153" t="s">
        <v>953</v>
      </c>
      <c r="G200" s="155" t="str">
        <f t="shared" si="34"/>
        <v>Monopolo24130-180 km/h</v>
      </c>
      <c r="I200" s="323">
        <v>1082821.74</v>
      </c>
      <c r="J200" s="324">
        <v>3.2799999999999996E-2</v>
      </c>
      <c r="K200" s="194">
        <f t="shared" si="38"/>
        <v>1118338.2930719999</v>
      </c>
      <c r="L200" s="265"/>
      <c r="M200" s="265">
        <v>0.03</v>
      </c>
      <c r="N200" s="194">
        <f t="shared" si="35"/>
        <v>0</v>
      </c>
      <c r="P200" s="326">
        <v>20892.472800000003</v>
      </c>
      <c r="Q200" s="327">
        <v>9.8000000000000004E-2</v>
      </c>
      <c r="R200" s="265"/>
      <c r="S200" s="194">
        <f t="shared" si="39"/>
        <v>22939.935134400006</v>
      </c>
      <c r="W200" s="328">
        <f t="shared" si="36"/>
        <v>55</v>
      </c>
      <c r="X200" s="328">
        <f t="shared" si="37"/>
        <v>14.8</v>
      </c>
      <c r="Y200" s="263"/>
      <c r="Z200" s="230">
        <f t="shared" si="40"/>
        <v>14.8</v>
      </c>
      <c r="AA200" s="230">
        <f t="shared" si="41"/>
        <v>13.8</v>
      </c>
    </row>
    <row r="201" spans="3:27" s="151" customFormat="1" outlineLevel="1" x14ac:dyDescent="0.2">
      <c r="C201" s="155"/>
      <c r="D201" s="153" t="s">
        <v>189</v>
      </c>
      <c r="E201" s="228">
        <v>27</v>
      </c>
      <c r="F201" s="153" t="s">
        <v>953</v>
      </c>
      <c r="G201" s="155" t="str">
        <f t="shared" si="34"/>
        <v>Monopolo27130-180 km/h</v>
      </c>
      <c r="I201" s="323">
        <v>1453692.24</v>
      </c>
      <c r="J201" s="324">
        <v>3.7600000000000001E-2</v>
      </c>
      <c r="K201" s="194">
        <f t="shared" si="38"/>
        <v>1508351.068224</v>
      </c>
      <c r="L201" s="265"/>
      <c r="M201" s="265">
        <v>0.03</v>
      </c>
      <c r="N201" s="194">
        <f t="shared" si="35"/>
        <v>0</v>
      </c>
      <c r="P201" s="326">
        <v>13994.014800000001</v>
      </c>
      <c r="Q201" s="327">
        <v>0.13</v>
      </c>
      <c r="R201" s="265"/>
      <c r="S201" s="194">
        <f t="shared" si="39"/>
        <v>15813.236724</v>
      </c>
      <c r="W201" s="328">
        <f t="shared" si="36"/>
        <v>55</v>
      </c>
      <c r="X201" s="328">
        <f t="shared" si="37"/>
        <v>14.8</v>
      </c>
      <c r="Y201" s="263"/>
      <c r="Z201" s="230">
        <f t="shared" si="40"/>
        <v>14.8</v>
      </c>
      <c r="AA201" s="230">
        <f t="shared" si="41"/>
        <v>13.8</v>
      </c>
    </row>
    <row r="202" spans="3:27" s="151" customFormat="1" outlineLevel="1" x14ac:dyDescent="0.2">
      <c r="C202" s="155"/>
      <c r="D202" s="153" t="s">
        <v>189</v>
      </c>
      <c r="E202" s="228">
        <v>30</v>
      </c>
      <c r="F202" s="153" t="s">
        <v>953</v>
      </c>
      <c r="G202" s="155" t="str">
        <f t="shared" si="34"/>
        <v>Monopolo30130-180 km/h</v>
      </c>
      <c r="I202" s="323">
        <v>943242.29999999993</v>
      </c>
      <c r="J202" s="324">
        <v>4.4400000000000002E-2</v>
      </c>
      <c r="K202" s="194">
        <f t="shared" si="38"/>
        <v>985122.2581199999</v>
      </c>
      <c r="L202" s="265"/>
      <c r="M202" s="265">
        <v>0.03</v>
      </c>
      <c r="N202" s="194">
        <f t="shared" si="35"/>
        <v>0</v>
      </c>
      <c r="P202" s="326">
        <v>18724.385999999999</v>
      </c>
      <c r="Q202" s="327">
        <v>0.11399999999999999</v>
      </c>
      <c r="R202" s="265"/>
      <c r="S202" s="194">
        <f t="shared" si="39"/>
        <v>20858.966003999994</v>
      </c>
      <c r="W202" s="328">
        <f t="shared" si="36"/>
        <v>55</v>
      </c>
      <c r="X202" s="328">
        <f t="shared" si="37"/>
        <v>14.8</v>
      </c>
      <c r="Y202" s="263"/>
      <c r="Z202" s="230">
        <f t="shared" si="40"/>
        <v>14.8</v>
      </c>
      <c r="AA202" s="230">
        <f t="shared" si="41"/>
        <v>13.8</v>
      </c>
    </row>
    <row r="203" spans="3:27" s="151" customFormat="1" outlineLevel="1" x14ac:dyDescent="0.2">
      <c r="C203" s="155"/>
      <c r="D203" s="153" t="s">
        <v>189</v>
      </c>
      <c r="E203" s="228">
        <v>33</v>
      </c>
      <c r="F203" s="153" t="s">
        <v>953</v>
      </c>
      <c r="G203" s="155" t="str">
        <f t="shared" si="34"/>
        <v>Monopolo33130-180 km/h</v>
      </c>
      <c r="I203" s="323">
        <v>1588979.392</v>
      </c>
      <c r="J203" s="324">
        <v>0.04</v>
      </c>
      <c r="K203" s="194">
        <f t="shared" si="38"/>
        <v>1652538.5676800001</v>
      </c>
      <c r="L203" s="265"/>
      <c r="M203" s="265">
        <v>0.03</v>
      </c>
      <c r="N203" s="194">
        <f t="shared" si="35"/>
        <v>0</v>
      </c>
      <c r="P203" s="326">
        <v>16359.2004</v>
      </c>
      <c r="Q203" s="327">
        <v>0.11100000000000002</v>
      </c>
      <c r="R203" s="265"/>
      <c r="S203" s="194">
        <f t="shared" si="39"/>
        <v>18175.071644399999</v>
      </c>
      <c r="W203" s="328">
        <f t="shared" si="36"/>
        <v>55</v>
      </c>
      <c r="X203" s="328">
        <f t="shared" si="37"/>
        <v>14.8</v>
      </c>
      <c r="Y203" s="263"/>
      <c r="Z203" s="230">
        <f t="shared" si="40"/>
        <v>14.8</v>
      </c>
      <c r="AA203" s="230">
        <f t="shared" si="41"/>
        <v>13.8</v>
      </c>
    </row>
    <row r="204" spans="3:27" s="151" customFormat="1" outlineLevel="1" x14ac:dyDescent="0.2">
      <c r="C204" s="155"/>
      <c r="D204" s="153" t="s">
        <v>189</v>
      </c>
      <c r="E204" s="228">
        <v>36</v>
      </c>
      <c r="F204" s="153" t="s">
        <v>953</v>
      </c>
      <c r="G204" s="155" t="str">
        <f t="shared" si="34"/>
        <v>Monopolo36130-180 km/h</v>
      </c>
      <c r="I204" s="323">
        <v>1532474.9440000001</v>
      </c>
      <c r="J204" s="324">
        <v>4.8399999999999999E-2</v>
      </c>
      <c r="K204" s="194">
        <f t="shared" si="38"/>
        <v>1606646.7312896</v>
      </c>
      <c r="L204" s="265"/>
      <c r="M204" s="265">
        <v>0.03</v>
      </c>
      <c r="N204" s="194">
        <f t="shared" si="35"/>
        <v>0</v>
      </c>
      <c r="P204" s="326">
        <v>16556.299200000001</v>
      </c>
      <c r="Q204" s="327">
        <v>0.11699999999999999</v>
      </c>
      <c r="R204" s="265"/>
      <c r="S204" s="194">
        <f t="shared" si="39"/>
        <v>18493.386206400002</v>
      </c>
      <c r="W204" s="328">
        <f t="shared" si="36"/>
        <v>55</v>
      </c>
      <c r="X204" s="328">
        <f t="shared" si="37"/>
        <v>14.8</v>
      </c>
      <c r="Y204" s="263"/>
      <c r="Z204" s="230">
        <f t="shared" si="40"/>
        <v>14.8</v>
      </c>
      <c r="AA204" s="230">
        <f t="shared" si="41"/>
        <v>13.8</v>
      </c>
    </row>
    <row r="205" spans="3:27" s="151" customFormat="1" outlineLevel="1" x14ac:dyDescent="0.2">
      <c r="C205" s="155"/>
      <c r="D205" s="153" t="s">
        <v>189</v>
      </c>
      <c r="E205" s="228">
        <v>39</v>
      </c>
      <c r="F205" s="153" t="s">
        <v>953</v>
      </c>
      <c r="G205" s="155" t="str">
        <f t="shared" si="34"/>
        <v>Monopolo39130-180 km/h</v>
      </c>
      <c r="I205" s="323">
        <v>1630005.52</v>
      </c>
      <c r="J205" s="324">
        <v>4.5999999999999999E-2</v>
      </c>
      <c r="K205" s="194">
        <f t="shared" si="38"/>
        <v>1704985.7739200001</v>
      </c>
      <c r="L205" s="265"/>
      <c r="M205" s="265">
        <v>0.03</v>
      </c>
      <c r="N205" s="194">
        <f t="shared" si="35"/>
        <v>0</v>
      </c>
      <c r="P205" s="326">
        <v>14585.3112</v>
      </c>
      <c r="Q205" s="327">
        <v>9.3000000000000013E-2</v>
      </c>
      <c r="R205" s="265"/>
      <c r="S205" s="194">
        <f t="shared" si="39"/>
        <v>15941.7451416</v>
      </c>
      <c r="W205" s="328">
        <f t="shared" si="36"/>
        <v>55</v>
      </c>
      <c r="X205" s="328">
        <f t="shared" si="37"/>
        <v>14.8</v>
      </c>
      <c r="Y205" s="263"/>
      <c r="Z205" s="230">
        <f t="shared" si="40"/>
        <v>14.8</v>
      </c>
      <c r="AA205" s="230">
        <f t="shared" si="41"/>
        <v>13.8</v>
      </c>
    </row>
    <row r="206" spans="3:27" s="151" customFormat="1" outlineLevel="1" x14ac:dyDescent="0.2">
      <c r="C206" s="155"/>
      <c r="D206" s="153" t="s">
        <v>189</v>
      </c>
      <c r="E206" s="228">
        <v>42</v>
      </c>
      <c r="F206" s="153" t="s">
        <v>953</v>
      </c>
      <c r="G206" s="155" t="str">
        <f t="shared" si="34"/>
        <v>Monopolo42130-180 km/h</v>
      </c>
      <c r="I206" s="323">
        <v>1458674.3599999999</v>
      </c>
      <c r="J206" s="324">
        <v>0.04</v>
      </c>
      <c r="K206" s="194">
        <f t="shared" si="38"/>
        <v>1517021.3343999998</v>
      </c>
      <c r="L206" s="265"/>
      <c r="M206" s="265">
        <v>0.03</v>
      </c>
      <c r="N206" s="194">
        <f t="shared" si="35"/>
        <v>0</v>
      </c>
      <c r="P206" s="326">
        <v>20695.374000000003</v>
      </c>
      <c r="Q206" s="327">
        <v>0.123</v>
      </c>
      <c r="R206" s="265"/>
      <c r="S206" s="194">
        <f t="shared" si="39"/>
        <v>23240.905002000003</v>
      </c>
      <c r="W206" s="328">
        <f t="shared" si="36"/>
        <v>55</v>
      </c>
      <c r="X206" s="328">
        <f t="shared" si="37"/>
        <v>14.8</v>
      </c>
      <c r="Y206" s="263"/>
      <c r="Z206" s="230">
        <f t="shared" si="40"/>
        <v>14.8</v>
      </c>
      <c r="AA206" s="230">
        <f t="shared" si="41"/>
        <v>13.8</v>
      </c>
    </row>
    <row r="207" spans="3:27" s="151" customFormat="1" outlineLevel="1" x14ac:dyDescent="0.2">
      <c r="C207" s="155"/>
      <c r="D207" s="153" t="s">
        <v>189</v>
      </c>
      <c r="E207" s="228">
        <v>15</v>
      </c>
      <c r="F207" s="153" t="s">
        <v>954</v>
      </c>
      <c r="G207" s="155" t="str">
        <f t="shared" si="34"/>
        <v>Monopolo15181-220 km/h</v>
      </c>
      <c r="I207" s="323">
        <v>665183.94799999997</v>
      </c>
      <c r="J207" s="324">
        <v>4.2000000000000003E-2</v>
      </c>
      <c r="K207" s="194">
        <f t="shared" si="38"/>
        <v>693121.67381599999</v>
      </c>
      <c r="L207" s="265"/>
      <c r="M207" s="265">
        <v>0.03</v>
      </c>
      <c r="N207" s="194">
        <f t="shared" si="35"/>
        <v>0</v>
      </c>
      <c r="P207" s="326">
        <v>18330.188400000003</v>
      </c>
      <c r="Q207" s="327">
        <v>7.6000000000000012E-2</v>
      </c>
      <c r="R207" s="265"/>
      <c r="S207" s="194">
        <f t="shared" si="39"/>
        <v>19723.282718400005</v>
      </c>
      <c r="W207" s="328">
        <f t="shared" si="36"/>
        <v>55</v>
      </c>
      <c r="X207" s="328">
        <f t="shared" si="37"/>
        <v>14.8</v>
      </c>
      <c r="Y207" s="263"/>
      <c r="Z207" s="230">
        <f t="shared" si="40"/>
        <v>14.8</v>
      </c>
      <c r="AA207" s="230">
        <f t="shared" si="41"/>
        <v>13.8</v>
      </c>
    </row>
    <row r="208" spans="3:27" s="151" customFormat="1" outlineLevel="1" x14ac:dyDescent="0.2">
      <c r="C208" s="155"/>
      <c r="D208" s="153" t="s">
        <v>189</v>
      </c>
      <c r="E208" s="228">
        <v>18</v>
      </c>
      <c r="F208" s="153" t="s">
        <v>954</v>
      </c>
      <c r="G208" s="155" t="str">
        <f t="shared" si="34"/>
        <v>Monopolo18181-220 km/h</v>
      </c>
      <c r="I208" s="323">
        <v>721214.20799999998</v>
      </c>
      <c r="J208" s="324">
        <v>4.9599999999999998E-2</v>
      </c>
      <c r="K208" s="194">
        <f t="shared" si="38"/>
        <v>756986.43271680002</v>
      </c>
      <c r="L208" s="265"/>
      <c r="M208" s="265">
        <v>0.03</v>
      </c>
      <c r="N208" s="194">
        <f t="shared" si="35"/>
        <v>0</v>
      </c>
      <c r="P208" s="326">
        <v>19709.88</v>
      </c>
      <c r="Q208" s="327">
        <v>8.0000000000000016E-2</v>
      </c>
      <c r="R208" s="265"/>
      <c r="S208" s="194">
        <f t="shared" si="39"/>
        <v>21286.670400000003</v>
      </c>
      <c r="W208" s="328">
        <f t="shared" si="36"/>
        <v>55</v>
      </c>
      <c r="X208" s="328">
        <f t="shared" si="37"/>
        <v>14.8</v>
      </c>
      <c r="Y208" s="263"/>
      <c r="Z208" s="230">
        <f t="shared" si="40"/>
        <v>14.8</v>
      </c>
      <c r="AA208" s="230">
        <f t="shared" si="41"/>
        <v>13.8</v>
      </c>
    </row>
    <row r="209" spans="3:27" s="151" customFormat="1" outlineLevel="1" x14ac:dyDescent="0.2">
      <c r="C209" s="155"/>
      <c r="D209" s="153" t="s">
        <v>189</v>
      </c>
      <c r="E209" s="228">
        <v>21</v>
      </c>
      <c r="F209" s="153" t="s">
        <v>954</v>
      </c>
      <c r="G209" s="155" t="str">
        <f t="shared" si="34"/>
        <v>Monopolo21181-220 km/h</v>
      </c>
      <c r="I209" s="323">
        <v>966305.34000000008</v>
      </c>
      <c r="J209" s="324">
        <v>5.0800000000000005E-2</v>
      </c>
      <c r="K209" s="194">
        <f t="shared" si="38"/>
        <v>1015393.651272</v>
      </c>
      <c r="L209" s="265"/>
      <c r="M209" s="265">
        <v>0.03</v>
      </c>
      <c r="N209" s="194">
        <f t="shared" si="35"/>
        <v>0</v>
      </c>
      <c r="P209" s="326">
        <v>15965.002800000002</v>
      </c>
      <c r="Q209" s="327">
        <v>0.11100000000000002</v>
      </c>
      <c r="R209" s="265"/>
      <c r="S209" s="194">
        <f t="shared" si="39"/>
        <v>17737.118110800002</v>
      </c>
      <c r="W209" s="328">
        <f t="shared" si="36"/>
        <v>55</v>
      </c>
      <c r="X209" s="328">
        <f t="shared" si="37"/>
        <v>14.8</v>
      </c>
      <c r="Y209" s="263"/>
      <c r="Z209" s="230">
        <f t="shared" si="40"/>
        <v>14.8</v>
      </c>
      <c r="AA209" s="230">
        <f t="shared" si="41"/>
        <v>13.8</v>
      </c>
    </row>
    <row r="210" spans="3:27" s="151" customFormat="1" outlineLevel="1" x14ac:dyDescent="0.2">
      <c r="C210" s="155"/>
      <c r="D210" s="153" t="s">
        <v>189</v>
      </c>
      <c r="E210" s="228">
        <v>24</v>
      </c>
      <c r="F210" s="153" t="s">
        <v>954</v>
      </c>
      <c r="G210" s="155" t="str">
        <f t="shared" si="34"/>
        <v>Monopolo24181-220 km/h</v>
      </c>
      <c r="I210" s="323">
        <v>978553.57599999988</v>
      </c>
      <c r="J210" s="324">
        <v>3.2000000000000001E-2</v>
      </c>
      <c r="K210" s="194">
        <f t="shared" si="38"/>
        <v>1009867.290432</v>
      </c>
      <c r="L210" s="265"/>
      <c r="M210" s="265">
        <v>0.03</v>
      </c>
      <c r="N210" s="194">
        <f t="shared" si="35"/>
        <v>0</v>
      </c>
      <c r="P210" s="326">
        <v>24637.350000000002</v>
      </c>
      <c r="Q210" s="327">
        <v>8.1000000000000016E-2</v>
      </c>
      <c r="R210" s="265"/>
      <c r="S210" s="194">
        <f t="shared" si="39"/>
        <v>26632.975350000001</v>
      </c>
      <c r="W210" s="328">
        <f t="shared" si="36"/>
        <v>55</v>
      </c>
      <c r="X210" s="328">
        <f t="shared" si="37"/>
        <v>14.8</v>
      </c>
      <c r="Y210" s="263"/>
      <c r="Z210" s="230">
        <f t="shared" si="40"/>
        <v>14.8</v>
      </c>
      <c r="AA210" s="230">
        <f t="shared" si="41"/>
        <v>13.8</v>
      </c>
    </row>
    <row r="211" spans="3:27" s="151" customFormat="1" outlineLevel="1" x14ac:dyDescent="0.2">
      <c r="C211" s="155"/>
      <c r="D211" s="153" t="s">
        <v>189</v>
      </c>
      <c r="E211" s="228">
        <v>27</v>
      </c>
      <c r="F211" s="153" t="s">
        <v>954</v>
      </c>
      <c r="G211" s="155" t="str">
        <f t="shared" si="34"/>
        <v>Monopolo27181-220 km/h</v>
      </c>
      <c r="I211" s="323">
        <v>959511.696</v>
      </c>
      <c r="J211" s="324">
        <v>3.5200000000000002E-2</v>
      </c>
      <c r="K211" s="194">
        <f t="shared" si="38"/>
        <v>993286.50769919995</v>
      </c>
      <c r="L211" s="265"/>
      <c r="M211" s="265">
        <v>0.03</v>
      </c>
      <c r="N211" s="194">
        <f t="shared" si="35"/>
        <v>0</v>
      </c>
      <c r="P211" s="326">
        <v>21483.769200000002</v>
      </c>
      <c r="Q211" s="327">
        <v>0.10100000000000001</v>
      </c>
      <c r="R211" s="265"/>
      <c r="S211" s="194">
        <f t="shared" si="39"/>
        <v>23653.629889200001</v>
      </c>
      <c r="W211" s="328">
        <f t="shared" si="36"/>
        <v>55</v>
      </c>
      <c r="X211" s="328">
        <f t="shared" si="37"/>
        <v>14.8</v>
      </c>
      <c r="Y211" s="263"/>
      <c r="Z211" s="230">
        <f t="shared" si="40"/>
        <v>14.8</v>
      </c>
      <c r="AA211" s="230">
        <f t="shared" si="41"/>
        <v>13.8</v>
      </c>
    </row>
    <row r="212" spans="3:27" s="151" customFormat="1" outlineLevel="1" x14ac:dyDescent="0.2">
      <c r="C212" s="155"/>
      <c r="D212" s="153" t="s">
        <v>189</v>
      </c>
      <c r="E212" s="228">
        <v>30</v>
      </c>
      <c r="F212" s="153" t="s">
        <v>954</v>
      </c>
      <c r="G212" s="155" t="str">
        <f t="shared" si="34"/>
        <v>Monopolo30181-220 km/h</v>
      </c>
      <c r="I212" s="323">
        <v>1689151.4639999999</v>
      </c>
      <c r="J212" s="324">
        <v>4.1600000000000005E-2</v>
      </c>
      <c r="K212" s="194">
        <f t="shared" si="38"/>
        <v>1759420.1649024</v>
      </c>
      <c r="L212" s="265"/>
      <c r="M212" s="265">
        <v>0.03</v>
      </c>
      <c r="N212" s="194">
        <f t="shared" si="35"/>
        <v>0</v>
      </c>
      <c r="P212" s="326">
        <v>18133.089600000003</v>
      </c>
      <c r="Q212" s="327">
        <v>7.0999999999999994E-2</v>
      </c>
      <c r="R212" s="265"/>
      <c r="S212" s="194">
        <f t="shared" si="39"/>
        <v>19420.538961600003</v>
      </c>
      <c r="W212" s="328">
        <f t="shared" si="36"/>
        <v>55</v>
      </c>
      <c r="X212" s="328">
        <f t="shared" si="37"/>
        <v>14.8</v>
      </c>
      <c r="Y212" s="263"/>
      <c r="Z212" s="230">
        <f t="shared" si="40"/>
        <v>14.8</v>
      </c>
      <c r="AA212" s="230">
        <f t="shared" si="41"/>
        <v>13.8</v>
      </c>
    </row>
    <row r="213" spans="3:27" s="151" customFormat="1" outlineLevel="1" x14ac:dyDescent="0.2">
      <c r="C213" s="155"/>
      <c r="D213" s="153" t="s">
        <v>189</v>
      </c>
      <c r="E213" s="228">
        <v>33</v>
      </c>
      <c r="F213" s="153" t="s">
        <v>954</v>
      </c>
      <c r="G213" s="155" t="str">
        <f t="shared" si="34"/>
        <v>Monopolo33181-220 km/h</v>
      </c>
      <c r="I213" s="323">
        <v>1409414.2920000001</v>
      </c>
      <c r="J213" s="324">
        <v>3.2400000000000005E-2</v>
      </c>
      <c r="K213" s="194">
        <f t="shared" si="38"/>
        <v>1455079.3150608002</v>
      </c>
      <c r="L213" s="265"/>
      <c r="M213" s="265">
        <v>0.03</v>
      </c>
      <c r="N213" s="194">
        <f t="shared" si="35"/>
        <v>0</v>
      </c>
      <c r="P213" s="326">
        <v>14782.41</v>
      </c>
      <c r="Q213" s="327">
        <v>0.13</v>
      </c>
      <c r="R213" s="265"/>
      <c r="S213" s="194">
        <f t="shared" si="39"/>
        <v>16704.123299999999</v>
      </c>
      <c r="W213" s="328">
        <f t="shared" si="36"/>
        <v>55</v>
      </c>
      <c r="X213" s="328">
        <f t="shared" si="37"/>
        <v>14.8</v>
      </c>
      <c r="Y213" s="263"/>
      <c r="Z213" s="230">
        <f t="shared" si="40"/>
        <v>14.8</v>
      </c>
      <c r="AA213" s="230">
        <f t="shared" si="41"/>
        <v>13.8</v>
      </c>
    </row>
    <row r="214" spans="3:27" s="151" customFormat="1" outlineLevel="1" x14ac:dyDescent="0.2">
      <c r="C214" s="155"/>
      <c r="D214" s="153" t="s">
        <v>189</v>
      </c>
      <c r="E214" s="228">
        <v>36</v>
      </c>
      <c r="F214" s="153" t="s">
        <v>954</v>
      </c>
      <c r="G214" s="155" t="str">
        <f t="shared" si="34"/>
        <v>Monopolo36181-220 km/h</v>
      </c>
      <c r="I214" s="323">
        <v>1512470.96</v>
      </c>
      <c r="J214" s="324">
        <v>0.05</v>
      </c>
      <c r="K214" s="194">
        <f t="shared" si="38"/>
        <v>1588094.5079999999</v>
      </c>
      <c r="L214" s="265"/>
      <c r="M214" s="265">
        <v>0.03</v>
      </c>
      <c r="N214" s="194">
        <f t="shared" si="35"/>
        <v>0</v>
      </c>
      <c r="P214" s="326">
        <v>13994.014800000001</v>
      </c>
      <c r="Q214" s="327">
        <v>9.1000000000000011E-2</v>
      </c>
      <c r="R214" s="265"/>
      <c r="S214" s="194">
        <f t="shared" si="39"/>
        <v>15267.4701468</v>
      </c>
      <c r="W214" s="328">
        <f t="shared" si="36"/>
        <v>55</v>
      </c>
      <c r="X214" s="328">
        <f t="shared" si="37"/>
        <v>14.8</v>
      </c>
      <c r="Y214" s="263"/>
      <c r="Z214" s="230">
        <f t="shared" si="40"/>
        <v>14.8</v>
      </c>
      <c r="AA214" s="230">
        <f t="shared" si="41"/>
        <v>13.8</v>
      </c>
    </row>
    <row r="215" spans="3:27" s="151" customFormat="1" outlineLevel="1" x14ac:dyDescent="0.2">
      <c r="C215" s="155"/>
      <c r="D215" s="153" t="s">
        <v>189</v>
      </c>
      <c r="E215" s="228">
        <v>39</v>
      </c>
      <c r="F215" s="153" t="s">
        <v>954</v>
      </c>
      <c r="G215" s="155" t="str">
        <f t="shared" si="34"/>
        <v>Monopolo39181-220 km/h</v>
      </c>
      <c r="I215" s="323">
        <v>1179215.7520000001</v>
      </c>
      <c r="J215" s="324">
        <v>4.8399999999999999E-2</v>
      </c>
      <c r="K215" s="194">
        <f t="shared" si="38"/>
        <v>1236289.7943968</v>
      </c>
      <c r="L215" s="265"/>
      <c r="M215" s="265">
        <v>0.03</v>
      </c>
      <c r="N215" s="194">
        <f t="shared" si="35"/>
        <v>0</v>
      </c>
      <c r="P215" s="326">
        <v>18330.188400000003</v>
      </c>
      <c r="Q215" s="327">
        <v>0.11299999999999999</v>
      </c>
      <c r="R215" s="265"/>
      <c r="S215" s="194">
        <f t="shared" si="39"/>
        <v>20401.499689200002</v>
      </c>
      <c r="W215" s="328">
        <f t="shared" si="36"/>
        <v>55</v>
      </c>
      <c r="X215" s="328">
        <f t="shared" si="37"/>
        <v>14.8</v>
      </c>
      <c r="Y215" s="263"/>
      <c r="Z215" s="230">
        <f t="shared" si="40"/>
        <v>14.8</v>
      </c>
      <c r="AA215" s="230">
        <f t="shared" si="41"/>
        <v>13.8</v>
      </c>
    </row>
    <row r="216" spans="3:27" s="151" customFormat="1" outlineLevel="1" x14ac:dyDescent="0.2">
      <c r="C216" s="155"/>
      <c r="D216" s="153" t="s">
        <v>189</v>
      </c>
      <c r="E216" s="228">
        <v>42</v>
      </c>
      <c r="F216" s="153" t="s">
        <v>954</v>
      </c>
      <c r="G216" s="155" t="str">
        <f t="shared" si="34"/>
        <v>Monopolo42181-220 km/h</v>
      </c>
      <c r="I216" s="323">
        <v>2133908.92</v>
      </c>
      <c r="J216" s="324">
        <v>3.9199999999999999E-2</v>
      </c>
      <c r="K216" s="194">
        <f t="shared" si="38"/>
        <v>2217558.1496639997</v>
      </c>
      <c r="L216" s="265"/>
      <c r="M216" s="265">
        <v>0.03</v>
      </c>
      <c r="N216" s="194">
        <f t="shared" si="35"/>
        <v>0</v>
      </c>
      <c r="P216" s="326">
        <v>17147.595600000001</v>
      </c>
      <c r="Q216" s="327">
        <v>0.11799999999999999</v>
      </c>
      <c r="R216" s="265"/>
      <c r="S216" s="194">
        <f t="shared" si="39"/>
        <v>19171.011880799997</v>
      </c>
      <c r="W216" s="328">
        <f t="shared" si="36"/>
        <v>55</v>
      </c>
      <c r="X216" s="328">
        <f t="shared" si="37"/>
        <v>14.8</v>
      </c>
      <c r="Y216" s="263"/>
      <c r="Z216" s="230">
        <f t="shared" si="40"/>
        <v>14.8</v>
      </c>
      <c r="AA216" s="230">
        <f t="shared" si="41"/>
        <v>13.8</v>
      </c>
    </row>
    <row r="217" spans="3:27" s="151" customFormat="1" outlineLevel="1" x14ac:dyDescent="0.2">
      <c r="C217" s="155"/>
      <c r="D217" s="153" t="s">
        <v>189</v>
      </c>
      <c r="E217" s="228">
        <v>15</v>
      </c>
      <c r="F217" s="153" t="s">
        <v>955</v>
      </c>
      <c r="G217" s="155" t="str">
        <f t="shared" si="34"/>
        <v>Monopolo15221-260 km/h</v>
      </c>
      <c r="I217" s="323">
        <v>1257711.1644239998</v>
      </c>
      <c r="J217" s="324">
        <v>2.8399999999999998E-2</v>
      </c>
      <c r="K217" s="194">
        <f t="shared" si="38"/>
        <v>1293430.1614936413</v>
      </c>
      <c r="L217" s="265"/>
      <c r="M217" s="265">
        <v>0.03</v>
      </c>
      <c r="N217" s="194">
        <f t="shared" si="35"/>
        <v>0</v>
      </c>
      <c r="P217" s="326">
        <v>25425.745200000001</v>
      </c>
      <c r="Q217" s="327">
        <v>8.6000000000000007E-2</v>
      </c>
      <c r="R217" s="265"/>
      <c r="S217" s="194">
        <f t="shared" si="39"/>
        <v>27612.359287200004</v>
      </c>
      <c r="W217" s="328">
        <f t="shared" si="36"/>
        <v>55</v>
      </c>
      <c r="X217" s="328">
        <f t="shared" si="37"/>
        <v>14.8</v>
      </c>
      <c r="Y217" s="263"/>
      <c r="Z217" s="230">
        <f t="shared" si="40"/>
        <v>14.8</v>
      </c>
      <c r="AA217" s="230">
        <f t="shared" si="41"/>
        <v>13.8</v>
      </c>
    </row>
    <row r="218" spans="3:27" s="151" customFormat="1" outlineLevel="1" x14ac:dyDescent="0.2">
      <c r="C218" s="155"/>
      <c r="D218" s="153" t="s">
        <v>189</v>
      </c>
      <c r="E218" s="228">
        <v>18</v>
      </c>
      <c r="F218" s="153" t="s">
        <v>955</v>
      </c>
      <c r="G218" s="155" t="str">
        <f t="shared" si="34"/>
        <v>Monopolo18221-260 km/h</v>
      </c>
      <c r="I218" s="323">
        <v>1315476.3993800001</v>
      </c>
      <c r="J218" s="324">
        <v>4.9200000000000001E-2</v>
      </c>
      <c r="K218" s="194">
        <f t="shared" si="38"/>
        <v>1380197.838229496</v>
      </c>
      <c r="L218" s="265"/>
      <c r="M218" s="265">
        <v>0.03</v>
      </c>
      <c r="N218" s="194">
        <f t="shared" si="35"/>
        <v>0</v>
      </c>
      <c r="P218" s="326">
        <v>14979.508800000001</v>
      </c>
      <c r="Q218" s="327">
        <v>9.7000000000000003E-2</v>
      </c>
      <c r="R218" s="265"/>
      <c r="S218" s="194">
        <f t="shared" si="39"/>
        <v>16432.521153600002</v>
      </c>
      <c r="W218" s="328">
        <f t="shared" si="36"/>
        <v>55</v>
      </c>
      <c r="X218" s="328">
        <f t="shared" si="37"/>
        <v>14.8</v>
      </c>
      <c r="Y218" s="263"/>
      <c r="Z218" s="230">
        <f t="shared" si="40"/>
        <v>14.8</v>
      </c>
      <c r="AA218" s="230">
        <f t="shared" si="41"/>
        <v>13.8</v>
      </c>
    </row>
    <row r="219" spans="3:27" s="151" customFormat="1" outlineLevel="1" x14ac:dyDescent="0.2">
      <c r="C219" s="155"/>
      <c r="D219" s="153" t="s">
        <v>189</v>
      </c>
      <c r="E219" s="228">
        <v>21</v>
      </c>
      <c r="F219" s="153" t="s">
        <v>955</v>
      </c>
      <c r="G219" s="155" t="str">
        <f t="shared" si="34"/>
        <v>Monopolo21221-260 km/h</v>
      </c>
      <c r="I219" s="323">
        <v>1504963.8174999999</v>
      </c>
      <c r="J219" s="324">
        <v>3.32E-2</v>
      </c>
      <c r="K219" s="194">
        <f t="shared" si="38"/>
        <v>1554928.6162409997</v>
      </c>
      <c r="L219" s="265"/>
      <c r="M219" s="265">
        <v>0.03</v>
      </c>
      <c r="N219" s="194">
        <f t="shared" si="35"/>
        <v>0</v>
      </c>
      <c r="P219" s="326">
        <v>22272.164399999998</v>
      </c>
      <c r="Q219" s="327">
        <v>8.4000000000000005E-2</v>
      </c>
      <c r="R219" s="265"/>
      <c r="S219" s="194">
        <f t="shared" si="39"/>
        <v>24143.026209600001</v>
      </c>
      <c r="W219" s="328">
        <f t="shared" si="36"/>
        <v>55</v>
      </c>
      <c r="X219" s="328">
        <f t="shared" si="37"/>
        <v>14.8</v>
      </c>
      <c r="Y219" s="263"/>
      <c r="Z219" s="230">
        <f t="shared" si="40"/>
        <v>14.8</v>
      </c>
      <c r="AA219" s="230">
        <f t="shared" si="41"/>
        <v>13.8</v>
      </c>
    </row>
    <row r="220" spans="3:27" s="151" customFormat="1" outlineLevel="1" x14ac:dyDescent="0.2">
      <c r="C220" s="155"/>
      <c r="D220" s="153" t="s">
        <v>189</v>
      </c>
      <c r="E220" s="228">
        <v>24</v>
      </c>
      <c r="F220" s="153" t="s">
        <v>955</v>
      </c>
      <c r="G220" s="155" t="str">
        <f t="shared" si="34"/>
        <v>Monopolo24221-260 km/h</v>
      </c>
      <c r="I220" s="323">
        <v>976818.64794800011</v>
      </c>
      <c r="J220" s="324">
        <v>3.7999999999999999E-2</v>
      </c>
      <c r="K220" s="194">
        <f t="shared" si="38"/>
        <v>1013937.7565700242</v>
      </c>
      <c r="L220" s="265"/>
      <c r="M220" s="265">
        <v>0.03</v>
      </c>
      <c r="N220" s="194">
        <f t="shared" si="35"/>
        <v>0</v>
      </c>
      <c r="P220" s="326">
        <v>22272.164399999998</v>
      </c>
      <c r="Q220" s="327">
        <v>0.10100000000000001</v>
      </c>
      <c r="R220" s="265"/>
      <c r="S220" s="194">
        <f t="shared" si="39"/>
        <v>24521.653004399996</v>
      </c>
      <c r="W220" s="328">
        <f t="shared" si="36"/>
        <v>55</v>
      </c>
      <c r="X220" s="328">
        <f t="shared" si="37"/>
        <v>14.8</v>
      </c>
      <c r="Y220" s="263"/>
      <c r="Z220" s="230">
        <f t="shared" si="40"/>
        <v>14.8</v>
      </c>
      <c r="AA220" s="230">
        <f t="shared" si="41"/>
        <v>13.8</v>
      </c>
    </row>
    <row r="221" spans="3:27" s="151" customFormat="1" outlineLevel="1" x14ac:dyDescent="0.2">
      <c r="C221" s="155"/>
      <c r="D221" s="153" t="s">
        <v>189</v>
      </c>
      <c r="E221" s="228">
        <v>27</v>
      </c>
      <c r="F221" s="153" t="s">
        <v>955</v>
      </c>
      <c r="G221" s="155" t="str">
        <f t="shared" si="34"/>
        <v>Monopolo27221-260 km/h</v>
      </c>
      <c r="I221" s="323">
        <v>1369481.9252399998</v>
      </c>
      <c r="J221" s="324">
        <v>5.0800000000000005E-2</v>
      </c>
      <c r="K221" s="194">
        <f t="shared" si="38"/>
        <v>1439051.6070421918</v>
      </c>
      <c r="L221" s="265"/>
      <c r="M221" s="265">
        <v>0.03</v>
      </c>
      <c r="N221" s="194">
        <f t="shared" si="35"/>
        <v>0</v>
      </c>
      <c r="P221" s="326">
        <v>13994.014800000001</v>
      </c>
      <c r="Q221" s="327">
        <v>7.5000000000000011E-2</v>
      </c>
      <c r="R221" s="265"/>
      <c r="S221" s="194">
        <f t="shared" si="39"/>
        <v>15043.565910000001</v>
      </c>
      <c r="W221" s="328">
        <f t="shared" si="36"/>
        <v>55</v>
      </c>
      <c r="X221" s="328">
        <f t="shared" si="37"/>
        <v>14.8</v>
      </c>
      <c r="Y221" s="263"/>
      <c r="Z221" s="230">
        <f t="shared" si="40"/>
        <v>14.8</v>
      </c>
      <c r="AA221" s="230">
        <f t="shared" si="41"/>
        <v>13.8</v>
      </c>
    </row>
    <row r="222" spans="3:27" s="151" customFormat="1" outlineLevel="1" x14ac:dyDescent="0.2">
      <c r="C222" s="155"/>
      <c r="D222" s="153" t="s">
        <v>189</v>
      </c>
      <c r="E222" s="228">
        <v>30</v>
      </c>
      <c r="F222" s="153" t="s">
        <v>955</v>
      </c>
      <c r="G222" s="155" t="str">
        <f t="shared" si="34"/>
        <v>Monopolo30221-260 km/h</v>
      </c>
      <c r="I222" s="323">
        <v>1945229.7304440001</v>
      </c>
      <c r="J222" s="324">
        <v>4.8399999999999999E-2</v>
      </c>
      <c r="K222" s="194">
        <f t="shared" si="38"/>
        <v>2039378.8493974898</v>
      </c>
      <c r="L222" s="265"/>
      <c r="M222" s="265">
        <v>0.03</v>
      </c>
      <c r="N222" s="194">
        <f t="shared" si="35"/>
        <v>0</v>
      </c>
      <c r="P222" s="326">
        <v>16753.398000000001</v>
      </c>
      <c r="Q222" s="327">
        <v>9.9000000000000005E-2</v>
      </c>
      <c r="R222" s="265"/>
      <c r="S222" s="194">
        <f t="shared" si="39"/>
        <v>18411.984402000002</v>
      </c>
      <c r="W222" s="328">
        <f t="shared" si="36"/>
        <v>55</v>
      </c>
      <c r="X222" s="328">
        <f t="shared" si="37"/>
        <v>14.8</v>
      </c>
      <c r="Y222" s="263"/>
      <c r="Z222" s="230">
        <f t="shared" si="40"/>
        <v>14.8</v>
      </c>
      <c r="AA222" s="230">
        <f t="shared" si="41"/>
        <v>13.8</v>
      </c>
    </row>
    <row r="223" spans="3:27" s="151" customFormat="1" outlineLevel="1" x14ac:dyDescent="0.2">
      <c r="C223" s="155"/>
      <c r="D223" s="153" t="s">
        <v>189</v>
      </c>
      <c r="E223" s="228">
        <v>33</v>
      </c>
      <c r="F223" s="153" t="s">
        <v>955</v>
      </c>
      <c r="G223" s="155" t="str">
        <f t="shared" si="34"/>
        <v>Monopolo33221-260 km/h</v>
      </c>
      <c r="I223" s="323">
        <v>1889176.3221759999</v>
      </c>
      <c r="J223" s="324">
        <v>3.56E-2</v>
      </c>
      <c r="K223" s="194">
        <f t="shared" si="38"/>
        <v>1956430.9992454655</v>
      </c>
      <c r="L223" s="265"/>
      <c r="M223" s="265">
        <v>0.03</v>
      </c>
      <c r="N223" s="194">
        <f t="shared" si="35"/>
        <v>0</v>
      </c>
      <c r="P223" s="326">
        <v>19709.88</v>
      </c>
      <c r="Q223" s="327">
        <v>0.11799999999999999</v>
      </c>
      <c r="R223" s="265"/>
      <c r="S223" s="194">
        <f t="shared" si="39"/>
        <v>22035.645839999997</v>
      </c>
      <c r="W223" s="328">
        <f t="shared" si="36"/>
        <v>55</v>
      </c>
      <c r="X223" s="328">
        <f t="shared" si="37"/>
        <v>14.8</v>
      </c>
      <c r="Y223" s="263"/>
      <c r="Z223" s="230">
        <f t="shared" si="40"/>
        <v>14.8</v>
      </c>
      <c r="AA223" s="230">
        <f t="shared" si="41"/>
        <v>13.8</v>
      </c>
    </row>
    <row r="224" spans="3:27" s="151" customFormat="1" outlineLevel="1" x14ac:dyDescent="0.2">
      <c r="C224" s="155"/>
      <c r="D224" s="153" t="s">
        <v>189</v>
      </c>
      <c r="E224" s="228">
        <v>36</v>
      </c>
      <c r="F224" s="153" t="s">
        <v>955</v>
      </c>
      <c r="G224" s="155" t="str">
        <f t="shared" si="34"/>
        <v>Monopolo36221-260 km/h</v>
      </c>
      <c r="I224" s="323">
        <v>1903060.2242079999</v>
      </c>
      <c r="J224" s="324">
        <v>4.9599999999999998E-2</v>
      </c>
      <c r="K224" s="194">
        <f t="shared" si="38"/>
        <v>1997452.0113287168</v>
      </c>
      <c r="L224" s="265"/>
      <c r="M224" s="265">
        <v>0.03</v>
      </c>
      <c r="N224" s="194">
        <f t="shared" si="35"/>
        <v>0</v>
      </c>
      <c r="P224" s="326">
        <v>15767.904000000002</v>
      </c>
      <c r="Q224" s="327">
        <v>0.10800000000000001</v>
      </c>
      <c r="R224" s="265"/>
      <c r="S224" s="194">
        <f t="shared" si="39"/>
        <v>17470.837632000002</v>
      </c>
      <c r="W224" s="328">
        <f t="shared" si="36"/>
        <v>55</v>
      </c>
      <c r="X224" s="328">
        <f t="shared" si="37"/>
        <v>14.8</v>
      </c>
      <c r="Y224" s="263"/>
      <c r="Z224" s="230">
        <f t="shared" si="40"/>
        <v>14.8</v>
      </c>
      <c r="AA224" s="230">
        <f t="shared" si="41"/>
        <v>13.8</v>
      </c>
    </row>
    <row r="225" spans="3:27" s="151" customFormat="1" outlineLevel="1" x14ac:dyDescent="0.2">
      <c r="C225" s="155"/>
      <c r="D225" s="153" t="s">
        <v>189</v>
      </c>
      <c r="E225" s="228">
        <v>39</v>
      </c>
      <c r="F225" s="153" t="s">
        <v>955</v>
      </c>
      <c r="G225" s="155" t="str">
        <f t="shared" si="34"/>
        <v>Monopolo39221-260 km/h</v>
      </c>
      <c r="I225" s="323">
        <v>1794473.076968</v>
      </c>
      <c r="J225" s="324">
        <v>4.7199999999999999E-2</v>
      </c>
      <c r="K225" s="194">
        <f t="shared" si="38"/>
        <v>1879172.2062008895</v>
      </c>
      <c r="L225" s="265"/>
      <c r="M225" s="265">
        <v>0.03</v>
      </c>
      <c r="N225" s="194">
        <f t="shared" si="35"/>
        <v>0</v>
      </c>
      <c r="P225" s="326">
        <v>15767.904000000002</v>
      </c>
      <c r="Q225" s="327">
        <v>0.10800000000000001</v>
      </c>
      <c r="R225" s="265"/>
      <c r="S225" s="194">
        <f t="shared" si="39"/>
        <v>17470.837632000002</v>
      </c>
      <c r="W225" s="328">
        <f t="shared" si="36"/>
        <v>55</v>
      </c>
      <c r="X225" s="328">
        <f t="shared" si="37"/>
        <v>14.8</v>
      </c>
      <c r="Y225" s="263"/>
      <c r="Z225" s="230">
        <f t="shared" si="40"/>
        <v>14.8</v>
      </c>
      <c r="AA225" s="230">
        <f t="shared" si="41"/>
        <v>13.8</v>
      </c>
    </row>
    <row r="226" spans="3:27" s="151" customFormat="1" outlineLevel="1" x14ac:dyDescent="0.2">
      <c r="C226" s="155"/>
      <c r="D226" s="153" t="s">
        <v>189</v>
      </c>
      <c r="E226" s="228">
        <v>42</v>
      </c>
      <c r="F226" s="153" t="s">
        <v>955</v>
      </c>
      <c r="G226" s="155" t="str">
        <f t="shared" si="34"/>
        <v>Monopolo42221-260 km/h</v>
      </c>
      <c r="I226" s="323">
        <v>2217741.42876</v>
      </c>
      <c r="J226" s="324">
        <v>2.9600000000000001E-2</v>
      </c>
      <c r="K226" s="194">
        <f t="shared" si="38"/>
        <v>2283386.575051296</v>
      </c>
      <c r="L226" s="265"/>
      <c r="M226" s="265">
        <v>0.03</v>
      </c>
      <c r="N226" s="194">
        <f t="shared" si="35"/>
        <v>0</v>
      </c>
      <c r="P226" s="326">
        <v>15965.002800000002</v>
      </c>
      <c r="Q226" s="327">
        <v>0.126</v>
      </c>
      <c r="R226" s="265"/>
      <c r="S226" s="194">
        <f t="shared" si="39"/>
        <v>17976.5931528</v>
      </c>
      <c r="W226" s="328">
        <f t="shared" si="36"/>
        <v>55</v>
      </c>
      <c r="X226" s="328">
        <f t="shared" si="37"/>
        <v>14.8</v>
      </c>
      <c r="Y226" s="263"/>
      <c r="Z226" s="230">
        <f t="shared" si="40"/>
        <v>14.8</v>
      </c>
      <c r="AA226" s="230">
        <f t="shared" si="41"/>
        <v>13.8</v>
      </c>
    </row>
    <row r="227" spans="3:27" s="151" customFormat="1" outlineLevel="1" x14ac:dyDescent="0.2">
      <c r="C227" s="155"/>
      <c r="D227" s="153" t="s">
        <v>964</v>
      </c>
      <c r="E227" s="228">
        <v>3</v>
      </c>
      <c r="F227" s="153" t="s">
        <v>956</v>
      </c>
      <c r="G227" s="155" t="str">
        <f t="shared" si="34"/>
        <v>Mástil3130-220 km/h</v>
      </c>
      <c r="I227" s="323">
        <v>710538.09750000003</v>
      </c>
      <c r="J227" s="324">
        <v>3.44E-2</v>
      </c>
      <c r="K227" s="194">
        <f t="shared" si="38"/>
        <v>734980.60805400007</v>
      </c>
      <c r="L227" s="265"/>
      <c r="M227" s="265">
        <v>0.03</v>
      </c>
      <c r="N227" s="194">
        <f t="shared" si="35"/>
        <v>0</v>
      </c>
      <c r="P227" s="326">
        <v>14388.2124</v>
      </c>
      <c r="Q227" s="327">
        <v>0.129</v>
      </c>
      <c r="R227" s="265"/>
      <c r="S227" s="194">
        <f t="shared" si="39"/>
        <v>16244.2917996</v>
      </c>
      <c r="W227" s="328">
        <f t="shared" si="36"/>
        <v>55</v>
      </c>
      <c r="X227" s="328">
        <f t="shared" si="37"/>
        <v>14.8</v>
      </c>
      <c r="Y227" s="263"/>
      <c r="Z227" s="230">
        <f t="shared" si="40"/>
        <v>14.8</v>
      </c>
      <c r="AA227" s="230">
        <f t="shared" si="41"/>
        <v>13.8</v>
      </c>
    </row>
    <row r="228" spans="3:27" s="151" customFormat="1" outlineLevel="1" x14ac:dyDescent="0.2">
      <c r="C228" s="155"/>
      <c r="D228" s="153" t="s">
        <v>964</v>
      </c>
      <c r="E228" s="228">
        <v>4</v>
      </c>
      <c r="F228" s="153" t="s">
        <v>956</v>
      </c>
      <c r="G228" s="155" t="str">
        <f t="shared" si="34"/>
        <v>Mástil4130-220 km/h</v>
      </c>
      <c r="I228" s="323">
        <v>713663.52749999997</v>
      </c>
      <c r="J228" s="324">
        <v>3.7200000000000004E-2</v>
      </c>
      <c r="K228" s="194">
        <f t="shared" si="38"/>
        <v>740211.81072299986</v>
      </c>
      <c r="L228" s="265"/>
      <c r="M228" s="265">
        <v>0.03</v>
      </c>
      <c r="N228" s="194">
        <f t="shared" si="35"/>
        <v>0</v>
      </c>
      <c r="P228" s="326">
        <v>16359.2004</v>
      </c>
      <c r="Q228" s="327">
        <v>0.11200000000000002</v>
      </c>
      <c r="R228" s="265"/>
      <c r="S228" s="194">
        <f t="shared" si="39"/>
        <v>18191.430844800001</v>
      </c>
      <c r="W228" s="328">
        <f t="shared" si="36"/>
        <v>55</v>
      </c>
      <c r="X228" s="328">
        <f t="shared" si="37"/>
        <v>14.8</v>
      </c>
      <c r="Y228" s="263"/>
      <c r="Z228" s="230">
        <f t="shared" si="40"/>
        <v>14.8</v>
      </c>
      <c r="AA228" s="230">
        <f t="shared" si="41"/>
        <v>13.8</v>
      </c>
    </row>
    <row r="229" spans="3:27" s="151" customFormat="1" outlineLevel="1" x14ac:dyDescent="0.2">
      <c r="C229" s="155"/>
      <c r="D229" s="153" t="s">
        <v>964</v>
      </c>
      <c r="E229" s="228">
        <v>5</v>
      </c>
      <c r="F229" s="153" t="s">
        <v>956</v>
      </c>
      <c r="G229" s="155" t="str">
        <f t="shared" si="34"/>
        <v>Mástil5130-220 km/h</v>
      </c>
      <c r="I229" s="323">
        <v>728155.3125</v>
      </c>
      <c r="J229" s="324">
        <v>4.4000000000000004E-2</v>
      </c>
      <c r="K229" s="194">
        <f t="shared" si="38"/>
        <v>760194.14624999999</v>
      </c>
      <c r="L229" s="265"/>
      <c r="M229" s="265">
        <v>0.03</v>
      </c>
      <c r="N229" s="194">
        <f t="shared" si="35"/>
        <v>0</v>
      </c>
      <c r="P229" s="326">
        <v>20892.472800000003</v>
      </c>
      <c r="Q229" s="327">
        <v>0.10900000000000001</v>
      </c>
      <c r="R229" s="265"/>
      <c r="S229" s="194">
        <f t="shared" si="39"/>
        <v>23169.752335200003</v>
      </c>
      <c r="W229" s="328">
        <f t="shared" si="36"/>
        <v>55</v>
      </c>
      <c r="X229" s="328">
        <f t="shared" si="37"/>
        <v>14.8</v>
      </c>
      <c r="Y229" s="263"/>
      <c r="Z229" s="230">
        <f t="shared" si="40"/>
        <v>14.8</v>
      </c>
      <c r="AA229" s="230">
        <f t="shared" si="41"/>
        <v>13.8</v>
      </c>
    </row>
    <row r="230" spans="3:27" s="151" customFormat="1" outlineLevel="1" x14ac:dyDescent="0.2">
      <c r="C230" s="155"/>
      <c r="D230" s="153" t="s">
        <v>964</v>
      </c>
      <c r="E230" s="228">
        <v>6</v>
      </c>
      <c r="F230" s="153" t="s">
        <v>956</v>
      </c>
      <c r="G230" s="155" t="str">
        <f t="shared" si="34"/>
        <v>Mástil6130-220 km/h</v>
      </c>
      <c r="I230" s="323">
        <v>549038.49</v>
      </c>
      <c r="J230" s="324">
        <v>3.8399999999999997E-2</v>
      </c>
      <c r="K230" s="194">
        <f t="shared" si="38"/>
        <v>570121.56801599998</v>
      </c>
      <c r="L230" s="265"/>
      <c r="M230" s="265">
        <v>0.03</v>
      </c>
      <c r="N230" s="194">
        <f t="shared" si="35"/>
        <v>0</v>
      </c>
      <c r="P230" s="326">
        <v>14782.41</v>
      </c>
      <c r="Q230" s="327">
        <v>9.8000000000000004E-2</v>
      </c>
      <c r="R230" s="265"/>
      <c r="S230" s="194">
        <f t="shared" si="39"/>
        <v>16231.08618</v>
      </c>
      <c r="W230" s="328">
        <f t="shared" si="36"/>
        <v>55</v>
      </c>
      <c r="X230" s="328">
        <f t="shared" si="37"/>
        <v>14.8</v>
      </c>
      <c r="Y230" s="263"/>
      <c r="Z230" s="230">
        <f t="shared" si="40"/>
        <v>14.8</v>
      </c>
      <c r="AA230" s="230">
        <f t="shared" si="41"/>
        <v>13.8</v>
      </c>
    </row>
    <row r="231" spans="3:27" s="151" customFormat="1" outlineLevel="1" x14ac:dyDescent="0.2">
      <c r="C231" s="155"/>
      <c r="D231" s="153" t="s">
        <v>964</v>
      </c>
      <c r="E231" s="228">
        <v>7</v>
      </c>
      <c r="F231" s="153" t="s">
        <v>956</v>
      </c>
      <c r="G231" s="155" t="str">
        <f t="shared" si="34"/>
        <v>Mástil7130-220 km/h</v>
      </c>
      <c r="I231" s="323">
        <v>725052.40500000003</v>
      </c>
      <c r="J231" s="324">
        <v>3.3599999999999998E-2</v>
      </c>
      <c r="K231" s="194">
        <f t="shared" si="38"/>
        <v>749414.16580800014</v>
      </c>
      <c r="L231" s="265"/>
      <c r="M231" s="265">
        <v>0.03</v>
      </c>
      <c r="N231" s="194">
        <f t="shared" si="35"/>
        <v>0</v>
      </c>
      <c r="P231" s="326">
        <v>19118.583600000002</v>
      </c>
      <c r="Q231" s="327">
        <v>0.11100000000000002</v>
      </c>
      <c r="R231" s="265"/>
      <c r="S231" s="194">
        <f t="shared" si="39"/>
        <v>21240.746379600001</v>
      </c>
      <c r="W231" s="328">
        <f t="shared" si="36"/>
        <v>55</v>
      </c>
      <c r="X231" s="328">
        <f t="shared" si="37"/>
        <v>14.8</v>
      </c>
      <c r="Y231" s="263"/>
      <c r="Z231" s="230">
        <f t="shared" si="40"/>
        <v>14.8</v>
      </c>
      <c r="AA231" s="230">
        <f t="shared" si="41"/>
        <v>13.8</v>
      </c>
    </row>
    <row r="232" spans="3:27" s="151" customFormat="1" outlineLevel="1" x14ac:dyDescent="0.2">
      <c r="C232" s="155"/>
      <c r="D232" s="153" t="s">
        <v>964</v>
      </c>
      <c r="E232" s="228">
        <v>8</v>
      </c>
      <c r="F232" s="153" t="s">
        <v>956</v>
      </c>
      <c r="G232" s="155" t="str">
        <f t="shared" si="34"/>
        <v>Mástil8130-220 km/h</v>
      </c>
      <c r="I232" s="323">
        <v>639552.375</v>
      </c>
      <c r="J232" s="324">
        <v>4.0399999999999998E-2</v>
      </c>
      <c r="K232" s="194">
        <f t="shared" si="38"/>
        <v>665390.29094999994</v>
      </c>
      <c r="L232" s="265"/>
      <c r="M232" s="265">
        <v>0.03</v>
      </c>
      <c r="N232" s="194">
        <f t="shared" si="35"/>
        <v>0</v>
      </c>
      <c r="P232" s="326">
        <v>25228.646400000001</v>
      </c>
      <c r="Q232" s="327">
        <v>0.10600000000000001</v>
      </c>
      <c r="R232" s="265"/>
      <c r="S232" s="194">
        <f t="shared" si="39"/>
        <v>27902.882918400002</v>
      </c>
      <c r="W232" s="328">
        <f t="shared" si="36"/>
        <v>55</v>
      </c>
      <c r="X232" s="328">
        <f t="shared" si="37"/>
        <v>14.8</v>
      </c>
      <c r="Y232" s="263"/>
      <c r="Z232" s="230">
        <f t="shared" si="40"/>
        <v>14.8</v>
      </c>
      <c r="AA232" s="230">
        <f t="shared" si="41"/>
        <v>13.8</v>
      </c>
    </row>
    <row r="233" spans="3:27" s="151" customFormat="1" outlineLevel="1" x14ac:dyDescent="0.2">
      <c r="C233" s="155"/>
      <c r="D233" s="153" t="s">
        <v>964</v>
      </c>
      <c r="E233" s="228">
        <v>9</v>
      </c>
      <c r="F233" s="153" t="s">
        <v>956</v>
      </c>
      <c r="G233" s="155" t="str">
        <f t="shared" si="34"/>
        <v>Mástil9130-220 km/h</v>
      </c>
      <c r="I233" s="323">
        <v>727983.79499999993</v>
      </c>
      <c r="J233" s="324">
        <v>3.2400000000000005E-2</v>
      </c>
      <c r="K233" s="194">
        <f t="shared" si="38"/>
        <v>751570.46995799989</v>
      </c>
      <c r="L233" s="265"/>
      <c r="M233" s="265">
        <v>0.03</v>
      </c>
      <c r="N233" s="194">
        <f t="shared" si="35"/>
        <v>0</v>
      </c>
      <c r="P233" s="326">
        <v>24834.448800000002</v>
      </c>
      <c r="Q233" s="327">
        <v>7.1999999999999995E-2</v>
      </c>
      <c r="R233" s="265"/>
      <c r="S233" s="194">
        <f t="shared" si="39"/>
        <v>26622.529113600005</v>
      </c>
      <c r="W233" s="328">
        <f t="shared" si="36"/>
        <v>55</v>
      </c>
      <c r="X233" s="328">
        <f t="shared" si="37"/>
        <v>14.8</v>
      </c>
      <c r="Y233" s="263"/>
      <c r="Z233" s="230">
        <f t="shared" si="40"/>
        <v>14.8</v>
      </c>
      <c r="AA233" s="230">
        <f t="shared" si="41"/>
        <v>13.8</v>
      </c>
    </row>
    <row r="234" spans="3:27" s="151" customFormat="1" outlineLevel="1" x14ac:dyDescent="0.2">
      <c r="C234" s="155"/>
      <c r="D234" s="153" t="s">
        <v>964</v>
      </c>
      <c r="E234" s="228">
        <v>10</v>
      </c>
      <c r="F234" s="153" t="s">
        <v>956</v>
      </c>
      <c r="G234" s="155" t="str">
        <f t="shared" si="34"/>
        <v>Mástil10130-220 km/h</v>
      </c>
      <c r="I234" s="323">
        <v>749541.87</v>
      </c>
      <c r="J234" s="324">
        <v>4.3200000000000002E-2</v>
      </c>
      <c r="K234" s="194">
        <f t="shared" si="38"/>
        <v>781922.0787839999</v>
      </c>
      <c r="L234" s="265"/>
      <c r="M234" s="265">
        <v>0.03</v>
      </c>
      <c r="N234" s="194">
        <f t="shared" si="35"/>
        <v>0</v>
      </c>
      <c r="P234" s="326">
        <v>18527.287199999999</v>
      </c>
      <c r="Q234" s="327">
        <v>0.11499999999999999</v>
      </c>
      <c r="R234" s="265"/>
      <c r="S234" s="194">
        <f t="shared" si="39"/>
        <v>20657.925228</v>
      </c>
      <c r="W234" s="328">
        <f t="shared" si="36"/>
        <v>55</v>
      </c>
      <c r="X234" s="328">
        <f t="shared" si="37"/>
        <v>14.8</v>
      </c>
      <c r="Y234" s="263"/>
      <c r="Z234" s="230">
        <f t="shared" si="40"/>
        <v>14.8</v>
      </c>
      <c r="AA234" s="230">
        <f t="shared" si="41"/>
        <v>13.8</v>
      </c>
    </row>
    <row r="235" spans="3:27" s="151" customFormat="1" outlineLevel="1" x14ac:dyDescent="0.2">
      <c r="C235" s="155"/>
      <c r="D235" s="153" t="s">
        <v>964</v>
      </c>
      <c r="E235" s="228">
        <v>11</v>
      </c>
      <c r="F235" s="153" t="s">
        <v>956</v>
      </c>
      <c r="G235" s="155" t="str">
        <f t="shared" si="34"/>
        <v>Mástil11130-220 km/h</v>
      </c>
      <c r="I235" s="323">
        <v>656007.66</v>
      </c>
      <c r="J235" s="324">
        <v>3.56E-2</v>
      </c>
      <c r="K235" s="194">
        <f t="shared" si="38"/>
        <v>679361.53269600007</v>
      </c>
      <c r="L235" s="265"/>
      <c r="M235" s="265">
        <v>0.03</v>
      </c>
      <c r="N235" s="194">
        <f t="shared" si="35"/>
        <v>0</v>
      </c>
      <c r="P235" s="326">
        <v>24637.350000000002</v>
      </c>
      <c r="Q235" s="327">
        <v>0.123</v>
      </c>
      <c r="R235" s="265"/>
      <c r="S235" s="194">
        <f t="shared" si="39"/>
        <v>27667.744050000001</v>
      </c>
      <c r="W235" s="328">
        <f t="shared" si="36"/>
        <v>55</v>
      </c>
      <c r="X235" s="328">
        <f t="shared" si="37"/>
        <v>14.8</v>
      </c>
      <c r="Y235" s="263"/>
      <c r="Z235" s="230">
        <f t="shared" si="40"/>
        <v>14.8</v>
      </c>
      <c r="AA235" s="230">
        <f t="shared" si="41"/>
        <v>13.8</v>
      </c>
    </row>
    <row r="236" spans="3:27" s="151" customFormat="1" outlineLevel="1" x14ac:dyDescent="0.2">
      <c r="C236" s="155"/>
      <c r="D236" s="153" t="s">
        <v>964</v>
      </c>
      <c r="E236" s="228">
        <v>12</v>
      </c>
      <c r="F236" s="153" t="s">
        <v>956</v>
      </c>
      <c r="G236" s="155" t="str">
        <f t="shared" si="34"/>
        <v>Mástil12130-220 km/h</v>
      </c>
      <c r="I236" s="323">
        <v>433683.4425</v>
      </c>
      <c r="J236" s="324">
        <v>3.6400000000000002E-2</v>
      </c>
      <c r="K236" s="194">
        <f t="shared" si="38"/>
        <v>449469.519807</v>
      </c>
      <c r="L236" s="265"/>
      <c r="M236" s="265">
        <v>0.03</v>
      </c>
      <c r="N236" s="194">
        <f t="shared" si="35"/>
        <v>0</v>
      </c>
      <c r="P236" s="326">
        <v>16162.1016</v>
      </c>
      <c r="Q236" s="327">
        <v>7.5000000000000011E-2</v>
      </c>
      <c r="R236" s="265"/>
      <c r="S236" s="194">
        <f t="shared" si="39"/>
        <v>17374.25922</v>
      </c>
      <c r="W236" s="328">
        <f t="shared" si="36"/>
        <v>55</v>
      </c>
      <c r="X236" s="328">
        <f t="shared" si="37"/>
        <v>14.8</v>
      </c>
      <c r="Y236" s="263"/>
      <c r="Z236" s="230">
        <f t="shared" si="40"/>
        <v>14.8</v>
      </c>
      <c r="AA236" s="230">
        <f t="shared" si="41"/>
        <v>13.8</v>
      </c>
    </row>
    <row r="237" spans="3:27" s="151" customFormat="1" outlineLevel="1" x14ac:dyDescent="0.2">
      <c r="C237" s="155"/>
      <c r="D237" s="153" t="s">
        <v>964</v>
      </c>
      <c r="E237" s="228">
        <v>3</v>
      </c>
      <c r="F237" s="153" t="s">
        <v>955</v>
      </c>
      <c r="G237" s="155" t="str">
        <f t="shared" si="34"/>
        <v>Mástil3221-260 km/h</v>
      </c>
      <c r="I237" s="323">
        <v>634133.11499999999</v>
      </c>
      <c r="J237" s="324">
        <v>4.8399999999999999E-2</v>
      </c>
      <c r="K237" s="194">
        <f t="shared" si="38"/>
        <v>664825.15776600002</v>
      </c>
      <c r="L237" s="265"/>
      <c r="M237" s="265">
        <v>0.03</v>
      </c>
      <c r="N237" s="194">
        <f t="shared" si="35"/>
        <v>0</v>
      </c>
      <c r="P237" s="326">
        <v>20892.472800000003</v>
      </c>
      <c r="Q237" s="327">
        <v>0.11299999999999999</v>
      </c>
      <c r="R237" s="265"/>
      <c r="S237" s="194">
        <f t="shared" si="39"/>
        <v>23253.322226400003</v>
      </c>
      <c r="W237" s="328">
        <f t="shared" si="36"/>
        <v>55</v>
      </c>
      <c r="X237" s="328">
        <f t="shared" si="37"/>
        <v>14.8</v>
      </c>
      <c r="Y237" s="263"/>
      <c r="Z237" s="230">
        <f t="shared" si="40"/>
        <v>14.8</v>
      </c>
      <c r="AA237" s="230">
        <f t="shared" si="41"/>
        <v>13.8</v>
      </c>
    </row>
    <row r="238" spans="3:27" s="151" customFormat="1" outlineLevel="1" x14ac:dyDescent="0.2">
      <c r="C238" s="155"/>
      <c r="D238" s="153" t="s">
        <v>964</v>
      </c>
      <c r="E238" s="228">
        <v>4</v>
      </c>
      <c r="F238" s="153" t="s">
        <v>955</v>
      </c>
      <c r="G238" s="155" t="str">
        <f t="shared" si="34"/>
        <v>Mástil4221-260 km/h</v>
      </c>
      <c r="I238" s="323">
        <v>549038.49</v>
      </c>
      <c r="J238" s="324">
        <v>2.7999999999999997E-2</v>
      </c>
      <c r="K238" s="194">
        <f t="shared" si="38"/>
        <v>564411.56772000005</v>
      </c>
      <c r="L238" s="265"/>
      <c r="M238" s="265">
        <v>0.03</v>
      </c>
      <c r="N238" s="194">
        <f t="shared" si="35"/>
        <v>0</v>
      </c>
      <c r="P238" s="326">
        <v>20104.077600000001</v>
      </c>
      <c r="Q238" s="327">
        <v>0.11100000000000002</v>
      </c>
      <c r="R238" s="265"/>
      <c r="S238" s="194">
        <f t="shared" si="39"/>
        <v>22335.630213600001</v>
      </c>
      <c r="W238" s="328">
        <f t="shared" si="36"/>
        <v>55</v>
      </c>
      <c r="X238" s="328">
        <f t="shared" si="37"/>
        <v>14.8</v>
      </c>
      <c r="Y238" s="263"/>
      <c r="Z238" s="230">
        <f t="shared" si="40"/>
        <v>14.8</v>
      </c>
      <c r="AA238" s="230">
        <f t="shared" si="41"/>
        <v>13.8</v>
      </c>
    </row>
    <row r="239" spans="3:27" s="151" customFormat="1" outlineLevel="1" x14ac:dyDescent="0.2">
      <c r="C239" s="155"/>
      <c r="D239" s="153" t="s">
        <v>964</v>
      </c>
      <c r="E239" s="228">
        <v>5</v>
      </c>
      <c r="F239" s="153" t="s">
        <v>955</v>
      </c>
      <c r="G239" s="155" t="str">
        <f t="shared" si="34"/>
        <v>Mástil5221-260 km/h</v>
      </c>
      <c r="I239" s="323">
        <v>680283.45</v>
      </c>
      <c r="J239" s="324">
        <v>4.3600000000000007E-2</v>
      </c>
      <c r="K239" s="194">
        <f t="shared" si="38"/>
        <v>709943.80842000002</v>
      </c>
      <c r="L239" s="265"/>
      <c r="M239" s="265">
        <v>0.03</v>
      </c>
      <c r="N239" s="194">
        <f t="shared" si="35"/>
        <v>0</v>
      </c>
      <c r="P239" s="326">
        <v>20892.472800000003</v>
      </c>
      <c r="Q239" s="327">
        <v>8.2000000000000003E-2</v>
      </c>
      <c r="R239" s="265"/>
      <c r="S239" s="194">
        <f t="shared" si="39"/>
        <v>22605.655569600003</v>
      </c>
      <c r="W239" s="328">
        <f t="shared" si="36"/>
        <v>55</v>
      </c>
      <c r="X239" s="328">
        <f t="shared" si="37"/>
        <v>14.8</v>
      </c>
      <c r="Y239" s="263"/>
      <c r="Z239" s="230">
        <f t="shared" si="40"/>
        <v>14.8</v>
      </c>
      <c r="AA239" s="230">
        <f t="shared" si="41"/>
        <v>13.8</v>
      </c>
    </row>
    <row r="240" spans="3:27" s="151" customFormat="1" outlineLevel="1" x14ac:dyDescent="0.2">
      <c r="C240" s="155"/>
      <c r="D240" s="153" t="s">
        <v>964</v>
      </c>
      <c r="E240" s="228">
        <v>6</v>
      </c>
      <c r="F240" s="153" t="s">
        <v>955</v>
      </c>
      <c r="G240" s="155" t="str">
        <f t="shared" ref="G240:G246" si="42">D240&amp;E240&amp;F240</f>
        <v>Mástil6221-260 km/h</v>
      </c>
      <c r="I240" s="323">
        <v>429542.76750000002</v>
      </c>
      <c r="J240" s="324">
        <v>4.3600000000000007E-2</v>
      </c>
      <c r="K240" s="194">
        <f t="shared" si="38"/>
        <v>448270.83216300007</v>
      </c>
      <c r="L240" s="265"/>
      <c r="M240" s="265">
        <v>0.03</v>
      </c>
      <c r="N240" s="194">
        <f t="shared" ref="N240:N246" si="43">(L240*(1+M240)^$C$5)*((1+sens.capex.unitarios))</f>
        <v>0</v>
      </c>
      <c r="P240" s="326">
        <v>19906.978800000001</v>
      </c>
      <c r="Q240" s="327">
        <v>0.13</v>
      </c>
      <c r="R240" s="265"/>
      <c r="S240" s="194">
        <f t="shared" si="39"/>
        <v>22494.886043999999</v>
      </c>
      <c r="W240" s="328">
        <f t="shared" si="36"/>
        <v>55</v>
      </c>
      <c r="X240" s="328">
        <f t="shared" si="37"/>
        <v>14.8</v>
      </c>
      <c r="Y240" s="263"/>
      <c r="Z240" s="230">
        <f t="shared" si="40"/>
        <v>14.8</v>
      </c>
      <c r="AA240" s="230">
        <f t="shared" si="41"/>
        <v>13.8</v>
      </c>
    </row>
    <row r="241" spans="3:27" s="151" customFormat="1" outlineLevel="1" x14ac:dyDescent="0.2">
      <c r="C241" s="155"/>
      <c r="D241" s="153" t="s">
        <v>964</v>
      </c>
      <c r="E241" s="228">
        <v>7</v>
      </c>
      <c r="F241" s="153" t="s">
        <v>955</v>
      </c>
      <c r="G241" s="155" t="str">
        <f t="shared" si="42"/>
        <v>Mástil7221-260 km/h</v>
      </c>
      <c r="I241" s="323">
        <v>766429.125</v>
      </c>
      <c r="J241" s="324">
        <v>3.4799999999999998E-2</v>
      </c>
      <c r="K241" s="194">
        <f t="shared" si="38"/>
        <v>793100.85855</v>
      </c>
      <c r="L241" s="265"/>
      <c r="M241" s="265">
        <v>0.03</v>
      </c>
      <c r="N241" s="194">
        <f t="shared" si="43"/>
        <v>0</v>
      </c>
      <c r="P241" s="326">
        <v>16753.398000000001</v>
      </c>
      <c r="Q241" s="327">
        <v>7.0999999999999994E-2</v>
      </c>
      <c r="R241" s="265"/>
      <c r="S241" s="194">
        <f t="shared" si="39"/>
        <v>17942.889257999999</v>
      </c>
      <c r="W241" s="328">
        <f t="shared" ref="W241:W246" si="44">$W$47</f>
        <v>55</v>
      </c>
      <c r="X241" s="328">
        <f t="shared" ref="X241:X246" si="45">$X$47</f>
        <v>14.8</v>
      </c>
      <c r="Y241" s="263"/>
      <c r="Z241" s="230">
        <f t="shared" si="40"/>
        <v>14.8</v>
      </c>
      <c r="AA241" s="230">
        <f t="shared" si="41"/>
        <v>13.8</v>
      </c>
    </row>
    <row r="242" spans="3:27" s="151" customFormat="1" outlineLevel="1" x14ac:dyDescent="0.2">
      <c r="C242" s="155"/>
      <c r="D242" s="153" t="s">
        <v>964</v>
      </c>
      <c r="E242" s="228">
        <v>8</v>
      </c>
      <c r="F242" s="153" t="s">
        <v>955</v>
      </c>
      <c r="G242" s="155" t="str">
        <f t="shared" si="42"/>
        <v>Mástil8221-260 km/h</v>
      </c>
      <c r="I242" s="323">
        <v>674807.01750000007</v>
      </c>
      <c r="J242" s="324">
        <v>4.8800000000000003E-2</v>
      </c>
      <c r="K242" s="194">
        <f t="shared" si="38"/>
        <v>707737.59995400009</v>
      </c>
      <c r="L242" s="265"/>
      <c r="M242" s="265">
        <v>0.03</v>
      </c>
      <c r="N242" s="194">
        <f t="shared" si="43"/>
        <v>0</v>
      </c>
      <c r="P242" s="326">
        <v>15570.805200000001</v>
      </c>
      <c r="Q242" s="327">
        <v>8.5000000000000006E-2</v>
      </c>
      <c r="R242" s="265"/>
      <c r="S242" s="194">
        <f t="shared" si="39"/>
        <v>16894.323641999999</v>
      </c>
      <c r="W242" s="328">
        <f t="shared" si="44"/>
        <v>55</v>
      </c>
      <c r="X242" s="328">
        <f t="shared" si="45"/>
        <v>14.8</v>
      </c>
      <c r="Y242" s="263"/>
      <c r="Z242" s="230">
        <f t="shared" si="40"/>
        <v>14.8</v>
      </c>
      <c r="AA242" s="230">
        <f t="shared" si="41"/>
        <v>13.8</v>
      </c>
    </row>
    <row r="243" spans="3:27" s="151" customFormat="1" outlineLevel="1" x14ac:dyDescent="0.2">
      <c r="C243" s="155"/>
      <c r="D243" s="153" t="s">
        <v>964</v>
      </c>
      <c r="E243" s="228">
        <v>9</v>
      </c>
      <c r="F243" s="153" t="s">
        <v>955</v>
      </c>
      <c r="G243" s="155" t="str">
        <f t="shared" si="42"/>
        <v>Mástil9221-260 km/h</v>
      </c>
      <c r="I243" s="323">
        <v>520867.46249999997</v>
      </c>
      <c r="J243" s="324">
        <v>4.3600000000000007E-2</v>
      </c>
      <c r="K243" s="194">
        <f t="shared" si="38"/>
        <v>543577.283865</v>
      </c>
      <c r="L243" s="265"/>
      <c r="M243" s="265">
        <v>0.03</v>
      </c>
      <c r="N243" s="194">
        <f t="shared" si="43"/>
        <v>0</v>
      </c>
      <c r="P243" s="326">
        <v>15176.607600000001</v>
      </c>
      <c r="Q243" s="327">
        <v>0.10900000000000001</v>
      </c>
      <c r="R243" s="265"/>
      <c r="S243" s="194">
        <f t="shared" si="39"/>
        <v>16830.8578284</v>
      </c>
      <c r="W243" s="328">
        <f t="shared" si="44"/>
        <v>55</v>
      </c>
      <c r="X243" s="328">
        <f t="shared" si="45"/>
        <v>14.8</v>
      </c>
      <c r="Y243" s="263"/>
      <c r="Z243" s="230">
        <f t="shared" si="40"/>
        <v>14.8</v>
      </c>
      <c r="AA243" s="230">
        <f t="shared" si="41"/>
        <v>13.8</v>
      </c>
    </row>
    <row r="244" spans="3:27" s="151" customFormat="1" x14ac:dyDescent="0.2">
      <c r="C244" s="155"/>
      <c r="D244" s="153" t="s">
        <v>964</v>
      </c>
      <c r="E244" s="228">
        <v>10</v>
      </c>
      <c r="F244" s="153" t="s">
        <v>955</v>
      </c>
      <c r="G244" s="155" t="str">
        <f t="shared" si="42"/>
        <v>Mástil10221-260 km/h</v>
      </c>
      <c r="I244" s="323">
        <v>517892.76</v>
      </c>
      <c r="J244" s="324">
        <v>4.24E-2</v>
      </c>
      <c r="K244" s="194">
        <f t="shared" si="38"/>
        <v>539851.41302400001</v>
      </c>
      <c r="L244" s="265"/>
      <c r="M244" s="265">
        <v>0.03</v>
      </c>
      <c r="N244" s="194">
        <f t="shared" si="43"/>
        <v>0</v>
      </c>
      <c r="P244" s="326">
        <v>22272.164399999998</v>
      </c>
      <c r="Q244" s="327">
        <v>0.11699999999999999</v>
      </c>
      <c r="R244" s="265"/>
      <c r="S244" s="194">
        <f t="shared" si="39"/>
        <v>24878.007634799997</v>
      </c>
      <c r="W244" s="328">
        <f t="shared" si="44"/>
        <v>55</v>
      </c>
      <c r="X244" s="328">
        <f t="shared" si="45"/>
        <v>14.8</v>
      </c>
      <c r="Y244" s="263"/>
      <c r="Z244" s="230">
        <f t="shared" si="40"/>
        <v>14.8</v>
      </c>
      <c r="AA244" s="230">
        <f t="shared" si="41"/>
        <v>13.8</v>
      </c>
    </row>
    <row r="245" spans="3:27" s="151" customFormat="1" x14ac:dyDescent="0.2">
      <c r="C245" s="155"/>
      <c r="D245" s="153" t="s">
        <v>964</v>
      </c>
      <c r="E245" s="228">
        <v>11</v>
      </c>
      <c r="F245" s="153" t="s">
        <v>955</v>
      </c>
      <c r="G245" s="155" t="str">
        <f t="shared" si="42"/>
        <v>Mástil11221-260 km/h</v>
      </c>
      <c r="I245" s="323">
        <v>727634.40749999997</v>
      </c>
      <c r="J245" s="324">
        <v>3.5200000000000002E-2</v>
      </c>
      <c r="K245" s="194">
        <f t="shared" si="38"/>
        <v>753247.13864399993</v>
      </c>
      <c r="L245" s="265"/>
      <c r="M245" s="265">
        <v>0.03</v>
      </c>
      <c r="N245" s="194">
        <f t="shared" si="43"/>
        <v>0</v>
      </c>
      <c r="P245" s="326">
        <v>17541.7932</v>
      </c>
      <c r="Q245" s="327">
        <v>9.9000000000000005E-2</v>
      </c>
      <c r="R245" s="265"/>
      <c r="S245" s="194">
        <f t="shared" si="39"/>
        <v>19278.430726800001</v>
      </c>
      <c r="W245" s="328">
        <f t="shared" si="44"/>
        <v>55</v>
      </c>
      <c r="X245" s="328">
        <f t="shared" si="45"/>
        <v>14.8</v>
      </c>
      <c r="Y245" s="263"/>
      <c r="Z245" s="230">
        <f t="shared" si="40"/>
        <v>14.8</v>
      </c>
      <c r="AA245" s="230">
        <f t="shared" si="41"/>
        <v>13.8</v>
      </c>
    </row>
    <row r="246" spans="3:27" s="151" customFormat="1" x14ac:dyDescent="0.2">
      <c r="C246" s="155"/>
      <c r="D246" s="153" t="s">
        <v>964</v>
      </c>
      <c r="E246" s="228">
        <v>12</v>
      </c>
      <c r="F246" s="153" t="s">
        <v>955</v>
      </c>
      <c r="G246" s="155" t="str">
        <f t="shared" si="42"/>
        <v>Mástil12221-260 km/h</v>
      </c>
      <c r="I246" s="323">
        <v>450519.3</v>
      </c>
      <c r="J246" s="324">
        <v>3.6799999999999999E-2</v>
      </c>
      <c r="K246" s="194">
        <f t="shared" si="38"/>
        <v>467098.41023999994</v>
      </c>
      <c r="L246" s="265"/>
      <c r="M246" s="265">
        <v>0.03</v>
      </c>
      <c r="N246" s="194">
        <f t="shared" si="43"/>
        <v>0</v>
      </c>
      <c r="P246" s="326">
        <v>16950.496800000001</v>
      </c>
      <c r="Q246" s="327">
        <v>0.10200000000000001</v>
      </c>
      <c r="R246" s="265"/>
      <c r="S246" s="194">
        <f t="shared" si="39"/>
        <v>18679.447473600001</v>
      </c>
      <c r="W246" s="328">
        <f t="shared" si="44"/>
        <v>55</v>
      </c>
      <c r="X246" s="328">
        <f t="shared" si="45"/>
        <v>14.8</v>
      </c>
      <c r="Y246" s="263"/>
      <c r="Z246" s="230">
        <f t="shared" si="40"/>
        <v>14.8</v>
      </c>
      <c r="AA246" s="230">
        <f t="shared" si="41"/>
        <v>13.8</v>
      </c>
    </row>
    <row r="247" spans="3:27" x14ac:dyDescent="0.2">
      <c r="G247" s="201" t="s">
        <v>511</v>
      </c>
      <c r="I247" s="325">
        <f>MAX(I47:I246)</f>
        <v>6427652.6160000004</v>
      </c>
      <c r="K247" s="201" t="s">
        <v>506</v>
      </c>
      <c r="N247" s="201" t="s">
        <v>500</v>
      </c>
      <c r="S247" s="201" t="s">
        <v>507</v>
      </c>
      <c r="Z247" s="201" t="s">
        <v>512</v>
      </c>
      <c r="AA247" s="201" t="s">
        <v>513</v>
      </c>
    </row>
    <row r="248" spans="3:27" s="151" customFormat="1" x14ac:dyDescent="0.2">
      <c r="G248" s="201"/>
      <c r="K248" s="201"/>
      <c r="S248" s="201"/>
      <c r="Z248" s="201"/>
      <c r="AA248" s="201"/>
    </row>
    <row r="249" spans="3:27" s="151" customFormat="1" ht="24" x14ac:dyDescent="0.2">
      <c r="D249" s="161" t="s">
        <v>998</v>
      </c>
      <c r="G249" s="201"/>
      <c r="I249" s="161" t="s">
        <v>921</v>
      </c>
      <c r="J249" s="161" t="s">
        <v>251</v>
      </c>
      <c r="K249" s="161" t="s">
        <v>759</v>
      </c>
      <c r="L249" s="152"/>
      <c r="P249" s="261" t="s">
        <v>255</v>
      </c>
      <c r="S249" s="201"/>
      <c r="W249" s="161" t="s">
        <v>919</v>
      </c>
      <c r="X249" s="161" t="s">
        <v>920</v>
      </c>
      <c r="Y249" s="161" t="s">
        <v>933</v>
      </c>
      <c r="Z249" s="161" t="s">
        <v>918</v>
      </c>
      <c r="AA249" s="161" t="s">
        <v>501</v>
      </c>
    </row>
    <row r="250" spans="3:27" s="151" customFormat="1" x14ac:dyDescent="0.2">
      <c r="D250" s="151" t="s">
        <v>992</v>
      </c>
      <c r="G250" s="201"/>
      <c r="I250" s="329">
        <v>55300</v>
      </c>
      <c r="J250" s="265">
        <v>0.03</v>
      </c>
      <c r="K250" s="194">
        <f t="shared" ref="K250:K254" si="46">(I250*(1+J250)^$C$5)*((1+sens.capex.unitarios))</f>
        <v>56959</v>
      </c>
      <c r="L250" s="152"/>
      <c r="P250" s="3"/>
      <c r="S250" s="201"/>
      <c r="Z250" s="201"/>
      <c r="AA250" s="201"/>
    </row>
    <row r="251" spans="3:27" s="151" customFormat="1" x14ac:dyDescent="0.2">
      <c r="D251" s="151" t="s">
        <v>993</v>
      </c>
      <c r="G251" s="201"/>
      <c r="I251" s="329">
        <v>200200</v>
      </c>
      <c r="J251" s="265">
        <v>0.03</v>
      </c>
      <c r="K251" s="194">
        <f t="shared" si="46"/>
        <v>206206</v>
      </c>
      <c r="L251" s="152"/>
      <c r="P251" s="3"/>
      <c r="S251" s="201"/>
      <c r="Z251" s="201"/>
      <c r="AA251" s="201"/>
    </row>
    <row r="252" spans="3:27" s="151" customFormat="1" x14ac:dyDescent="0.2">
      <c r="D252" s="151" t="s">
        <v>994</v>
      </c>
      <c r="G252" s="201"/>
      <c r="I252" s="329">
        <v>10240</v>
      </c>
      <c r="J252" s="265">
        <v>0.03</v>
      </c>
      <c r="K252" s="194">
        <f t="shared" si="46"/>
        <v>10547.2</v>
      </c>
      <c r="L252" s="152"/>
      <c r="P252" s="3"/>
      <c r="S252" s="201"/>
      <c r="Z252" s="201"/>
      <c r="AA252" s="201"/>
    </row>
    <row r="253" spans="3:27" s="151" customFormat="1" x14ac:dyDescent="0.2">
      <c r="D253" s="151" t="s">
        <v>995</v>
      </c>
      <c r="G253" s="201"/>
      <c r="I253" s="323">
        <v>46800</v>
      </c>
      <c r="J253" s="265">
        <v>0.03</v>
      </c>
      <c r="K253" s="194">
        <f t="shared" si="46"/>
        <v>48204</v>
      </c>
      <c r="L253" s="152"/>
      <c r="P253" s="3"/>
      <c r="S253" s="201"/>
      <c r="Z253" s="201"/>
      <c r="AA253" s="201"/>
    </row>
    <row r="254" spans="3:27" s="151" customFormat="1" x14ac:dyDescent="0.2">
      <c r="D254" s="154" t="s">
        <v>1006</v>
      </c>
      <c r="G254" s="201"/>
      <c r="I254" s="195">
        <f>SUM(I250:I253)*sens.costos.adicionales</f>
        <v>312540</v>
      </c>
      <c r="J254" s="265">
        <v>0.03</v>
      </c>
      <c r="K254" s="194">
        <f t="shared" si="46"/>
        <v>321916.2</v>
      </c>
      <c r="L254" s="152"/>
      <c r="P254" s="330">
        <v>36600.000000000044</v>
      </c>
      <c r="Q254" s="265">
        <v>0.03</v>
      </c>
      <c r="R254" s="235">
        <f t="shared" ref="R254" si="47">(P254*(1+Q254)^$C$5)*(1+sens.opex.unitarios)</f>
        <v>37698.000000000044</v>
      </c>
      <c r="S254" s="201"/>
      <c r="W254" s="328">
        <f>W47</f>
        <v>55</v>
      </c>
      <c r="X254" s="337">
        <f t="shared" ref="X254:AA254" si="48">X47</f>
        <v>14.8</v>
      </c>
      <c r="Y254" s="311">
        <f t="shared" si="48"/>
        <v>0</v>
      </c>
      <c r="Z254" s="311">
        <f t="shared" si="48"/>
        <v>14.8</v>
      </c>
      <c r="AA254" s="311">
        <f t="shared" si="48"/>
        <v>13.8</v>
      </c>
    </row>
    <row r="255" spans="3:27" s="151" customFormat="1" x14ac:dyDescent="0.2">
      <c r="G255" s="201"/>
      <c r="K255" s="152" t="s">
        <v>1001</v>
      </c>
      <c r="L255" s="152"/>
      <c r="R255" s="201" t="s">
        <v>1002</v>
      </c>
      <c r="S255" s="201"/>
      <c r="Z255" s="201" t="s">
        <v>1003</v>
      </c>
      <c r="AA255" s="201" t="s">
        <v>1004</v>
      </c>
    </row>
    <row r="256" spans="3:27" s="151" customFormat="1" x14ac:dyDescent="0.2">
      <c r="G256" s="201"/>
      <c r="K256" s="201"/>
      <c r="L256" s="152"/>
      <c r="P256" s="3"/>
      <c r="S256" s="201"/>
      <c r="Z256" s="201"/>
      <c r="AA256" s="201"/>
    </row>
    <row r="257" spans="1:31" s="151" customFormat="1" x14ac:dyDescent="0.2">
      <c r="G257" s="201"/>
      <c r="K257" s="201"/>
      <c r="L257" s="152" t="s">
        <v>985</v>
      </c>
      <c r="P257" s="3"/>
      <c r="S257" s="201"/>
      <c r="Z257" s="201"/>
      <c r="AA257" s="201"/>
    </row>
    <row r="258" spans="1:31" s="151" customFormat="1" x14ac:dyDescent="0.2">
      <c r="A258" s="144">
        <v>3</v>
      </c>
      <c r="B258" s="160" t="str">
        <f>INDEX(lista.activos,$A258)</f>
        <v>Caseta (shelter) AEP</v>
      </c>
      <c r="C258" s="160"/>
      <c r="D258" s="160"/>
      <c r="E258" s="160"/>
      <c r="F258" s="160"/>
      <c r="G258" s="160"/>
      <c r="H258" s="160"/>
      <c r="I258" s="160"/>
      <c r="J258" s="160"/>
      <c r="K258" s="160"/>
      <c r="L258" s="160"/>
      <c r="M258" s="160"/>
      <c r="N258" s="160"/>
      <c r="O258" s="160"/>
      <c r="P258" s="250"/>
      <c r="Q258" s="160"/>
      <c r="R258" s="160"/>
      <c r="S258" s="160"/>
      <c r="T258" s="160"/>
      <c r="U258" s="160"/>
      <c r="V258" s="160"/>
      <c r="W258" s="160"/>
      <c r="X258" s="160"/>
      <c r="Y258" s="160"/>
      <c r="Z258" s="160"/>
      <c r="AA258" s="160"/>
      <c r="AB258" s="160"/>
      <c r="AC258" s="160"/>
    </row>
    <row r="259" spans="1:31" ht="48" x14ac:dyDescent="0.2">
      <c r="A259" s="151"/>
      <c r="D259" s="161" t="s">
        <v>152</v>
      </c>
      <c r="I259" s="161" t="s">
        <v>758</v>
      </c>
      <c r="J259" s="161" t="s">
        <v>251</v>
      </c>
      <c r="K259" s="161" t="s">
        <v>759</v>
      </c>
      <c r="P259" s="261" t="s">
        <v>760</v>
      </c>
      <c r="Q259" s="161" t="s">
        <v>251</v>
      </c>
      <c r="R259" s="161" t="s">
        <v>761</v>
      </c>
      <c r="S259" s="161" t="s">
        <v>255</v>
      </c>
      <c r="T259" s="161" t="s">
        <v>251</v>
      </c>
      <c r="U259" s="161" t="s">
        <v>642</v>
      </c>
      <c r="W259" s="161" t="s">
        <v>919</v>
      </c>
      <c r="X259" s="161" t="s">
        <v>920</v>
      </c>
      <c r="Y259" s="161" t="s">
        <v>933</v>
      </c>
      <c r="Z259" s="161" t="s">
        <v>918</v>
      </c>
      <c r="AA259" s="161" t="s">
        <v>501</v>
      </c>
    </row>
    <row r="260" spans="1:31" x14ac:dyDescent="0.2">
      <c r="C260" s="155">
        <v>1</v>
      </c>
      <c r="D260" s="124" t="s">
        <v>193</v>
      </c>
      <c r="G260" s="155" t="str">
        <f>D260</f>
        <v>Distrito Federal</v>
      </c>
      <c r="I260" s="331">
        <v>210930</v>
      </c>
      <c r="J260" s="265">
        <v>0.03</v>
      </c>
      <c r="K260" s="194">
        <f>(I260*(1+J260)^$C$5)*((1+sens.capex.unitarios))</f>
        <v>217257.9</v>
      </c>
      <c r="P260" s="262">
        <v>0</v>
      </c>
      <c r="Q260" s="265">
        <v>0.03</v>
      </c>
      <c r="R260" s="194">
        <f>(P260*(1+Q260)^$C$5)*(1+sens.opex.unitarios)</f>
        <v>0</v>
      </c>
      <c r="S260" s="104">
        <f>(I260*0)*(1+sens.opex.unitarios)</f>
        <v>0</v>
      </c>
      <c r="T260" s="265">
        <v>0.03</v>
      </c>
      <c r="U260" s="194">
        <f>(S260*(1+T260)^$C$5)*(1+sens.opex.unitarios)</f>
        <v>0</v>
      </c>
      <c r="W260" s="328">
        <v>70</v>
      </c>
      <c r="X260" s="328">
        <v>9.3000000000000007</v>
      </c>
      <c r="Y260" s="263"/>
      <c r="Z260" s="230">
        <f>INDEX(W260:Y260,vida.util.activo.indice)</f>
        <v>9.3000000000000007</v>
      </c>
      <c r="AA260" s="230">
        <f>MAX(0,Z260-$C$5)</f>
        <v>8.3000000000000007</v>
      </c>
    </row>
    <row r="261" spans="1:31" outlineLevel="1" x14ac:dyDescent="0.2">
      <c r="C261" s="155">
        <f t="shared" ref="C261:C263" si="49">C260+1</f>
        <v>2</v>
      </c>
      <c r="D261" s="124" t="s">
        <v>195</v>
      </c>
      <c r="G261" s="155" t="str">
        <f t="shared" ref="G261:G263" si="50">D261</f>
        <v>Urbano</v>
      </c>
      <c r="I261" s="331">
        <v>272550</v>
      </c>
      <c r="J261" s="265">
        <v>0.03</v>
      </c>
      <c r="K261" s="194">
        <f>(I261*(1+J261)^$C$5)*((1+sens.capex.unitarios))</f>
        <v>280726.5</v>
      </c>
      <c r="P261" s="262">
        <v>0</v>
      </c>
      <c r="Q261" s="265">
        <v>0.03</v>
      </c>
      <c r="R261" s="194">
        <f>(P261*(1+Q261)^$C$5)*(1+sens.opex.unitarios)</f>
        <v>0</v>
      </c>
      <c r="S261" s="104">
        <f>(I261*0)*(1+sens.opex.unitarios)</f>
        <v>0</v>
      </c>
      <c r="T261" s="265">
        <v>0.03</v>
      </c>
      <c r="U261" s="194">
        <f>(S261*(1+T261)^$C$5)*(1+sens.opex.unitarios)</f>
        <v>0</v>
      </c>
      <c r="W261" s="328">
        <f>$W$260</f>
        <v>70</v>
      </c>
      <c r="X261" s="328">
        <f>$X$260</f>
        <v>9.3000000000000007</v>
      </c>
      <c r="Y261" s="263"/>
      <c r="Z261" s="230">
        <f>INDEX(W261:Y261,vida.util.activo.indice)</f>
        <v>9.3000000000000007</v>
      </c>
      <c r="AA261" s="230">
        <f t="shared" ref="AA261:AA263" si="51">MAX(0,Z261-$C$5)</f>
        <v>8.3000000000000007</v>
      </c>
    </row>
    <row r="262" spans="1:31" outlineLevel="1" x14ac:dyDescent="0.2">
      <c r="C262" s="155">
        <f t="shared" si="49"/>
        <v>3</v>
      </c>
      <c r="D262" s="124" t="s">
        <v>196</v>
      </c>
      <c r="G262" s="155" t="str">
        <f t="shared" si="50"/>
        <v>Rural</v>
      </c>
      <c r="I262" s="331">
        <v>182490</v>
      </c>
      <c r="J262" s="265">
        <v>0.03</v>
      </c>
      <c r="K262" s="194">
        <f>(I262*(1+J262)^$C$5)*((1+sens.capex.unitarios))</f>
        <v>187964.7</v>
      </c>
      <c r="P262" s="262">
        <v>0</v>
      </c>
      <c r="Q262" s="265">
        <v>0.03</v>
      </c>
      <c r="R262" s="194">
        <f>(P262*(1+Q262)^$C$5)*(1+sens.opex.unitarios)</f>
        <v>0</v>
      </c>
      <c r="S262" s="104">
        <f>(I262*0)*(1+sens.opex.unitarios)</f>
        <v>0</v>
      </c>
      <c r="T262" s="265">
        <v>0.03</v>
      </c>
      <c r="U262" s="194">
        <f>(S262*(1+T262)^$C$5)*(1+sens.opex.unitarios)</f>
        <v>0</v>
      </c>
      <c r="W262" s="328">
        <f t="shared" ref="W262:W263" si="52">$W$260</f>
        <v>70</v>
      </c>
      <c r="X262" s="328">
        <f t="shared" ref="X262:X263" si="53">$X$260</f>
        <v>9.3000000000000007</v>
      </c>
      <c r="Y262" s="263"/>
      <c r="Z262" s="230">
        <f>INDEX(W262:Y262,vida.util.activo.indice)</f>
        <v>9.3000000000000007</v>
      </c>
      <c r="AA262" s="230">
        <f t="shared" si="51"/>
        <v>8.3000000000000007</v>
      </c>
    </row>
    <row r="263" spans="1:31" x14ac:dyDescent="0.2">
      <c r="C263" s="155">
        <f t="shared" si="49"/>
        <v>4</v>
      </c>
      <c r="D263" s="124" t="s">
        <v>197</v>
      </c>
      <c r="G263" s="155" t="str">
        <f t="shared" si="50"/>
        <v>Carreteras</v>
      </c>
      <c r="I263" s="331">
        <v>282030</v>
      </c>
      <c r="J263" s="265">
        <v>0.03</v>
      </c>
      <c r="K263" s="194">
        <f>(I263*(1+J263)^$C$5)*((1+sens.capex.unitarios))</f>
        <v>290490.90000000002</v>
      </c>
      <c r="P263" s="262">
        <v>0</v>
      </c>
      <c r="Q263" s="265">
        <v>0.03</v>
      </c>
      <c r="R263" s="194">
        <f>(P263*(1+Q263)^$C$5)*(1+sens.opex.unitarios)</f>
        <v>0</v>
      </c>
      <c r="S263" s="104">
        <f>(I263*0)*(1+sens.opex.unitarios)</f>
        <v>0</v>
      </c>
      <c r="T263" s="265">
        <v>0.03</v>
      </c>
      <c r="U263" s="194">
        <f>(S263*(1+T263)^$C$5)*(1+sens.opex.unitarios)</f>
        <v>0</v>
      </c>
      <c r="W263" s="328">
        <f t="shared" si="52"/>
        <v>70</v>
      </c>
      <c r="X263" s="328">
        <f t="shared" si="53"/>
        <v>9.3000000000000007</v>
      </c>
      <c r="Y263" s="263"/>
      <c r="Z263" s="230">
        <f>INDEX(W263:Y263,vida.util.activo.indice)</f>
        <v>9.3000000000000007</v>
      </c>
      <c r="AA263" s="230">
        <f t="shared" si="51"/>
        <v>8.3000000000000007</v>
      </c>
    </row>
    <row r="264" spans="1:31" x14ac:dyDescent="0.2">
      <c r="G264" s="201" t="s">
        <v>520</v>
      </c>
      <c r="I264" s="151"/>
      <c r="K264" s="201" t="s">
        <v>508</v>
      </c>
      <c r="R264" s="201" t="s">
        <v>509</v>
      </c>
      <c r="U264" s="201" t="s">
        <v>510</v>
      </c>
      <c r="Z264" s="201" t="s">
        <v>514</v>
      </c>
      <c r="AA264" s="201" t="s">
        <v>515</v>
      </c>
    </row>
    <row r="265" spans="1:31" s="151" customFormat="1" x14ac:dyDescent="0.2">
      <c r="G265" s="155"/>
      <c r="I265" s="155"/>
      <c r="P265" s="269"/>
      <c r="S265" s="155"/>
      <c r="Z265" s="155"/>
      <c r="AA265" s="155"/>
    </row>
    <row r="266" spans="1:31" s="151" customFormat="1" x14ac:dyDescent="0.2">
      <c r="A266" s="144">
        <v>4</v>
      </c>
      <c r="B266" s="160" t="str">
        <f>INDEX(lista.activos,$A266)</f>
        <v>Caseta (shelter) CSs</v>
      </c>
      <c r="C266" s="160"/>
      <c r="D266" s="160"/>
      <c r="E266" s="160"/>
      <c r="F266" s="160"/>
      <c r="G266" s="160"/>
      <c r="H266" s="160"/>
      <c r="I266" s="160"/>
      <c r="J266" s="160"/>
      <c r="K266" s="160"/>
      <c r="L266" s="160"/>
      <c r="M266" s="160"/>
      <c r="N266" s="160"/>
      <c r="O266" s="160"/>
      <c r="P266" s="250"/>
      <c r="Q266" s="160"/>
      <c r="R266" s="160"/>
      <c r="S266" s="160"/>
      <c r="T266" s="160"/>
      <c r="U266" s="160"/>
      <c r="V266" s="160"/>
      <c r="W266" s="160"/>
      <c r="X266" s="160"/>
      <c r="Y266" s="160"/>
      <c r="Z266" s="160"/>
      <c r="AA266" s="160"/>
      <c r="AB266" s="160"/>
      <c r="AC266" s="160"/>
    </row>
    <row r="267" spans="1:31" s="151" customFormat="1" ht="48" x14ac:dyDescent="0.2">
      <c r="D267" s="161" t="s">
        <v>152</v>
      </c>
      <c r="I267" s="161" t="s">
        <v>758</v>
      </c>
      <c r="J267" s="161" t="s">
        <v>251</v>
      </c>
      <c r="K267" s="161" t="s">
        <v>759</v>
      </c>
      <c r="P267" s="261" t="s">
        <v>760</v>
      </c>
      <c r="Q267" s="161" t="s">
        <v>251</v>
      </c>
      <c r="R267" s="161" t="s">
        <v>761</v>
      </c>
      <c r="S267" s="161" t="s">
        <v>255</v>
      </c>
      <c r="T267" s="161" t="s">
        <v>251</v>
      </c>
      <c r="U267" s="161" t="s">
        <v>642</v>
      </c>
      <c r="W267" s="161" t="s">
        <v>919</v>
      </c>
      <c r="X267" s="161" t="s">
        <v>920</v>
      </c>
      <c r="Y267" s="161" t="s">
        <v>933</v>
      </c>
      <c r="Z267" s="161" t="s">
        <v>918</v>
      </c>
      <c r="AA267" s="161" t="s">
        <v>501</v>
      </c>
      <c r="AE267" s="154"/>
    </row>
    <row r="268" spans="1:31" s="151" customFormat="1" x14ac:dyDescent="0.2">
      <c r="C268" s="155">
        <v>1</v>
      </c>
      <c r="D268" s="124" t="s">
        <v>193</v>
      </c>
      <c r="G268" s="155" t="str">
        <f>D268</f>
        <v>Distrito Federal</v>
      </c>
      <c r="I268" s="331">
        <f>I260</f>
        <v>210930</v>
      </c>
      <c r="J268" s="216">
        <f>J260</f>
        <v>0.03</v>
      </c>
      <c r="K268" s="200">
        <f>I268*(1+J268)^$C$5</f>
        <v>217257.9</v>
      </c>
      <c r="P268" s="229">
        <f t="shared" ref="P268:U268" si="54">P260</f>
        <v>0</v>
      </c>
      <c r="Q268" s="215">
        <f t="shared" si="54"/>
        <v>0.03</v>
      </c>
      <c r="R268" s="200">
        <f t="shared" si="54"/>
        <v>0</v>
      </c>
      <c r="S268" s="217">
        <f t="shared" si="54"/>
        <v>0</v>
      </c>
      <c r="T268" s="215">
        <f t="shared" si="54"/>
        <v>0.03</v>
      </c>
      <c r="U268" s="200">
        <f t="shared" si="54"/>
        <v>0</v>
      </c>
      <c r="W268" s="328">
        <f>W260</f>
        <v>70</v>
      </c>
      <c r="X268" s="328">
        <f>X260</f>
        <v>9.3000000000000007</v>
      </c>
      <c r="Y268" s="263"/>
      <c r="Z268" s="230">
        <f>INDEX(W268:Y268,vida.util.activo.indice)</f>
        <v>9.3000000000000007</v>
      </c>
      <c r="AA268" s="229">
        <f>AA260</f>
        <v>8.3000000000000007</v>
      </c>
    </row>
    <row r="269" spans="1:31" s="151" customFormat="1" x14ac:dyDescent="0.2">
      <c r="C269" s="155">
        <f t="shared" ref="C269:C271" si="55">C268+1</f>
        <v>2</v>
      </c>
      <c r="D269" s="124" t="s">
        <v>195</v>
      </c>
      <c r="G269" s="155" t="str">
        <f t="shared" ref="G269:G271" si="56">D269</f>
        <v>Urbano</v>
      </c>
      <c r="I269" s="331">
        <f t="shared" ref="I269:J271" si="57">I261</f>
        <v>272550</v>
      </c>
      <c r="J269" s="216">
        <f t="shared" si="57"/>
        <v>0.03</v>
      </c>
      <c r="K269" s="200">
        <f t="shared" ref="K269:K271" si="58">I269*(1+J269)^$C$5</f>
        <v>280726.5</v>
      </c>
      <c r="P269" s="229">
        <f t="shared" ref="P269:U271" si="59">P261</f>
        <v>0</v>
      </c>
      <c r="Q269" s="215">
        <f t="shared" si="59"/>
        <v>0.03</v>
      </c>
      <c r="R269" s="200">
        <f t="shared" si="59"/>
        <v>0</v>
      </c>
      <c r="S269" s="217">
        <f t="shared" si="59"/>
        <v>0</v>
      </c>
      <c r="T269" s="215">
        <f t="shared" si="59"/>
        <v>0.03</v>
      </c>
      <c r="U269" s="200">
        <f t="shared" si="59"/>
        <v>0</v>
      </c>
      <c r="W269" s="328">
        <f t="shared" ref="W269:X269" si="60">W261</f>
        <v>70</v>
      </c>
      <c r="X269" s="328">
        <f t="shared" si="60"/>
        <v>9.3000000000000007</v>
      </c>
      <c r="Y269" s="263"/>
      <c r="Z269" s="230">
        <f>INDEX(W269:Y269,vida.util.activo.indice)</f>
        <v>9.3000000000000007</v>
      </c>
      <c r="AA269" s="229">
        <f t="shared" ref="AA269" si="61">AA261</f>
        <v>8.3000000000000007</v>
      </c>
    </row>
    <row r="270" spans="1:31" s="151" customFormat="1" x14ac:dyDescent="0.2">
      <c r="C270" s="155">
        <f t="shared" si="55"/>
        <v>3</v>
      </c>
      <c r="D270" s="124" t="s">
        <v>196</v>
      </c>
      <c r="G270" s="155" t="str">
        <f t="shared" si="56"/>
        <v>Rural</v>
      </c>
      <c r="I270" s="331">
        <f t="shared" si="57"/>
        <v>182490</v>
      </c>
      <c r="J270" s="216">
        <f t="shared" si="57"/>
        <v>0.03</v>
      </c>
      <c r="K270" s="200">
        <f t="shared" si="58"/>
        <v>187964.7</v>
      </c>
      <c r="P270" s="229">
        <f t="shared" si="59"/>
        <v>0</v>
      </c>
      <c r="Q270" s="215">
        <f t="shared" si="59"/>
        <v>0.03</v>
      </c>
      <c r="R270" s="200">
        <f t="shared" si="59"/>
        <v>0</v>
      </c>
      <c r="S270" s="217">
        <f t="shared" si="59"/>
        <v>0</v>
      </c>
      <c r="T270" s="215">
        <f t="shared" si="59"/>
        <v>0.03</v>
      </c>
      <c r="U270" s="200">
        <f t="shared" si="59"/>
        <v>0</v>
      </c>
      <c r="W270" s="328">
        <f t="shared" ref="W270:X270" si="62">W262</f>
        <v>70</v>
      </c>
      <c r="X270" s="328">
        <f t="shared" si="62"/>
        <v>9.3000000000000007</v>
      </c>
      <c r="Y270" s="263"/>
      <c r="Z270" s="230">
        <f>INDEX(W270:Y270,vida.util.activo.indice)</f>
        <v>9.3000000000000007</v>
      </c>
      <c r="AA270" s="229">
        <f t="shared" ref="AA270" si="63">AA262</f>
        <v>8.3000000000000007</v>
      </c>
    </row>
    <row r="271" spans="1:31" s="151" customFormat="1" x14ac:dyDescent="0.2">
      <c r="C271" s="155">
        <f t="shared" si="55"/>
        <v>4</v>
      </c>
      <c r="D271" s="124" t="s">
        <v>197</v>
      </c>
      <c r="G271" s="155" t="str">
        <f t="shared" si="56"/>
        <v>Carreteras</v>
      </c>
      <c r="I271" s="331">
        <f t="shared" si="57"/>
        <v>282030</v>
      </c>
      <c r="J271" s="216">
        <f t="shared" si="57"/>
        <v>0.03</v>
      </c>
      <c r="K271" s="200">
        <f t="shared" si="58"/>
        <v>290490.90000000002</v>
      </c>
      <c r="P271" s="229">
        <f t="shared" si="59"/>
        <v>0</v>
      </c>
      <c r="Q271" s="215">
        <f t="shared" si="59"/>
        <v>0.03</v>
      </c>
      <c r="R271" s="200">
        <f t="shared" si="59"/>
        <v>0</v>
      </c>
      <c r="S271" s="217">
        <f t="shared" si="59"/>
        <v>0</v>
      </c>
      <c r="T271" s="215">
        <f t="shared" si="59"/>
        <v>0.03</v>
      </c>
      <c r="U271" s="200">
        <f t="shared" si="59"/>
        <v>0</v>
      </c>
      <c r="W271" s="328">
        <f t="shared" ref="W271:X271" si="64">W263</f>
        <v>70</v>
      </c>
      <c r="X271" s="328">
        <f t="shared" si="64"/>
        <v>9.3000000000000007</v>
      </c>
      <c r="Y271" s="263"/>
      <c r="Z271" s="230">
        <f>INDEX(W271:Y271,vida.util.activo.indice)</f>
        <v>9.3000000000000007</v>
      </c>
      <c r="AA271" s="229">
        <f t="shared" ref="AA271" si="65">AA263</f>
        <v>8.3000000000000007</v>
      </c>
    </row>
    <row r="272" spans="1:31" s="151" customFormat="1" x14ac:dyDescent="0.2">
      <c r="G272" s="201" t="s">
        <v>762</v>
      </c>
      <c r="I272" s="155"/>
      <c r="K272" s="201" t="s">
        <v>543</v>
      </c>
      <c r="P272" s="269"/>
      <c r="R272" s="201" t="s">
        <v>544</v>
      </c>
      <c r="S272" s="155"/>
      <c r="U272" s="201" t="s">
        <v>545</v>
      </c>
      <c r="Z272" s="201" t="s">
        <v>541</v>
      </c>
      <c r="AA272" s="201" t="s">
        <v>542</v>
      </c>
    </row>
    <row r="273" spans="1:29" s="151" customFormat="1" x14ac:dyDescent="0.2">
      <c r="G273" s="155"/>
      <c r="I273" s="155"/>
      <c r="P273" s="269"/>
      <c r="S273" s="155"/>
      <c r="Z273" s="155"/>
      <c r="AA273" s="155"/>
    </row>
    <row r="274" spans="1:29" s="151" customFormat="1" x14ac:dyDescent="0.2">
      <c r="A274" s="144">
        <v>5</v>
      </c>
      <c r="B274" s="160" t="str">
        <f>INDEX(lista.activos,$A274)</f>
        <v>Plancha de concreto - Equipos outdoor (BTS/BBS)</v>
      </c>
      <c r="C274" s="160"/>
      <c r="D274" s="160"/>
      <c r="E274" s="160"/>
      <c r="F274" s="160"/>
      <c r="G274" s="160"/>
      <c r="H274" s="160"/>
      <c r="I274" s="160"/>
      <c r="J274" s="160"/>
      <c r="K274" s="160"/>
      <c r="L274" s="160"/>
      <c r="M274" s="160"/>
      <c r="N274" s="160"/>
      <c r="O274" s="160"/>
      <c r="P274" s="250"/>
      <c r="Q274" s="160"/>
      <c r="R274" s="160"/>
      <c r="S274" s="160"/>
      <c r="T274" s="160"/>
      <c r="U274" s="160"/>
      <c r="V274" s="160"/>
      <c r="W274" s="160"/>
      <c r="X274" s="160"/>
      <c r="Y274" s="160"/>
      <c r="Z274" s="160"/>
      <c r="AA274" s="160"/>
      <c r="AB274" s="160"/>
      <c r="AC274" s="160"/>
    </row>
    <row r="275" spans="1:29" s="151" customFormat="1" ht="36" x14ac:dyDescent="0.2">
      <c r="G275" s="155"/>
      <c r="I275" s="161" t="s">
        <v>1013</v>
      </c>
      <c r="J275" s="161" t="s">
        <v>251</v>
      </c>
      <c r="K275" s="161" t="s">
        <v>759</v>
      </c>
      <c r="P275" s="261" t="s">
        <v>255</v>
      </c>
      <c r="Q275" s="161" t="s">
        <v>251</v>
      </c>
      <c r="R275" s="161" t="s">
        <v>254</v>
      </c>
      <c r="S275" s="161" t="s">
        <v>642</v>
      </c>
      <c r="W275" s="161" t="s">
        <v>919</v>
      </c>
      <c r="X275" s="161" t="s">
        <v>920</v>
      </c>
      <c r="Y275" s="161" t="s">
        <v>933</v>
      </c>
      <c r="Z275" s="161" t="s">
        <v>918</v>
      </c>
      <c r="AA275" s="161" t="s">
        <v>501</v>
      </c>
    </row>
    <row r="276" spans="1:29" s="151" customFormat="1" x14ac:dyDescent="0.2">
      <c r="D276" s="151" t="s">
        <v>763</v>
      </c>
      <c r="G276" s="155"/>
      <c r="I276" s="323">
        <v>8077.2</v>
      </c>
      <c r="J276" s="265">
        <v>0.03</v>
      </c>
      <c r="K276" s="194">
        <f>(I276*(1+J276)^$C$5)*((1+sens.capex.unitarios))</f>
        <v>8319.5159999999996</v>
      </c>
      <c r="P276" s="230">
        <f>I276*R276</f>
        <v>80.772000000000006</v>
      </c>
      <c r="Q276" s="267">
        <v>0</v>
      </c>
      <c r="R276" s="266">
        <v>0.01</v>
      </c>
      <c r="S276" s="194">
        <f>(P276*(1+Q276)^$C$5)*(1+sens.opex.unitarios)</f>
        <v>80.772000000000006</v>
      </c>
      <c r="W276" s="153">
        <v>70</v>
      </c>
      <c r="X276" s="153">
        <v>20</v>
      </c>
      <c r="Y276" s="263"/>
      <c r="Z276" s="230">
        <f>INDEX(W276:Y276,vida.util.activo.indice)</f>
        <v>20</v>
      </c>
      <c r="AA276" s="104">
        <f>MAX(0,Z276-$C$5)</f>
        <v>19</v>
      </c>
    </row>
    <row r="277" spans="1:29" s="151" customFormat="1" x14ac:dyDescent="0.2">
      <c r="G277" s="155"/>
      <c r="K277" s="201" t="s">
        <v>764</v>
      </c>
      <c r="P277" s="269"/>
      <c r="S277" s="201" t="s">
        <v>765</v>
      </c>
      <c r="Z277" s="201" t="s">
        <v>766</v>
      </c>
      <c r="AA277" s="201" t="s">
        <v>767</v>
      </c>
    </row>
    <row r="278" spans="1:29" s="151" customFormat="1" x14ac:dyDescent="0.2">
      <c r="G278" s="155"/>
      <c r="P278" s="269"/>
      <c r="S278" s="155"/>
      <c r="Z278" s="155"/>
      <c r="AA278" s="155"/>
    </row>
    <row r="279" spans="1:29" s="151" customFormat="1" x14ac:dyDescent="0.2">
      <c r="A279" s="144">
        <v>6</v>
      </c>
      <c r="B279" s="160" t="str">
        <f>INDEX(lista.activos,$A279)</f>
        <v>Nicho de acometida - Panel de energia principal</v>
      </c>
      <c r="C279" s="160"/>
      <c r="D279" s="160"/>
      <c r="E279" s="160"/>
      <c r="F279" s="160"/>
      <c r="G279" s="160"/>
      <c r="H279" s="160"/>
      <c r="I279" s="160"/>
      <c r="J279" s="160"/>
      <c r="K279" s="160"/>
      <c r="L279" s="160"/>
      <c r="M279" s="160"/>
      <c r="N279" s="160"/>
      <c r="O279" s="160"/>
      <c r="P279" s="250"/>
      <c r="Q279" s="160"/>
      <c r="R279" s="160"/>
      <c r="S279" s="160"/>
      <c r="T279" s="160"/>
      <c r="U279" s="160"/>
      <c r="V279" s="160"/>
      <c r="W279" s="160"/>
      <c r="X279" s="160"/>
      <c r="Y279" s="160"/>
      <c r="Z279" s="160"/>
      <c r="AA279" s="160"/>
      <c r="AB279" s="160"/>
      <c r="AC279" s="160"/>
    </row>
    <row r="280" spans="1:29" s="151" customFormat="1" ht="36" x14ac:dyDescent="0.2">
      <c r="D280" s="154"/>
      <c r="I280" s="161" t="s">
        <v>768</v>
      </c>
      <c r="J280" s="161" t="s">
        <v>251</v>
      </c>
      <c r="K280" s="161" t="s">
        <v>759</v>
      </c>
      <c r="P280" s="261" t="s">
        <v>255</v>
      </c>
      <c r="Q280" s="161" t="s">
        <v>251</v>
      </c>
      <c r="R280" s="161" t="s">
        <v>254</v>
      </c>
      <c r="S280" s="161" t="s">
        <v>642</v>
      </c>
      <c r="W280" s="161" t="s">
        <v>919</v>
      </c>
      <c r="X280" s="161" t="s">
        <v>920</v>
      </c>
      <c r="Y280" s="161" t="s">
        <v>933</v>
      </c>
      <c r="Z280" s="161" t="s">
        <v>918</v>
      </c>
      <c r="AA280" s="161" t="s">
        <v>501</v>
      </c>
    </row>
    <row r="281" spans="1:29" s="151" customFormat="1" x14ac:dyDescent="0.2">
      <c r="D281" s="151" t="s">
        <v>521</v>
      </c>
      <c r="I281" s="214">
        <v>0</v>
      </c>
      <c r="J281" s="265">
        <v>0.03</v>
      </c>
      <c r="K281" s="194">
        <f>(I281*(1+J281)^$C$5)*((1+sens.capex.unitarios))</f>
        <v>0</v>
      </c>
      <c r="P281" s="230">
        <f>I281*R281</f>
        <v>0</v>
      </c>
      <c r="Q281" s="265">
        <v>0.03</v>
      </c>
      <c r="R281" s="265">
        <v>0.05</v>
      </c>
      <c r="S281" s="194">
        <f>(P281*(1+Q281)^$C$5)*(1+sens.opex.unitarios)</f>
        <v>0</v>
      </c>
      <c r="W281" s="153">
        <v>70</v>
      </c>
      <c r="X281" s="153">
        <v>20</v>
      </c>
      <c r="Y281" s="263"/>
      <c r="Z281" s="230">
        <f>INDEX(W281:Y281,vida.util.activo.indice)</f>
        <v>20</v>
      </c>
      <c r="AA281" s="104">
        <f>MAX(0,Z281-$C$5)</f>
        <v>19</v>
      </c>
    </row>
    <row r="282" spans="1:29" s="151" customFormat="1" x14ac:dyDescent="0.2">
      <c r="K282" s="201" t="s">
        <v>546</v>
      </c>
      <c r="P282" s="3"/>
      <c r="S282" s="201" t="s">
        <v>547</v>
      </c>
      <c r="Z282" s="201" t="s">
        <v>522</v>
      </c>
      <c r="AA282" s="201" t="s">
        <v>523</v>
      </c>
    </row>
    <row r="283" spans="1:29" s="151" customFormat="1" x14ac:dyDescent="0.2">
      <c r="P283" s="3"/>
      <c r="Z283" s="201"/>
      <c r="AA283" s="201"/>
    </row>
    <row r="284" spans="1:29" s="151" customFormat="1" x14ac:dyDescent="0.2">
      <c r="A284" s="144">
        <v>7</v>
      </c>
      <c r="B284" s="160" t="str">
        <f>INDEX(lista.activos,$A284)</f>
        <v>Nicho de acometida - Panel de distribuición de energia</v>
      </c>
      <c r="C284" s="160"/>
      <c r="D284" s="160"/>
      <c r="E284" s="160"/>
      <c r="F284" s="160"/>
      <c r="G284" s="160"/>
      <c r="H284" s="160"/>
      <c r="I284" s="160"/>
      <c r="J284" s="160"/>
      <c r="K284" s="160"/>
      <c r="L284" s="160"/>
      <c r="M284" s="160"/>
      <c r="N284" s="160"/>
      <c r="O284" s="160"/>
      <c r="P284" s="250"/>
      <c r="Q284" s="160"/>
      <c r="R284" s="160"/>
      <c r="S284" s="160"/>
      <c r="T284" s="160"/>
      <c r="U284" s="160"/>
      <c r="V284" s="160"/>
      <c r="W284" s="160"/>
      <c r="X284" s="160"/>
      <c r="Y284" s="160"/>
      <c r="Z284" s="160"/>
      <c r="AA284" s="160"/>
      <c r="AB284" s="160"/>
      <c r="AC284" s="160"/>
    </row>
    <row r="285" spans="1:29" s="151" customFormat="1" ht="36" x14ac:dyDescent="0.2">
      <c r="I285" s="161" t="s">
        <v>768</v>
      </c>
      <c r="J285" s="161" t="s">
        <v>251</v>
      </c>
      <c r="K285" s="161" t="s">
        <v>759</v>
      </c>
      <c r="P285" s="261" t="s">
        <v>255</v>
      </c>
      <c r="Q285" s="161" t="s">
        <v>251</v>
      </c>
      <c r="R285" s="161" t="s">
        <v>254</v>
      </c>
      <c r="S285" s="161" t="s">
        <v>642</v>
      </c>
      <c r="W285" s="161" t="s">
        <v>919</v>
      </c>
      <c r="X285" s="161" t="s">
        <v>920</v>
      </c>
      <c r="Y285" s="161" t="s">
        <v>933</v>
      </c>
      <c r="Z285" s="161" t="s">
        <v>918</v>
      </c>
      <c r="AA285" s="161" t="s">
        <v>501</v>
      </c>
    </row>
    <row r="286" spans="1:29" s="151" customFormat="1" x14ac:dyDescent="0.2">
      <c r="D286" s="151" t="s">
        <v>524</v>
      </c>
      <c r="I286" s="214">
        <v>0</v>
      </c>
      <c r="J286" s="265">
        <v>0.03</v>
      </c>
      <c r="K286" s="194">
        <f>(I286*(1+J286)^$C$5)*((1+sens.capex.unitarios))</f>
        <v>0</v>
      </c>
      <c r="P286" s="230">
        <f>I286*R286</f>
        <v>0</v>
      </c>
      <c r="Q286" s="267">
        <v>0</v>
      </c>
      <c r="R286" s="266">
        <v>0.05</v>
      </c>
      <c r="S286" s="194">
        <f>(P286*(1+Q286)^$C$5)*(1+sens.opex.unitarios)</f>
        <v>0</v>
      </c>
      <c r="W286" s="153">
        <v>70</v>
      </c>
      <c r="X286" s="153">
        <v>20</v>
      </c>
      <c r="Y286" s="263"/>
      <c r="Z286" s="230">
        <f>INDEX(W286:Y286,vida.util.activo.indice)</f>
        <v>20</v>
      </c>
      <c r="AA286" s="104">
        <f>MAX(0,Z286-$C$5)</f>
        <v>19</v>
      </c>
    </row>
    <row r="287" spans="1:29" s="151" customFormat="1" x14ac:dyDescent="0.2">
      <c r="K287" s="201" t="s">
        <v>548</v>
      </c>
      <c r="P287" s="3"/>
      <c r="S287" s="201" t="s">
        <v>549</v>
      </c>
      <c r="Z287" s="201" t="s">
        <v>539</v>
      </c>
      <c r="AA287" s="201" t="s">
        <v>540</v>
      </c>
    </row>
    <row r="288" spans="1:29" s="151" customFormat="1" x14ac:dyDescent="0.2">
      <c r="P288" s="3"/>
    </row>
    <row r="289" spans="1:29" s="151" customFormat="1" x14ac:dyDescent="0.2">
      <c r="A289" s="146" t="s">
        <v>310</v>
      </c>
      <c r="B289" s="143"/>
      <c r="C289" s="143"/>
      <c r="D289" s="143"/>
      <c r="E289" s="143"/>
      <c r="F289" s="143"/>
      <c r="G289" s="143"/>
      <c r="H289" s="143"/>
      <c r="I289" s="143"/>
      <c r="J289" s="143"/>
      <c r="K289" s="143"/>
      <c r="L289" s="143"/>
      <c r="M289" s="143"/>
      <c r="N289" s="143"/>
      <c r="O289" s="143"/>
      <c r="P289" s="249"/>
      <c r="Q289" s="143"/>
      <c r="R289" s="143"/>
      <c r="S289" s="143"/>
      <c r="T289" s="143"/>
      <c r="U289" s="143"/>
      <c r="V289" s="143"/>
      <c r="W289" s="143"/>
      <c r="X289" s="143"/>
      <c r="Y289" s="143"/>
      <c r="Z289" s="143"/>
      <c r="AA289" s="143"/>
      <c r="AB289" s="143"/>
      <c r="AC289" s="143"/>
    </row>
    <row r="290" spans="1:29" s="151" customFormat="1" x14ac:dyDescent="0.2">
      <c r="A290" s="144">
        <v>8</v>
      </c>
      <c r="B290" s="160" t="str">
        <f>INDEX(lista.activos,$A290)</f>
        <v>Fuente de energía de respaldo</v>
      </c>
      <c r="C290" s="160"/>
      <c r="D290" s="160"/>
      <c r="E290" s="160"/>
      <c r="F290" s="160"/>
      <c r="G290" s="160"/>
      <c r="H290" s="160"/>
      <c r="I290" s="160"/>
      <c r="J290" s="160"/>
      <c r="K290" s="160"/>
      <c r="L290" s="160"/>
      <c r="M290" s="160"/>
      <c r="N290" s="160"/>
      <c r="O290" s="160"/>
      <c r="P290" s="250"/>
      <c r="Q290" s="160"/>
      <c r="R290" s="160"/>
      <c r="S290" s="160"/>
      <c r="T290" s="160"/>
      <c r="U290" s="160"/>
      <c r="V290" s="160"/>
      <c r="W290" s="160"/>
      <c r="X290" s="160"/>
      <c r="Y290" s="160"/>
      <c r="Z290" s="160"/>
      <c r="AA290" s="160"/>
      <c r="AB290" s="160"/>
      <c r="AC290" s="160"/>
    </row>
    <row r="291" spans="1:29" s="151" customFormat="1" ht="36" x14ac:dyDescent="0.2">
      <c r="I291" s="161" t="s">
        <v>921</v>
      </c>
      <c r="J291" s="161" t="s">
        <v>251</v>
      </c>
      <c r="K291" s="161" t="s">
        <v>903</v>
      </c>
      <c r="P291" s="261" t="s">
        <v>255</v>
      </c>
      <c r="Q291" s="161" t="s">
        <v>251</v>
      </c>
      <c r="R291" s="161" t="s">
        <v>254</v>
      </c>
      <c r="S291" s="161" t="s">
        <v>642</v>
      </c>
      <c r="W291" s="161" t="s">
        <v>919</v>
      </c>
      <c r="X291" s="161" t="s">
        <v>920</v>
      </c>
      <c r="Y291" s="161" t="s">
        <v>933</v>
      </c>
      <c r="Z291" s="161" t="s">
        <v>918</v>
      </c>
      <c r="AA291" s="161" t="s">
        <v>501</v>
      </c>
    </row>
    <row r="292" spans="1:29" s="151" customFormat="1" x14ac:dyDescent="0.2">
      <c r="D292" s="151" t="s">
        <v>244</v>
      </c>
      <c r="I292" s="323">
        <v>257500</v>
      </c>
      <c r="J292" s="265">
        <v>-0.02</v>
      </c>
      <c r="K292" s="194">
        <f>(I292*(1+J292)^$C$5)*((1+sens.capex.unitarios))</f>
        <v>252350</v>
      </c>
      <c r="P292" s="230">
        <f>I292*R292</f>
        <v>12875</v>
      </c>
      <c r="Q292" s="265">
        <v>0.03</v>
      </c>
      <c r="R292" s="265">
        <v>0.05</v>
      </c>
      <c r="S292" s="194">
        <f>(P292*(1+Q292)^$C$5)*(1+sens.opex.unitarios)</f>
        <v>13261.25</v>
      </c>
      <c r="W292" s="153">
        <v>12</v>
      </c>
      <c r="X292" s="328">
        <v>7.3</v>
      </c>
      <c r="Y292" s="263"/>
      <c r="Z292" s="230">
        <f>INDEX(W292:Y292,vida.util.activo.indice)</f>
        <v>7.3</v>
      </c>
      <c r="AA292" s="104">
        <f>MAX(0,Z292-$C$5)</f>
        <v>6.3</v>
      </c>
    </row>
    <row r="293" spans="1:29" s="151" customFormat="1" x14ac:dyDescent="0.2">
      <c r="K293" s="201" t="s">
        <v>532</v>
      </c>
      <c r="P293" s="3"/>
      <c r="S293" s="201" t="s">
        <v>550</v>
      </c>
      <c r="Z293" s="201" t="s">
        <v>526</v>
      </c>
      <c r="AA293" s="201" t="s">
        <v>527</v>
      </c>
    </row>
    <row r="294" spans="1:29" s="151" customFormat="1" x14ac:dyDescent="0.2">
      <c r="P294" s="3"/>
    </row>
    <row r="295" spans="1:29" s="151" customFormat="1" x14ac:dyDescent="0.2">
      <c r="A295" s="144">
        <v>9</v>
      </c>
      <c r="B295" s="160" t="str">
        <f>INDEX(lista.activos,$A295)</f>
        <v>Aire acondicionado</v>
      </c>
      <c r="C295" s="160"/>
      <c r="D295" s="160"/>
      <c r="E295" s="160"/>
      <c r="F295" s="160"/>
      <c r="G295" s="160"/>
      <c r="H295" s="160"/>
      <c r="I295" s="160"/>
      <c r="J295" s="160"/>
      <c r="K295" s="160"/>
      <c r="L295" s="160"/>
      <c r="M295" s="160"/>
      <c r="N295" s="160"/>
      <c r="O295" s="160"/>
      <c r="P295" s="250"/>
      <c r="Q295" s="160"/>
      <c r="R295" s="160"/>
      <c r="S295" s="160"/>
      <c r="T295" s="160"/>
      <c r="U295" s="160"/>
      <c r="V295" s="160"/>
      <c r="W295" s="160"/>
      <c r="X295" s="160"/>
      <c r="Y295" s="160"/>
      <c r="Z295" s="160"/>
      <c r="AA295" s="160"/>
      <c r="AB295" s="160"/>
      <c r="AC295" s="160"/>
    </row>
    <row r="296" spans="1:29" ht="36" x14ac:dyDescent="0.2">
      <c r="D296" s="154"/>
      <c r="E296" s="151"/>
      <c r="F296" s="151"/>
      <c r="H296" s="151"/>
      <c r="I296" s="161" t="s">
        <v>492</v>
      </c>
      <c r="J296" s="161" t="s">
        <v>251</v>
      </c>
      <c r="K296" s="161" t="s">
        <v>639</v>
      </c>
      <c r="L296" s="151"/>
      <c r="M296" s="151"/>
      <c r="O296" s="151"/>
      <c r="P296" s="261" t="s">
        <v>255</v>
      </c>
      <c r="Q296" s="161" t="s">
        <v>251</v>
      </c>
      <c r="R296" s="161" t="s">
        <v>254</v>
      </c>
      <c r="S296" s="161" t="s">
        <v>642</v>
      </c>
      <c r="W296" s="161" t="s">
        <v>919</v>
      </c>
      <c r="X296" s="161" t="s">
        <v>920</v>
      </c>
      <c r="Y296" s="161" t="s">
        <v>933</v>
      </c>
      <c r="Z296" s="161" t="s">
        <v>918</v>
      </c>
      <c r="AA296" s="161" t="s">
        <v>501</v>
      </c>
    </row>
    <row r="297" spans="1:29" x14ac:dyDescent="0.2">
      <c r="A297" s="151"/>
      <c r="D297" s="151" t="s">
        <v>256</v>
      </c>
      <c r="E297" s="151"/>
      <c r="F297" s="151"/>
      <c r="H297" s="151"/>
      <c r="I297" s="323">
        <v>10350</v>
      </c>
      <c r="J297" s="265">
        <v>-0.02</v>
      </c>
      <c r="K297" s="194">
        <f>(I297*(1+J297)^$C$5)*((1+sens.capex.unitarios))</f>
        <v>10143</v>
      </c>
      <c r="L297" s="151"/>
      <c r="M297" s="151"/>
      <c r="O297" s="151"/>
      <c r="P297" s="230">
        <f>I297*R297</f>
        <v>1035</v>
      </c>
      <c r="Q297" s="265">
        <v>0.03</v>
      </c>
      <c r="R297" s="265">
        <v>0.1</v>
      </c>
      <c r="S297" s="194">
        <f>(P297*(1+Q297)^$C$5)*(1+sens.opex.unitarios)</f>
        <v>1066.05</v>
      </c>
      <c r="W297" s="153">
        <v>10</v>
      </c>
      <c r="X297" s="328">
        <v>12.7</v>
      </c>
      <c r="Y297" s="263"/>
      <c r="Z297" s="230">
        <f>INDEX(W297:Y297,vida.util.activo.indice)</f>
        <v>12.7</v>
      </c>
      <c r="AA297" s="104">
        <f>MAX(0,Z297-$C$5)</f>
        <v>11.7</v>
      </c>
    </row>
    <row r="298" spans="1:29" x14ac:dyDescent="0.2">
      <c r="I298" s="151"/>
      <c r="K298" s="201" t="s">
        <v>533</v>
      </c>
      <c r="S298" s="201" t="s">
        <v>551</v>
      </c>
      <c r="Z298" s="201" t="s">
        <v>530</v>
      </c>
      <c r="AA298" s="201" t="s">
        <v>531</v>
      </c>
    </row>
    <row r="299" spans="1:29" ht="24" x14ac:dyDescent="0.2">
      <c r="I299" s="151"/>
      <c r="P299" s="261" t="s">
        <v>939</v>
      </c>
      <c r="Q299" s="161" t="s">
        <v>251</v>
      </c>
      <c r="S299" s="161" t="s">
        <v>940</v>
      </c>
    </row>
    <row r="300" spans="1:29" x14ac:dyDescent="0.2">
      <c r="D300" s="126" t="s">
        <v>938</v>
      </c>
      <c r="P300" s="333">
        <v>0.90999999999999992</v>
      </c>
      <c r="Q300" s="265">
        <v>0.03</v>
      </c>
      <c r="S300" s="241">
        <f>(P300*(1+Q300)^$C$5)*(1+sens.opex.unitarios)</f>
        <v>0.93729999999999991</v>
      </c>
    </row>
    <row r="301" spans="1:29" x14ac:dyDescent="0.2">
      <c r="P301" s="151"/>
      <c r="Q301" s="151"/>
      <c r="S301" s="201" t="s">
        <v>941</v>
      </c>
    </row>
  </sheetData>
  <dataValidations disablePrompts="1" count="3">
    <dataValidation type="list" allowBlank="1" showInputMessage="1" showErrorMessage="1" sqref="D11:D42">
      <formula1>tipo.ubicacion</formula1>
    </dataValidation>
    <dataValidation type="list" allowBlank="1" showInputMessage="1" showErrorMessage="1" sqref="E11:E42">
      <formula1>propiedad.predio</formula1>
    </dataValidation>
    <dataValidation type="list" allowBlank="1" showInputMessage="1" showErrorMessage="1" sqref="D260:D263 F11:F42 D268:D271">
      <formula1>geotipo</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ignoredErrors>
    <ignoredError sqref="X48:X246 I268:I271 X261:X263 X12:X42 W48 W49:W246 W261:W263 X268:X271 W12:W42" unlockedFormula="1"/>
    <ignoredError sqref="K15:K18 R15:R18" formula="1"/>
    <ignoredError sqref="L15:L18" formula="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295"/>
  <sheetViews>
    <sheetView showGridLines="0" defaultGridColor="0" colorId="22" zoomScale="80" zoomScaleNormal="80" workbookViewId="0">
      <pane ySplit="3" topLeftCell="A4" activePane="bottomLeft" state="frozen"/>
      <selection pane="bottomLeft"/>
    </sheetView>
  </sheetViews>
  <sheetFormatPr baseColWidth="10" defaultColWidth="12.7109375" defaultRowHeight="12" x14ac:dyDescent="0.2"/>
  <cols>
    <col min="1" max="1" width="6.7109375" style="118" customWidth="1"/>
    <col min="2" max="2" width="9.140625" style="118" customWidth="1"/>
    <col min="3" max="3" width="7.42578125" style="118" customWidth="1"/>
    <col min="4" max="4" width="58.7109375" style="118" customWidth="1"/>
    <col min="5" max="5" width="15.28515625" style="118" customWidth="1"/>
    <col min="6" max="6" width="12.7109375" style="118"/>
    <col min="7" max="7" width="52.85546875" style="118" bestFit="1" customWidth="1"/>
    <col min="8" max="16384" width="12.7109375" style="118"/>
  </cols>
  <sheetData>
    <row r="1" spans="1:19" s="120" customFormat="1" ht="33.75" customHeight="1" x14ac:dyDescent="0.2">
      <c r="D1" s="121" t="s">
        <v>207</v>
      </c>
      <c r="L1" s="120" t="s">
        <v>114</v>
      </c>
    </row>
    <row r="3" spans="1:19" x14ac:dyDescent="0.2">
      <c r="A3" s="141"/>
      <c r="B3" s="141"/>
      <c r="C3" s="141"/>
      <c r="D3" s="142" t="s">
        <v>133</v>
      </c>
      <c r="E3" s="142" t="s">
        <v>134</v>
      </c>
      <c r="F3" s="142" t="s">
        <v>135</v>
      </c>
      <c r="G3" s="142" t="s">
        <v>136</v>
      </c>
      <c r="H3" s="141"/>
      <c r="I3" s="142" t="s">
        <v>137</v>
      </c>
      <c r="J3" s="141"/>
      <c r="K3" s="141"/>
      <c r="L3" s="141"/>
      <c r="M3" s="141"/>
      <c r="N3" s="141"/>
      <c r="O3" s="141"/>
      <c r="P3" s="141"/>
      <c r="Q3" s="141"/>
      <c r="R3" s="141"/>
    </row>
    <row r="5" spans="1:19" x14ac:dyDescent="0.2">
      <c r="A5" s="146" t="s">
        <v>223</v>
      </c>
      <c r="B5" s="143"/>
      <c r="C5" s="143"/>
      <c r="D5" s="143"/>
      <c r="E5" s="143"/>
      <c r="F5" s="143"/>
      <c r="G5" s="143"/>
      <c r="H5" s="143"/>
      <c r="I5" s="143"/>
      <c r="J5" s="143"/>
      <c r="K5" s="143"/>
      <c r="L5" s="143"/>
      <c r="M5" s="143"/>
      <c r="N5" s="143"/>
      <c r="O5" s="143"/>
      <c r="P5" s="143"/>
      <c r="Q5" s="143"/>
      <c r="R5" s="143"/>
    </row>
    <row r="6" spans="1:19" x14ac:dyDescent="0.2">
      <c r="A6" s="144">
        <v>1</v>
      </c>
      <c r="B6" s="160" t="str">
        <f>INDEX(lista.activos,$A6)</f>
        <v>Predio</v>
      </c>
      <c r="C6" s="160"/>
      <c r="D6" s="160"/>
      <c r="E6" s="160"/>
      <c r="F6" s="160"/>
      <c r="G6" s="160"/>
      <c r="H6" s="160"/>
      <c r="I6" s="160"/>
      <c r="J6" s="160"/>
      <c r="K6" s="160"/>
      <c r="L6" s="160"/>
      <c r="M6" s="160"/>
      <c r="N6" s="160"/>
      <c r="O6" s="160"/>
      <c r="P6" s="160"/>
      <c r="Q6" s="160"/>
      <c r="R6" s="160"/>
    </row>
    <row r="7" spans="1:19" s="151" customFormat="1" x14ac:dyDescent="0.2">
      <c r="A7" s="144"/>
      <c r="B7" s="144"/>
      <c r="C7" s="144"/>
      <c r="D7" s="144"/>
      <c r="E7" s="144"/>
      <c r="F7" s="144"/>
      <c r="G7" s="144"/>
      <c r="H7" s="144"/>
      <c r="I7" s="144"/>
      <c r="J7" s="144"/>
      <c r="K7" s="144"/>
      <c r="L7" s="144"/>
      <c r="M7" s="144"/>
      <c r="N7" s="144"/>
      <c r="O7" s="144"/>
      <c r="P7" s="144"/>
      <c r="Q7" s="144"/>
      <c r="R7" s="144"/>
      <c r="S7" s="144"/>
    </row>
    <row r="8" spans="1:19" x14ac:dyDescent="0.2">
      <c r="A8" s="151"/>
      <c r="D8" s="151" t="s">
        <v>225</v>
      </c>
      <c r="E8" s="151" t="s">
        <v>227</v>
      </c>
      <c r="F8" s="241">
        <f>area.torre+F49+F175+F179+F118+F188+F189+F217+F223+F227+F228+F229</f>
        <v>30.726292673769223</v>
      </c>
      <c r="G8" s="152" t="s">
        <v>692</v>
      </c>
      <c r="I8" s="118" t="s">
        <v>301</v>
      </c>
    </row>
    <row r="9" spans="1:19" x14ac:dyDescent="0.2">
      <c r="D9" s="151" t="s">
        <v>924</v>
      </c>
      <c r="E9" s="151" t="s">
        <v>141</v>
      </c>
      <c r="F9" s="172">
        <f>IF(predio.activo="Sí",markup.predio,0)</f>
        <v>0.5</v>
      </c>
    </row>
    <row r="10" spans="1:19" s="151" customFormat="1" x14ac:dyDescent="0.2">
      <c r="D10" s="151" t="s">
        <v>923</v>
      </c>
      <c r="E10" s="151" t="s">
        <v>227</v>
      </c>
      <c r="F10" s="239">
        <f>area.torre</f>
        <v>21.17810867376922</v>
      </c>
      <c r="G10" s="152"/>
    </row>
    <row r="11" spans="1:19" x14ac:dyDescent="0.2">
      <c r="D11" s="118" t="s">
        <v>282</v>
      </c>
      <c r="E11" s="118" t="s">
        <v>227</v>
      </c>
      <c r="F11" s="236">
        <f>F8*(1+F9)+F10</f>
        <v>67.26754768442305</v>
      </c>
      <c r="G11" s="152" t="s">
        <v>682</v>
      </c>
      <c r="I11" s="154"/>
    </row>
    <row r="13" spans="1:19" x14ac:dyDescent="0.2">
      <c r="A13" s="144">
        <v>2</v>
      </c>
      <c r="B13" s="160" t="str">
        <f>INDEX(lista.activos,$A13)</f>
        <v>Torre</v>
      </c>
      <c r="C13" s="160"/>
      <c r="D13" s="160"/>
      <c r="E13" s="160"/>
      <c r="F13" s="160"/>
      <c r="G13" s="160"/>
      <c r="H13" s="160"/>
      <c r="I13" s="160"/>
      <c r="J13" s="160"/>
      <c r="K13" s="160"/>
      <c r="L13" s="160"/>
      <c r="M13" s="160"/>
      <c r="N13" s="160"/>
      <c r="O13" s="160"/>
      <c r="P13" s="160"/>
      <c r="Q13" s="160"/>
      <c r="R13" s="160"/>
    </row>
    <row r="15" spans="1:19" x14ac:dyDescent="0.2">
      <c r="D15" s="145" t="str">
        <f t="array" ref="D15:D27">lista.componentes.torre</f>
        <v>Tipo de torre</v>
      </c>
      <c r="F15" s="229" t="str">
        <f>tipo.torre.activo</f>
        <v>Autosoportada</v>
      </c>
    </row>
    <row r="16" spans="1:19" x14ac:dyDescent="0.2">
      <c r="D16" s="145" t="str">
        <v>Altura de la torre</v>
      </c>
      <c r="F16" s="229">
        <f>rango.altura.activo</f>
        <v>39</v>
      </c>
    </row>
    <row r="17" spans="1:20" x14ac:dyDescent="0.2">
      <c r="D17" s="145" t="str">
        <v>Área de la torre</v>
      </c>
      <c r="F17" s="315">
        <f>F16^(1/1.2)</f>
        <v>21.17810867376922</v>
      </c>
      <c r="G17" s="152" t="s">
        <v>683</v>
      </c>
    </row>
    <row r="18" spans="1:20" x14ac:dyDescent="0.2">
      <c r="D18" s="145" t="str">
        <v>Antenas RF del AEP</v>
      </c>
      <c r="F18" s="229">
        <f>antenas.RF.AEP</f>
        <v>3</v>
      </c>
    </row>
    <row r="19" spans="1:20" s="151" customFormat="1" x14ac:dyDescent="0.2">
      <c r="D19" s="145" t="str">
        <v>Antenas RF del CS1</v>
      </c>
      <c r="F19" s="229">
        <f>antenas.RF.CS1</f>
        <v>3</v>
      </c>
    </row>
    <row r="20" spans="1:20" s="151" customFormat="1" x14ac:dyDescent="0.2">
      <c r="D20" s="145" t="str">
        <v>Antenas RF del CS2</v>
      </c>
      <c r="F20" s="229">
        <f>antenas.RF.CS2</f>
        <v>0</v>
      </c>
    </row>
    <row r="21" spans="1:20" s="151" customFormat="1" x14ac:dyDescent="0.2">
      <c r="D21" s="145" t="str">
        <v>Antenas RF del CS3</v>
      </c>
      <c r="F21" s="229">
        <f>antenas.RF.CS3</f>
        <v>0</v>
      </c>
    </row>
    <row r="22" spans="1:20" s="151" customFormat="1" x14ac:dyDescent="0.2">
      <c r="D22" s="145" t="str">
        <v>Antenas MW del AEP</v>
      </c>
      <c r="F22" s="229">
        <f>antenas.MW.AEP</f>
        <v>1</v>
      </c>
    </row>
    <row r="23" spans="1:20" s="151" customFormat="1" x14ac:dyDescent="0.2">
      <c r="D23" s="145" t="str">
        <v>Antenas MW del CS1</v>
      </c>
      <c r="F23" s="229">
        <f>antenas.MW.CS1</f>
        <v>1</v>
      </c>
    </row>
    <row r="24" spans="1:20" x14ac:dyDescent="0.2">
      <c r="D24" s="145" t="str">
        <v>Antenas MW del CS2</v>
      </c>
      <c r="F24" s="229">
        <f>antenas.MW.CS2</f>
        <v>0</v>
      </c>
    </row>
    <row r="25" spans="1:20" s="151" customFormat="1" x14ac:dyDescent="0.2">
      <c r="D25" s="145" t="str">
        <v>Antenas MW del CS3</v>
      </c>
      <c r="F25" s="229">
        <f>antenas.MW.CS3</f>
        <v>0</v>
      </c>
    </row>
    <row r="26" spans="1:20" s="151" customFormat="1" x14ac:dyDescent="0.2">
      <c r="D26" s="145" t="str">
        <v>espacio vacante</v>
      </c>
      <c r="F26" s="228">
        <v>0</v>
      </c>
    </row>
    <row r="27" spans="1:20" s="151" customFormat="1" x14ac:dyDescent="0.2">
      <c r="D27" s="145" t="str">
        <v>espacio vacante</v>
      </c>
      <c r="F27" s="228">
        <v>0</v>
      </c>
    </row>
    <row r="28" spans="1:20" s="151" customFormat="1" x14ac:dyDescent="0.2"/>
    <row r="29" spans="1:20" x14ac:dyDescent="0.2">
      <c r="A29" s="144">
        <v>3</v>
      </c>
      <c r="B29" s="160" t="str">
        <f>INDEX(lista.activos,$A29)</f>
        <v>Caseta (shelter) AEP</v>
      </c>
      <c r="C29" s="160"/>
      <c r="D29" s="160"/>
      <c r="E29" s="160"/>
      <c r="F29" s="160"/>
      <c r="G29" s="160"/>
      <c r="H29" s="160"/>
      <c r="I29" s="160"/>
      <c r="J29" s="160"/>
      <c r="K29" s="160"/>
      <c r="L29" s="160"/>
      <c r="M29" s="160"/>
      <c r="N29" s="160"/>
      <c r="O29" s="160"/>
      <c r="P29" s="160"/>
      <c r="Q29" s="160"/>
      <c r="R29" s="160"/>
    </row>
    <row r="30" spans="1:20" s="151" customFormat="1" x14ac:dyDescent="0.2">
      <c r="A30" s="144"/>
      <c r="B30" s="144"/>
      <c r="C30" s="144"/>
      <c r="D30" s="144"/>
      <c r="E30" s="144"/>
      <c r="F30" s="144"/>
      <c r="G30" s="144"/>
      <c r="H30" s="144"/>
      <c r="I30" s="144"/>
      <c r="J30" s="144"/>
      <c r="K30" s="144"/>
      <c r="L30" s="144"/>
      <c r="M30" s="144"/>
      <c r="N30" s="144"/>
      <c r="O30" s="144"/>
      <c r="P30" s="144"/>
      <c r="Q30" s="144"/>
      <c r="R30" s="144"/>
      <c r="S30" s="144"/>
    </row>
    <row r="31" spans="1:20" s="151" customFormat="1" x14ac:dyDescent="0.2">
      <c r="A31" s="144"/>
      <c r="B31" s="144"/>
      <c r="C31" s="159" t="s">
        <v>605</v>
      </c>
      <c r="D31" s="159"/>
      <c r="E31" s="159"/>
      <c r="F31" s="159"/>
      <c r="G31" s="159"/>
      <c r="H31" s="159"/>
      <c r="I31" s="159"/>
      <c r="J31" s="159"/>
      <c r="K31" s="159"/>
      <c r="L31" s="159"/>
      <c r="M31" s="159"/>
      <c r="N31" s="159"/>
      <c r="O31" s="159"/>
      <c r="P31" s="159"/>
      <c r="Q31" s="159"/>
      <c r="R31" s="159"/>
      <c r="S31" s="144"/>
    </row>
    <row r="32" spans="1:20" s="151" customFormat="1" x14ac:dyDescent="0.2">
      <c r="A32" s="144"/>
      <c r="B32" s="144"/>
      <c r="C32" s="144"/>
      <c r="D32" s="161" t="s">
        <v>607</v>
      </c>
      <c r="E32" s="144"/>
      <c r="F32" s="144"/>
      <c r="G32" s="144"/>
      <c r="H32" s="144"/>
      <c r="J32" s="144"/>
      <c r="K32" s="144"/>
      <c r="L32" s="144"/>
      <c r="M32" s="144"/>
      <c r="N32" s="144"/>
      <c r="O32" s="144"/>
      <c r="P32" s="144"/>
      <c r="Q32" s="144"/>
      <c r="R32" s="144"/>
      <c r="S32" s="144"/>
      <c r="T32" s="144"/>
    </row>
    <row r="33" spans="1:20" s="151" customFormat="1" x14ac:dyDescent="0.2">
      <c r="A33" s="144"/>
      <c r="B33" s="144"/>
      <c r="C33" s="144"/>
      <c r="D33" s="161"/>
      <c r="E33" s="144"/>
      <c r="F33" s="144"/>
      <c r="G33" s="144"/>
      <c r="H33" s="144"/>
      <c r="J33" s="144"/>
      <c r="K33" s="144"/>
      <c r="L33" s="144"/>
      <c r="M33" s="144"/>
      <c r="N33" s="144"/>
      <c r="O33" s="144"/>
      <c r="P33" s="144"/>
      <c r="Q33" s="144"/>
      <c r="R33" s="144"/>
      <c r="S33" s="144"/>
      <c r="T33" s="144"/>
    </row>
    <row r="34" spans="1:20" s="151" customFormat="1" x14ac:dyDescent="0.2">
      <c r="A34" s="144"/>
      <c r="B34" s="144"/>
      <c r="C34" s="144"/>
      <c r="D34" s="177" t="s">
        <v>314</v>
      </c>
      <c r="E34" s="151" t="s">
        <v>227</v>
      </c>
      <c r="F34" s="241">
        <f>'Caracteristicas tecnicas'!F77*'Caracteristicas tecnicas'!F78/million</f>
        <v>20.3</v>
      </c>
      <c r="G34" s="192" t="s">
        <v>726</v>
      </c>
      <c r="H34" s="144"/>
      <c r="J34" s="144"/>
      <c r="K34" s="144"/>
      <c r="L34" s="144"/>
      <c r="M34" s="144"/>
      <c r="N34" s="144"/>
      <c r="O34" s="144"/>
      <c r="P34" s="144"/>
      <c r="Q34" s="144"/>
      <c r="R34" s="144"/>
    </row>
    <row r="35" spans="1:20" s="151" customFormat="1" x14ac:dyDescent="0.2">
      <c r="A35" s="144"/>
      <c r="B35" s="144"/>
      <c r="C35" s="144"/>
      <c r="D35" s="177" t="s">
        <v>411</v>
      </c>
      <c r="E35" s="151" t="s">
        <v>227</v>
      </c>
      <c r="F35" s="241">
        <f>'Caracteristicas tecnicas'!F67*'Caracteristicas tecnicas'!F68/million-markup.operacion.caseta</f>
        <v>14.5</v>
      </c>
      <c r="G35" s="192" t="s">
        <v>725</v>
      </c>
      <c r="H35" s="144"/>
      <c r="I35" s="144"/>
      <c r="J35" s="144"/>
      <c r="K35" s="144"/>
      <c r="L35" s="144"/>
      <c r="M35" s="144"/>
      <c r="N35" s="144"/>
      <c r="O35" s="144"/>
      <c r="P35" s="144"/>
      <c r="Q35" s="144"/>
      <c r="R35" s="144"/>
    </row>
    <row r="36" spans="1:20" s="151" customFormat="1" x14ac:dyDescent="0.2">
      <c r="A36" s="144"/>
      <c r="B36" s="144"/>
      <c r="C36" s="144"/>
      <c r="D36" s="151" t="s">
        <v>306</v>
      </c>
      <c r="E36" s="151" t="s">
        <v>150</v>
      </c>
      <c r="F36" s="176">
        <f>capacidad.caseta.activo</f>
        <v>14</v>
      </c>
      <c r="G36" s="144"/>
      <c r="H36" s="144"/>
      <c r="I36" s="144"/>
      <c r="J36" s="144"/>
      <c r="K36" s="144"/>
      <c r="L36" s="144"/>
      <c r="M36" s="144"/>
      <c r="N36" s="144"/>
      <c r="O36" s="144"/>
      <c r="P36" s="144"/>
      <c r="Q36" s="144"/>
      <c r="R36" s="144"/>
    </row>
    <row r="37" spans="1:20" s="151" customFormat="1" x14ac:dyDescent="0.2">
      <c r="A37" s="144"/>
      <c r="B37" s="144"/>
      <c r="C37" s="144"/>
      <c r="D37" s="144"/>
      <c r="E37" s="144"/>
      <c r="F37" s="144"/>
      <c r="G37" s="144"/>
      <c r="H37" s="144"/>
      <c r="I37" s="144"/>
      <c r="J37" s="144"/>
      <c r="K37" s="144"/>
      <c r="L37" s="144"/>
      <c r="M37" s="144"/>
      <c r="N37" s="144"/>
      <c r="O37" s="144"/>
      <c r="P37" s="144"/>
      <c r="Q37" s="144"/>
      <c r="R37" s="144"/>
    </row>
    <row r="38" spans="1:20" s="151" customFormat="1" x14ac:dyDescent="0.2">
      <c r="A38" s="144"/>
      <c r="B38" s="144"/>
      <c r="C38" s="144"/>
      <c r="D38" s="161" t="s">
        <v>653</v>
      </c>
      <c r="E38" s="144"/>
      <c r="F38" s="144"/>
      <c r="G38" s="144"/>
      <c r="H38" s="144"/>
      <c r="I38" s="144"/>
      <c r="J38" s="144"/>
      <c r="K38" s="144"/>
      <c r="L38" s="144"/>
      <c r="M38" s="144"/>
      <c r="N38" s="144"/>
      <c r="O38" s="144"/>
      <c r="P38" s="144"/>
      <c r="Q38" s="144"/>
      <c r="R38" s="144"/>
    </row>
    <row r="39" spans="1:20" s="151" customFormat="1" x14ac:dyDescent="0.2">
      <c r="A39" s="144"/>
      <c r="B39" s="144"/>
      <c r="C39" s="144"/>
      <c r="D39" s="151" t="s">
        <v>302</v>
      </c>
      <c r="E39" s="151" t="s">
        <v>652</v>
      </c>
      <c r="F39" s="229">
        <f>demanda.AEP.activo</f>
        <v>3</v>
      </c>
      <c r="G39" s="144"/>
      <c r="H39" s="144"/>
      <c r="I39" s="144"/>
      <c r="J39" s="144"/>
      <c r="K39" s="144"/>
      <c r="L39" s="144"/>
      <c r="M39" s="144"/>
      <c r="N39" s="144"/>
      <c r="O39" s="144"/>
      <c r="P39" s="144"/>
      <c r="Q39" s="144"/>
      <c r="R39" s="144"/>
    </row>
    <row r="40" spans="1:20" s="151" customFormat="1" x14ac:dyDescent="0.2">
      <c r="A40" s="144"/>
      <c r="B40" s="144"/>
      <c r="C40" s="144"/>
      <c r="D40" s="151" t="s">
        <v>369</v>
      </c>
      <c r="E40" s="151" t="s">
        <v>652</v>
      </c>
      <c r="F40" s="229">
        <f>demanda.CS1.activo</f>
        <v>3</v>
      </c>
      <c r="G40" s="144"/>
      <c r="H40" s="144"/>
      <c r="I40" s="144"/>
      <c r="J40" s="144"/>
      <c r="K40" s="144"/>
      <c r="L40" s="144"/>
      <c r="M40" s="144"/>
      <c r="N40" s="144"/>
      <c r="O40" s="144" t="s">
        <v>114</v>
      </c>
      <c r="P40" s="144"/>
      <c r="Q40" s="144"/>
      <c r="R40" s="144"/>
    </row>
    <row r="41" spans="1:20" s="151" customFormat="1" x14ac:dyDescent="0.2">
      <c r="A41" s="144"/>
      <c r="B41" s="144"/>
      <c r="C41" s="144"/>
      <c r="D41" s="151" t="s">
        <v>370</v>
      </c>
      <c r="E41" s="151" t="s">
        <v>652</v>
      </c>
      <c r="F41" s="229">
        <f>demanda.CS2.activo</f>
        <v>0</v>
      </c>
      <c r="G41" s="144"/>
      <c r="H41" s="144"/>
      <c r="I41" s="144"/>
      <c r="J41" s="144"/>
      <c r="K41" s="144"/>
      <c r="L41" s="144"/>
      <c r="M41" s="144"/>
      <c r="N41" s="144"/>
      <c r="O41" s="144" t="s">
        <v>114</v>
      </c>
      <c r="P41" s="144"/>
      <c r="Q41" s="144"/>
      <c r="R41" s="144"/>
    </row>
    <row r="42" spans="1:20" s="151" customFormat="1" x14ac:dyDescent="0.2">
      <c r="A42" s="144"/>
      <c r="B42" s="144"/>
      <c r="C42" s="144"/>
      <c r="D42" s="151" t="s">
        <v>408</v>
      </c>
      <c r="E42" s="151" t="s">
        <v>652</v>
      </c>
      <c r="F42" s="229">
        <f>demanda.CS3.activo</f>
        <v>0</v>
      </c>
      <c r="G42" s="144"/>
      <c r="H42" s="144"/>
      <c r="I42" s="144"/>
      <c r="J42" s="144"/>
      <c r="K42" s="144"/>
      <c r="L42" s="144"/>
      <c r="M42" s="144"/>
      <c r="N42" s="144"/>
      <c r="O42" s="144" t="s">
        <v>114</v>
      </c>
      <c r="P42" s="144"/>
      <c r="Q42" s="144"/>
      <c r="R42" s="144"/>
    </row>
    <row r="43" spans="1:20" s="151" customFormat="1" x14ac:dyDescent="0.2">
      <c r="A43" s="144"/>
      <c r="B43" s="144"/>
      <c r="C43" s="144"/>
      <c r="D43" s="151" t="s">
        <v>371</v>
      </c>
      <c r="E43" s="151" t="s">
        <v>652</v>
      </c>
      <c r="F43" s="230">
        <f>SUM(F40:F42)</f>
        <v>3</v>
      </c>
      <c r="G43" s="144"/>
      <c r="H43" s="144"/>
      <c r="I43" s="144"/>
      <c r="J43" s="144"/>
      <c r="K43" s="144"/>
      <c r="L43" s="144"/>
      <c r="M43" s="144"/>
      <c r="N43" s="144"/>
      <c r="O43" s="144" t="s">
        <v>114</v>
      </c>
      <c r="P43" s="144"/>
      <c r="Q43" s="144"/>
      <c r="R43" s="144"/>
    </row>
    <row r="44" spans="1:20" s="151" customFormat="1" x14ac:dyDescent="0.2">
      <c r="A44" s="144"/>
      <c r="B44" s="144"/>
      <c r="C44" s="144"/>
      <c r="D44" s="144"/>
      <c r="E44" s="144"/>
      <c r="F44" s="144"/>
      <c r="G44" s="144"/>
      <c r="H44" s="144"/>
      <c r="I44" s="144"/>
      <c r="J44" s="144"/>
      <c r="K44" s="144"/>
      <c r="L44" s="144"/>
      <c r="M44" s="144"/>
      <c r="N44" s="144"/>
      <c r="O44" s="144"/>
      <c r="P44" s="144"/>
      <c r="Q44" s="144"/>
      <c r="R44" s="144"/>
    </row>
    <row r="45" spans="1:20" s="151" customFormat="1" x14ac:dyDescent="0.2">
      <c r="A45" s="144"/>
      <c r="B45" s="144"/>
      <c r="C45" s="159" t="s">
        <v>623</v>
      </c>
      <c r="D45" s="159"/>
      <c r="E45" s="159"/>
      <c r="F45" s="159"/>
      <c r="G45" s="159"/>
      <c r="H45" s="159"/>
      <c r="I45" s="159"/>
      <c r="J45" s="159"/>
      <c r="K45" s="159"/>
      <c r="L45" s="159"/>
      <c r="M45" s="159"/>
      <c r="N45" s="159"/>
      <c r="O45" s="159"/>
      <c r="P45" s="159"/>
      <c r="Q45" s="159"/>
      <c r="R45" s="159"/>
    </row>
    <row r="46" spans="1:20" s="151" customFormat="1" x14ac:dyDescent="0.2">
      <c r="A46" s="144"/>
      <c r="B46" s="144"/>
      <c r="C46" s="144"/>
      <c r="D46" s="144"/>
      <c r="E46" s="144"/>
      <c r="F46" s="144"/>
      <c r="G46" s="144"/>
      <c r="J46" s="144"/>
      <c r="K46" s="144"/>
      <c r="L46" s="144"/>
      <c r="M46" s="144"/>
      <c r="N46" s="144"/>
      <c r="O46" s="144"/>
      <c r="P46" s="144"/>
      <c r="Q46" s="144"/>
      <c r="R46" s="144"/>
    </row>
    <row r="47" spans="1:20" s="151" customFormat="1" x14ac:dyDescent="0.2">
      <c r="A47" s="144"/>
      <c r="B47" s="144"/>
      <c r="C47" s="144"/>
      <c r="D47" s="154" t="s">
        <v>622</v>
      </c>
      <c r="G47" s="144"/>
      <c r="H47" s="144"/>
      <c r="I47" s="144"/>
      <c r="J47" s="144"/>
      <c r="K47" s="144"/>
      <c r="L47" s="144"/>
      <c r="M47" s="144"/>
      <c r="N47" s="144"/>
      <c r="O47" s="144"/>
      <c r="P47" s="144"/>
      <c r="Q47" s="144"/>
      <c r="R47" s="144"/>
    </row>
    <row r="48" spans="1:20" s="151" customFormat="1" x14ac:dyDescent="0.2">
      <c r="A48" s="144"/>
      <c r="B48" s="144"/>
      <c r="C48" s="144"/>
      <c r="D48" s="174" t="s">
        <v>474</v>
      </c>
      <c r="F48" s="230">
        <f>IF(caseta.AEP.activo="Sí",1,0)</f>
        <v>0</v>
      </c>
      <c r="G48" s="192" t="s">
        <v>774</v>
      </c>
      <c r="H48" s="144"/>
      <c r="I48" s="144"/>
      <c r="J48" s="144"/>
      <c r="K48" s="144"/>
      <c r="L48" s="144"/>
      <c r="M48" s="144"/>
      <c r="N48" s="144"/>
      <c r="O48" s="144"/>
      <c r="P48" s="144"/>
      <c r="Q48" s="144"/>
      <c r="R48" s="144"/>
    </row>
    <row r="49" spans="1:18" s="151" customFormat="1" x14ac:dyDescent="0.2">
      <c r="A49" s="144"/>
      <c r="B49" s="144"/>
      <c r="C49" s="144"/>
      <c r="D49" s="151" t="s">
        <v>319</v>
      </c>
      <c r="E49" s="151" t="s">
        <v>227</v>
      </c>
      <c r="F49" s="236">
        <f>IF(F48=1,F34,0)</f>
        <v>0</v>
      </c>
      <c r="G49" s="192" t="s">
        <v>684</v>
      </c>
      <c r="H49" s="144"/>
      <c r="I49" s="144"/>
      <c r="J49" s="144"/>
      <c r="K49" s="144"/>
      <c r="L49" s="144"/>
      <c r="M49" s="144"/>
      <c r="N49" s="144"/>
      <c r="O49" s="144"/>
      <c r="P49" s="144"/>
      <c r="Q49" s="144"/>
      <c r="R49" s="144"/>
    </row>
    <row r="50" spans="1:18" s="151" customFormat="1" x14ac:dyDescent="0.2">
      <c r="A50" s="144"/>
      <c r="B50" s="144"/>
      <c r="C50" s="144"/>
      <c r="D50" s="144"/>
      <c r="E50" s="144"/>
      <c r="F50" s="144"/>
      <c r="G50" s="144"/>
      <c r="H50" s="144"/>
      <c r="I50" s="144"/>
      <c r="J50" s="144"/>
      <c r="K50" s="144"/>
      <c r="L50" s="144"/>
      <c r="M50" s="144"/>
      <c r="N50" s="144"/>
      <c r="O50" s="144"/>
      <c r="P50" s="144"/>
      <c r="Q50" s="144"/>
      <c r="R50" s="144"/>
    </row>
    <row r="51" spans="1:18" s="151" customFormat="1" x14ac:dyDescent="0.2">
      <c r="A51" s="144"/>
      <c r="B51" s="144"/>
      <c r="C51" s="159" t="s">
        <v>611</v>
      </c>
      <c r="D51" s="159"/>
      <c r="E51" s="159"/>
      <c r="F51" s="159"/>
      <c r="G51" s="159"/>
      <c r="H51" s="159"/>
      <c r="I51" s="159"/>
      <c r="J51" s="159"/>
      <c r="K51" s="159"/>
      <c r="L51" s="159"/>
      <c r="M51" s="159"/>
      <c r="N51" s="159"/>
      <c r="O51" s="159"/>
      <c r="P51" s="159"/>
      <c r="Q51" s="159"/>
      <c r="R51" s="159"/>
    </row>
    <row r="52" spans="1:18" s="151" customFormat="1" x14ac:dyDescent="0.2">
      <c r="A52" s="144"/>
      <c r="B52" s="144"/>
      <c r="C52" s="144"/>
      <c r="D52" s="144"/>
      <c r="E52" s="144"/>
      <c r="F52" s="144"/>
      <c r="G52" s="144"/>
      <c r="H52" s="144"/>
      <c r="I52" s="144"/>
      <c r="J52" s="144"/>
      <c r="K52" s="144"/>
      <c r="L52" s="144"/>
      <c r="M52" s="144"/>
      <c r="N52" s="144"/>
      <c r="O52" s="144"/>
      <c r="P52" s="144"/>
      <c r="Q52" s="144"/>
      <c r="R52" s="144"/>
    </row>
    <row r="53" spans="1:18" x14ac:dyDescent="0.2">
      <c r="D53" s="154" t="s">
        <v>318</v>
      </c>
    </row>
    <row r="54" spans="1:18" s="151" customFormat="1" x14ac:dyDescent="0.2">
      <c r="D54" s="174" t="s">
        <v>300</v>
      </c>
      <c r="F54" s="316" t="str">
        <f>caseta.AEP.activo</f>
        <v>No</v>
      </c>
      <c r="I54" s="151" t="s">
        <v>608</v>
      </c>
    </row>
    <row r="55" spans="1:18" s="151" customFormat="1" x14ac:dyDescent="0.2">
      <c r="D55" s="151" t="s">
        <v>360</v>
      </c>
      <c r="E55" s="151" t="s">
        <v>227</v>
      </c>
      <c r="F55" s="236">
        <f>IF(caseta.AEP.activo="Sí",area.BTS.indoor*demanda.AEP.activo,0)</f>
        <v>0</v>
      </c>
      <c r="G55" s="152" t="s">
        <v>709</v>
      </c>
      <c r="I55" s="151" t="s">
        <v>617</v>
      </c>
    </row>
    <row r="56" spans="1:18" s="151" customFormat="1" x14ac:dyDescent="0.2">
      <c r="D56" s="151" t="s">
        <v>776</v>
      </c>
      <c r="E56" s="151" t="s">
        <v>150</v>
      </c>
      <c r="F56" s="230">
        <f>IF(caseta.AEP.activo="Sí",demanda.AEP.activo,0)</f>
        <v>0</v>
      </c>
      <c r="G56" s="152" t="s">
        <v>777</v>
      </c>
    </row>
    <row r="57" spans="1:18" s="151" customFormat="1" x14ac:dyDescent="0.2">
      <c r="D57" s="154"/>
    </row>
    <row r="58" spans="1:18" s="151" customFormat="1" x14ac:dyDescent="0.2">
      <c r="D58" s="154" t="s">
        <v>412</v>
      </c>
    </row>
    <row r="59" spans="1:18" s="151" customFormat="1" x14ac:dyDescent="0.2">
      <c r="D59" s="174" t="s">
        <v>300</v>
      </c>
      <c r="F59" s="316" t="str">
        <f>IF(indoor.outdoor.CS1.activo="Indoor","Sí","No")</f>
        <v>No</v>
      </c>
      <c r="I59" s="151" t="s">
        <v>609</v>
      </c>
    </row>
    <row r="60" spans="1:18" s="151" customFormat="1" x14ac:dyDescent="0.2">
      <c r="D60" s="174" t="s">
        <v>413</v>
      </c>
      <c r="F60" s="316" t="str">
        <f>IF(comparticion.caseta.CS1="Caseta del AEP","Sí","No")</f>
        <v>Sí</v>
      </c>
      <c r="I60" s="151" t="s">
        <v>610</v>
      </c>
    </row>
    <row r="61" spans="1:18" s="151" customFormat="1" x14ac:dyDescent="0.2">
      <c r="D61" s="151" t="s">
        <v>648</v>
      </c>
      <c r="E61" s="151" t="s">
        <v>227</v>
      </c>
      <c r="F61" s="236">
        <f>IF(AND(F59="Sí",F60="Sí"),area.BTS.indoor*demanda.CS1.activo,0)</f>
        <v>0</v>
      </c>
      <c r="G61" s="152" t="s">
        <v>711</v>
      </c>
      <c r="I61" s="151" t="s">
        <v>618</v>
      </c>
    </row>
    <row r="62" spans="1:18" s="151" customFormat="1" x14ac:dyDescent="0.2">
      <c r="D62" s="151" t="s">
        <v>779</v>
      </c>
      <c r="E62" s="151" t="s">
        <v>150</v>
      </c>
      <c r="F62" s="230">
        <f>IF(AND(F59="Sí",F60="Sí"),demanda.CS1.activo,0)</f>
        <v>0</v>
      </c>
      <c r="G62" s="152" t="s">
        <v>778</v>
      </c>
    </row>
    <row r="63" spans="1:18" s="151" customFormat="1" x14ac:dyDescent="0.2">
      <c r="D63" s="154"/>
    </row>
    <row r="64" spans="1:18" s="151" customFormat="1" x14ac:dyDescent="0.2">
      <c r="D64" s="154" t="s">
        <v>414</v>
      </c>
    </row>
    <row r="65" spans="4:9" s="151" customFormat="1" x14ac:dyDescent="0.2">
      <c r="D65" s="174" t="s">
        <v>300</v>
      </c>
      <c r="F65" s="316" t="str">
        <f>IF(indoor.outdoor.CS2.activo="Indoor","Sí","No")</f>
        <v>No</v>
      </c>
      <c r="I65" s="151" t="s">
        <v>609</v>
      </c>
    </row>
    <row r="66" spans="4:9" s="151" customFormat="1" x14ac:dyDescent="0.2">
      <c r="D66" s="174" t="s">
        <v>413</v>
      </c>
      <c r="F66" s="316" t="str">
        <f>IF(comparticion.caseta.CS2="Caseta del AEP","Sí","No")</f>
        <v>Sí</v>
      </c>
      <c r="I66" s="151" t="s">
        <v>610</v>
      </c>
    </row>
    <row r="67" spans="4:9" s="151" customFormat="1" x14ac:dyDescent="0.2">
      <c r="D67" s="151" t="s">
        <v>649</v>
      </c>
      <c r="E67" s="151" t="s">
        <v>227</v>
      </c>
      <c r="F67" s="236">
        <f>IF(AND(F65="Sí",F66="Sí"),area.BTS.indoor*demanda.CS2.activo,0)</f>
        <v>0</v>
      </c>
      <c r="G67" s="152" t="s">
        <v>712</v>
      </c>
    </row>
    <row r="68" spans="4:9" s="151" customFormat="1" x14ac:dyDescent="0.2">
      <c r="D68" s="151" t="s">
        <v>781</v>
      </c>
      <c r="E68" s="151" t="s">
        <v>150</v>
      </c>
      <c r="F68" s="230">
        <f>IF(AND(F65="Sí",F66="Sí"),demanda.CS2.activo,0)</f>
        <v>0</v>
      </c>
      <c r="G68" s="152" t="s">
        <v>780</v>
      </c>
    </row>
    <row r="69" spans="4:9" s="151" customFormat="1" x14ac:dyDescent="0.2">
      <c r="D69" s="154"/>
    </row>
    <row r="70" spans="4:9" s="151" customFormat="1" x14ac:dyDescent="0.2">
      <c r="D70" s="154" t="s">
        <v>415</v>
      </c>
    </row>
    <row r="71" spans="4:9" s="151" customFormat="1" x14ac:dyDescent="0.2">
      <c r="D71" s="174" t="s">
        <v>300</v>
      </c>
      <c r="F71" s="316" t="str">
        <f>IF(indoor.outdoor.CS3.activo="Indoor","Sí","No")</f>
        <v>No</v>
      </c>
      <c r="I71" s="151" t="s">
        <v>609</v>
      </c>
    </row>
    <row r="72" spans="4:9" s="151" customFormat="1" x14ac:dyDescent="0.2">
      <c r="D72" s="174" t="s">
        <v>413</v>
      </c>
      <c r="F72" s="316" t="str">
        <f>IF(comparticion.caseta.CS3="Caseta del AEP","Sí","No")</f>
        <v>Sí</v>
      </c>
      <c r="I72" s="151" t="s">
        <v>610</v>
      </c>
    </row>
    <row r="73" spans="4:9" s="151" customFormat="1" x14ac:dyDescent="0.2">
      <c r="D73" s="151" t="s">
        <v>650</v>
      </c>
      <c r="E73" s="151" t="s">
        <v>227</v>
      </c>
      <c r="F73" s="236">
        <f>IF(AND(F71="Sí",F72="Sí"),area.BTS.indoor*demanda.CS3.activo,0)</f>
        <v>0</v>
      </c>
      <c r="G73" s="152" t="s">
        <v>713</v>
      </c>
    </row>
    <row r="74" spans="4:9" s="151" customFormat="1" x14ac:dyDescent="0.2">
      <c r="D74" s="151" t="s">
        <v>782</v>
      </c>
      <c r="E74" s="151" t="s">
        <v>150</v>
      </c>
      <c r="F74" s="230">
        <f>IF(AND(F71="Sí",F72="Sí"),demanda.CS3.activo,0)</f>
        <v>0</v>
      </c>
      <c r="G74" s="152" t="s">
        <v>783</v>
      </c>
    </row>
    <row r="75" spans="4:9" s="151" customFormat="1" x14ac:dyDescent="0.2">
      <c r="D75" s="154"/>
    </row>
    <row r="76" spans="4:9" s="151" customFormat="1" x14ac:dyDescent="0.2">
      <c r="D76" s="154" t="s">
        <v>97</v>
      </c>
    </row>
    <row r="77" spans="4:9" s="151" customFormat="1" x14ac:dyDescent="0.2">
      <c r="D77" s="174" t="s">
        <v>470</v>
      </c>
      <c r="E77" s="151" t="s">
        <v>227</v>
      </c>
      <c r="F77" s="236">
        <f>F61+F67+F73</f>
        <v>0</v>
      </c>
      <c r="G77" s="152" t="s">
        <v>714</v>
      </c>
    </row>
    <row r="78" spans="4:9" s="151" customFormat="1" x14ac:dyDescent="0.2">
      <c r="D78" s="174" t="s">
        <v>710</v>
      </c>
      <c r="E78" s="151" t="s">
        <v>227</v>
      </c>
      <c r="F78" s="236">
        <f>SUM(F55,F61,F67,F73)</f>
        <v>0</v>
      </c>
      <c r="G78" s="152" t="s">
        <v>715</v>
      </c>
      <c r="H78" s="155"/>
    </row>
    <row r="79" spans="4:9" s="151" customFormat="1" x14ac:dyDescent="0.2">
      <c r="D79" s="154"/>
      <c r="H79" s="155"/>
    </row>
    <row r="80" spans="4:9" s="151" customFormat="1" x14ac:dyDescent="0.2">
      <c r="D80" s="174" t="s">
        <v>784</v>
      </c>
      <c r="E80" s="151" t="s">
        <v>150</v>
      </c>
      <c r="F80" s="230">
        <f>unidades.BTS.indoor.CS1.caseta.AEP+unidades.BTS.indoor.CS2.caseta.AEP+unidades.BTS.indoor.CS3.caseta.AEP</f>
        <v>0</v>
      </c>
      <c r="G80" s="152" t="s">
        <v>786</v>
      </c>
      <c r="H80" s="155"/>
    </row>
    <row r="81" spans="3:18" s="151" customFormat="1" x14ac:dyDescent="0.2">
      <c r="D81" s="174" t="s">
        <v>785</v>
      </c>
      <c r="E81" s="151" t="s">
        <v>150</v>
      </c>
      <c r="F81" s="230">
        <f>SUM(F56,F62,F68,F74)</f>
        <v>0</v>
      </c>
      <c r="G81" s="152" t="s">
        <v>787</v>
      </c>
      <c r="H81" s="155"/>
    </row>
    <row r="82" spans="3:18" s="151" customFormat="1" x14ac:dyDescent="0.2">
      <c r="D82" s="154"/>
      <c r="H82" s="155"/>
    </row>
    <row r="83" spans="3:18" s="151" customFormat="1" x14ac:dyDescent="0.2">
      <c r="C83" s="159" t="s">
        <v>612</v>
      </c>
      <c r="D83" s="159"/>
      <c r="E83" s="159"/>
      <c r="F83" s="159"/>
      <c r="G83" s="159"/>
      <c r="H83" s="159"/>
      <c r="I83" s="159"/>
      <c r="J83" s="159"/>
      <c r="K83" s="159"/>
      <c r="L83" s="159"/>
      <c r="M83" s="159"/>
      <c r="N83" s="159"/>
      <c r="O83" s="159"/>
      <c r="P83" s="159"/>
      <c r="Q83" s="159"/>
      <c r="R83" s="159"/>
    </row>
    <row r="84" spans="3:18" s="151" customFormat="1" x14ac:dyDescent="0.2">
      <c r="D84" s="154"/>
    </row>
    <row r="85" spans="3:18" s="151" customFormat="1" x14ac:dyDescent="0.2">
      <c r="D85" s="154" t="s">
        <v>788</v>
      </c>
    </row>
    <row r="86" spans="3:18" s="151" customFormat="1" x14ac:dyDescent="0.2">
      <c r="D86" s="151" t="s">
        <v>613</v>
      </c>
      <c r="E86" s="151" t="s">
        <v>227</v>
      </c>
      <c r="F86" s="236">
        <f>IF(F54="Sí",F254,0)</f>
        <v>0</v>
      </c>
      <c r="G86" s="152" t="s">
        <v>716</v>
      </c>
      <c r="I86" s="151" t="s">
        <v>619</v>
      </c>
    </row>
    <row r="87" spans="3:18" s="151" customFormat="1" x14ac:dyDescent="0.2">
      <c r="D87" s="151" t="s">
        <v>614</v>
      </c>
      <c r="E87" s="151" t="s">
        <v>227</v>
      </c>
      <c r="F87" s="236">
        <f>IF(AND(F59="Sí",F60="Sí"),F263,0)</f>
        <v>0</v>
      </c>
      <c r="G87" s="152" t="s">
        <v>717</v>
      </c>
    </row>
    <row r="88" spans="3:18" s="151" customFormat="1" x14ac:dyDescent="0.2">
      <c r="D88" s="151" t="s">
        <v>615</v>
      </c>
      <c r="E88" s="151" t="s">
        <v>227</v>
      </c>
      <c r="F88" s="236">
        <f>IF(AND(F65="Sí",F66="Sí"),F272,0)</f>
        <v>0</v>
      </c>
      <c r="G88" s="152" t="s">
        <v>718</v>
      </c>
      <c r="I88" s="154"/>
    </row>
    <row r="89" spans="3:18" s="151" customFormat="1" x14ac:dyDescent="0.2">
      <c r="D89" s="151" t="s">
        <v>616</v>
      </c>
      <c r="E89" s="151" t="s">
        <v>227</v>
      </c>
      <c r="F89" s="236">
        <f>IF(AND(F71="Sí",F72="Sí"),F282,0)</f>
        <v>0</v>
      </c>
      <c r="G89" s="152" t="s">
        <v>719</v>
      </c>
    </row>
    <row r="90" spans="3:18" s="151" customFormat="1" x14ac:dyDescent="0.2">
      <c r="D90" s="154"/>
      <c r="F90" s="186"/>
      <c r="H90" s="155"/>
    </row>
    <row r="91" spans="3:18" s="151" customFormat="1" x14ac:dyDescent="0.2">
      <c r="D91" s="154" t="s">
        <v>789</v>
      </c>
      <c r="F91" s="186"/>
      <c r="H91" s="155"/>
    </row>
    <row r="92" spans="3:18" s="151" customFormat="1" x14ac:dyDescent="0.2">
      <c r="D92" s="151" t="s">
        <v>790</v>
      </c>
      <c r="E92" s="151" t="s">
        <v>150</v>
      </c>
      <c r="F92" s="230">
        <f>IF(area.BBS.indoor.AEP.caseta.AEP=0,0,area.BBS.indoor.AEP.caseta.AEP/area.BTS.indoor)</f>
        <v>0</v>
      </c>
      <c r="G92" s="152" t="s">
        <v>794</v>
      </c>
      <c r="H92" s="155"/>
    </row>
    <row r="93" spans="3:18" s="151" customFormat="1" x14ac:dyDescent="0.2">
      <c r="D93" s="151" t="s">
        <v>791</v>
      </c>
      <c r="E93" s="151" t="s">
        <v>150</v>
      </c>
      <c r="F93" s="230">
        <f>IF(area.BBS.indoor.CS1.caseta.AEP=0,0,area.BBS.indoor.CS1.caseta.AEP/area.BTS.indoor)</f>
        <v>0</v>
      </c>
      <c r="G93" s="152" t="s">
        <v>795</v>
      </c>
      <c r="H93" s="155"/>
    </row>
    <row r="94" spans="3:18" s="151" customFormat="1" x14ac:dyDescent="0.2">
      <c r="D94" s="151" t="s">
        <v>792</v>
      </c>
      <c r="E94" s="151" t="s">
        <v>150</v>
      </c>
      <c r="F94" s="230">
        <f>IF(area.BBS.indoor.CS2.caseta.AEP=0,0,area.BBS.indoor.CS2.caseta.AEP/area.BTS.indoor)</f>
        <v>0</v>
      </c>
      <c r="G94" s="152" t="s">
        <v>796</v>
      </c>
      <c r="H94" s="155"/>
    </row>
    <row r="95" spans="3:18" s="151" customFormat="1" x14ac:dyDescent="0.2">
      <c r="D95" s="151" t="s">
        <v>793</v>
      </c>
      <c r="E95" s="151" t="s">
        <v>150</v>
      </c>
      <c r="F95" s="230">
        <f>IF(area.BBS.indoor.CS3.caseta.AEP=0,0,area.BBS.indoor.CS3.caseta.AEP/area.BTS.indoor)</f>
        <v>0</v>
      </c>
      <c r="G95" s="152" t="s">
        <v>797</v>
      </c>
      <c r="H95" s="155"/>
    </row>
    <row r="96" spans="3:18" s="151" customFormat="1" x14ac:dyDescent="0.2">
      <c r="D96" s="154"/>
      <c r="F96" s="186"/>
      <c r="H96" s="155"/>
    </row>
    <row r="97" spans="3:18" s="151" customFormat="1" x14ac:dyDescent="0.2">
      <c r="C97" s="159" t="s">
        <v>620</v>
      </c>
      <c r="D97" s="159"/>
      <c r="E97" s="159"/>
      <c r="F97" s="159"/>
      <c r="G97" s="159"/>
      <c r="H97" s="159"/>
      <c r="I97" s="159"/>
      <c r="J97" s="159"/>
      <c r="K97" s="159"/>
      <c r="L97" s="159"/>
      <c r="M97" s="159"/>
      <c r="N97" s="159"/>
      <c r="O97" s="159"/>
      <c r="P97" s="159"/>
      <c r="Q97" s="159"/>
      <c r="R97" s="159"/>
    </row>
    <row r="98" spans="3:18" s="151" customFormat="1" x14ac:dyDescent="0.2">
      <c r="D98" s="154"/>
    </row>
    <row r="99" spans="3:18" s="151" customFormat="1" x14ac:dyDescent="0.2">
      <c r="D99" s="154" t="s">
        <v>788</v>
      </c>
    </row>
    <row r="100" spans="3:18" s="151" customFormat="1" x14ac:dyDescent="0.2">
      <c r="D100" s="174" t="s">
        <v>221</v>
      </c>
      <c r="E100" s="151" t="s">
        <v>227</v>
      </c>
      <c r="F100" s="236">
        <f>IF(predio.activo="No",'Caracteristicas tecnicas'!F81*'Caracteristicas tecnicas'!F82/million,0)</f>
        <v>0</v>
      </c>
      <c r="G100" s="152" t="s">
        <v>720</v>
      </c>
      <c r="I100" s="151" t="s">
        <v>621</v>
      </c>
    </row>
    <row r="101" spans="3:18" s="151" customFormat="1" x14ac:dyDescent="0.2">
      <c r="D101" s="174" t="s">
        <v>293</v>
      </c>
      <c r="E101" s="151" t="s">
        <v>227</v>
      </c>
      <c r="F101" s="236">
        <f>IF(predio.activo="No",'Caracteristicas tecnicas'!F86*'Caracteristicas tecnicas'!F87/million,0)</f>
        <v>0</v>
      </c>
      <c r="G101" s="152" t="s">
        <v>721</v>
      </c>
    </row>
    <row r="102" spans="3:18" s="151" customFormat="1" x14ac:dyDescent="0.2">
      <c r="D102" s="174" t="s">
        <v>392</v>
      </c>
      <c r="E102" s="151" t="s">
        <v>227</v>
      </c>
      <c r="F102" s="236">
        <f>IF(predio.activo="No",'Caracteristicas tecnicas'!F86*'Caracteristicas tecnicas'!F87/million,0)</f>
        <v>0</v>
      </c>
      <c r="G102" s="152" t="s">
        <v>722</v>
      </c>
    </row>
    <row r="103" spans="3:18" s="151" customFormat="1" x14ac:dyDescent="0.2">
      <c r="D103" s="174" t="s">
        <v>393</v>
      </c>
      <c r="E103" s="151" t="s">
        <v>227</v>
      </c>
      <c r="F103" s="236">
        <f>IF(predio.activo="No",IF(numero.operadores.activo&gt;=2,'Caracteristicas tecnicas'!F86*'Caracteristicas tecnicas'!F87/million,0),0)</f>
        <v>0</v>
      </c>
      <c r="G103" s="152" t="s">
        <v>723</v>
      </c>
    </row>
    <row r="104" spans="3:18" s="151" customFormat="1" x14ac:dyDescent="0.2">
      <c r="D104" s="174" t="s">
        <v>416</v>
      </c>
      <c r="E104" s="151" t="s">
        <v>227</v>
      </c>
      <c r="F104" s="236">
        <f>IF(predio.activo="No",IF(numero.operadores.activo=3,'Caracteristicas tecnicas'!F86*'Caracteristicas tecnicas'!F87/million,0),0)</f>
        <v>0</v>
      </c>
      <c r="G104" s="152" t="s">
        <v>724</v>
      </c>
    </row>
    <row r="105" spans="3:18" s="151" customFormat="1" x14ac:dyDescent="0.2">
      <c r="D105" s="154"/>
      <c r="F105" s="186"/>
      <c r="H105" s="155"/>
    </row>
    <row r="106" spans="3:18" s="151" customFormat="1" x14ac:dyDescent="0.2">
      <c r="D106" s="154" t="s">
        <v>789</v>
      </c>
      <c r="F106" s="186"/>
      <c r="H106" s="155"/>
    </row>
    <row r="107" spans="3:18" s="151" customFormat="1" x14ac:dyDescent="0.2">
      <c r="D107" s="174" t="s">
        <v>221</v>
      </c>
      <c r="E107" s="151" t="s">
        <v>150</v>
      </c>
      <c r="F107" s="230">
        <f>IF(area.nicho.acometida.indoor.caseta.AEP&gt;0,1,0)</f>
        <v>0</v>
      </c>
      <c r="G107" s="152" t="s">
        <v>798</v>
      </c>
      <c r="H107" s="155"/>
    </row>
    <row r="108" spans="3:18" s="151" customFormat="1" x14ac:dyDescent="0.2">
      <c r="D108" s="174" t="s">
        <v>293</v>
      </c>
      <c r="E108" s="151" t="s">
        <v>150</v>
      </c>
      <c r="F108" s="230">
        <f>IF(area.nicho.acometida.secundaria.indoor.AEP.caseta.AEP&gt;0,1,0)</f>
        <v>0</v>
      </c>
      <c r="G108" s="152" t="s">
        <v>799</v>
      </c>
      <c r="H108" s="155"/>
    </row>
    <row r="109" spans="3:18" s="151" customFormat="1" x14ac:dyDescent="0.2">
      <c r="D109" s="174" t="s">
        <v>392</v>
      </c>
      <c r="E109" s="151" t="s">
        <v>150</v>
      </c>
      <c r="F109" s="230">
        <f>IF(area.nicho.acometida.secundaria.indoor.CS1.caseta.AEP&gt;0,1,0)</f>
        <v>0</v>
      </c>
      <c r="G109" s="152" t="s">
        <v>800</v>
      </c>
      <c r="H109" s="155"/>
    </row>
    <row r="110" spans="3:18" s="151" customFormat="1" x14ac:dyDescent="0.2">
      <c r="D110" s="174" t="s">
        <v>393</v>
      </c>
      <c r="E110" s="151" t="s">
        <v>150</v>
      </c>
      <c r="F110" s="230">
        <f>IF(area.nicho.acometida.secundaria.indoor.CS2.caseta.AEP&gt;0,1,0)</f>
        <v>0</v>
      </c>
      <c r="G110" s="152" t="s">
        <v>801</v>
      </c>
      <c r="H110" s="155"/>
    </row>
    <row r="111" spans="3:18" s="151" customFormat="1" x14ac:dyDescent="0.2">
      <c r="D111" s="174" t="s">
        <v>416</v>
      </c>
      <c r="E111" s="151" t="s">
        <v>150</v>
      </c>
      <c r="F111" s="230">
        <f>IF(area.nicho.acometida.secundaria.indoor.CS3.caseta.AEP&gt;0,1,0)</f>
        <v>0</v>
      </c>
      <c r="G111" s="152" t="s">
        <v>802</v>
      </c>
      <c r="H111" s="155"/>
    </row>
    <row r="112" spans="3:18" s="151" customFormat="1" x14ac:dyDescent="0.2">
      <c r="D112" s="154"/>
      <c r="F112" s="186"/>
      <c r="H112" s="155"/>
    </row>
    <row r="113" spans="1:18" s="151" customFormat="1" x14ac:dyDescent="0.2">
      <c r="A113" s="144">
        <v>4</v>
      </c>
      <c r="B113" s="160" t="str">
        <f>INDEX(lista.activos,A113)</f>
        <v>Caseta (shelter) CSs</v>
      </c>
      <c r="C113" s="160"/>
      <c r="D113" s="160"/>
      <c r="E113" s="160"/>
      <c r="F113" s="160"/>
      <c r="G113" s="160"/>
      <c r="H113" s="160"/>
      <c r="I113" s="160"/>
      <c r="J113" s="160"/>
      <c r="K113" s="160"/>
      <c r="L113" s="160"/>
      <c r="M113" s="160"/>
      <c r="N113" s="160"/>
      <c r="O113" s="160"/>
      <c r="P113" s="160"/>
      <c r="Q113" s="160"/>
      <c r="R113" s="160"/>
    </row>
    <row r="114" spans="1:18" x14ac:dyDescent="0.2">
      <c r="A114" s="151"/>
      <c r="B114" s="151"/>
    </row>
    <row r="115" spans="1:18" s="151" customFormat="1" x14ac:dyDescent="0.2">
      <c r="C115" s="159" t="s">
        <v>627</v>
      </c>
      <c r="D115" s="159"/>
      <c r="E115" s="159"/>
      <c r="F115" s="159"/>
      <c r="G115" s="159"/>
      <c r="H115" s="159"/>
      <c r="I115" s="159"/>
      <c r="J115" s="159"/>
      <c r="K115" s="159"/>
      <c r="L115" s="159"/>
      <c r="M115" s="159"/>
      <c r="N115" s="159"/>
      <c r="O115" s="159"/>
      <c r="P115" s="159"/>
      <c r="Q115" s="159"/>
      <c r="R115" s="159"/>
    </row>
    <row r="116" spans="1:18" s="151" customFormat="1" x14ac:dyDescent="0.2"/>
    <row r="117" spans="1:18" s="151" customFormat="1" x14ac:dyDescent="0.2">
      <c r="D117" s="151" t="s">
        <v>417</v>
      </c>
      <c r="E117" s="151" t="s">
        <v>150</v>
      </c>
      <c r="F117" s="230">
        <f>F125+F132+F139</f>
        <v>0</v>
      </c>
      <c r="G117" s="192" t="s">
        <v>775</v>
      </c>
    </row>
    <row r="118" spans="1:18" s="151" customFormat="1" x14ac:dyDescent="0.2">
      <c r="D118" s="151" t="s">
        <v>421</v>
      </c>
      <c r="E118" s="151" t="s">
        <v>227</v>
      </c>
      <c r="F118" s="236">
        <f>area.outdoor.caseta.CS1+area.outdoor.caseta.CS2+area.outdoor.caseta.CS3</f>
        <v>0</v>
      </c>
      <c r="G118" s="192" t="s">
        <v>685</v>
      </c>
    </row>
    <row r="119" spans="1:18" s="151" customFormat="1" x14ac:dyDescent="0.2">
      <c r="D119" s="154"/>
    </row>
    <row r="120" spans="1:18" s="151" customFormat="1" x14ac:dyDescent="0.2">
      <c r="C120" s="159" t="s">
        <v>631</v>
      </c>
      <c r="D120" s="159"/>
      <c r="E120" s="159"/>
      <c r="F120" s="159"/>
      <c r="G120" s="159"/>
      <c r="H120" s="159"/>
      <c r="I120" s="159"/>
      <c r="J120" s="159"/>
      <c r="K120" s="159"/>
      <c r="L120" s="159"/>
      <c r="M120" s="159"/>
      <c r="N120" s="159"/>
      <c r="O120" s="159"/>
      <c r="P120" s="159"/>
      <c r="Q120" s="159"/>
      <c r="R120" s="159"/>
    </row>
    <row r="121" spans="1:18" s="151" customFormat="1" x14ac:dyDescent="0.2"/>
    <row r="122" spans="1:18" s="151" customFormat="1" x14ac:dyDescent="0.2">
      <c r="D122" s="154" t="s">
        <v>412</v>
      </c>
    </row>
    <row r="123" spans="1:18" s="151" customFormat="1" x14ac:dyDescent="0.2">
      <c r="D123" s="174" t="s">
        <v>300</v>
      </c>
      <c r="F123" s="318" t="str">
        <f>IF(indoor.outdoor.CS1.activo="Indoor","Sí","No")</f>
        <v>No</v>
      </c>
    </row>
    <row r="124" spans="1:18" s="151" customFormat="1" x14ac:dyDescent="0.2">
      <c r="D124" s="151" t="s">
        <v>418</v>
      </c>
      <c r="E124" s="151" t="s">
        <v>965</v>
      </c>
      <c r="F124" s="230">
        <f>IF(comparticion.caseta.CS1=L!C214,1,IF(comparticion.caseta.CS1=L!C215,2,0))</f>
        <v>0</v>
      </c>
      <c r="I124" s="151" t="s">
        <v>475</v>
      </c>
    </row>
    <row r="125" spans="1:18" s="151" customFormat="1" x14ac:dyDescent="0.2">
      <c r="D125" s="151" t="s">
        <v>654</v>
      </c>
      <c r="E125" s="151" t="s">
        <v>150</v>
      </c>
      <c r="F125" s="230">
        <f>IF(AND(F123="Sí",F124&gt;0),1,0)</f>
        <v>0</v>
      </c>
      <c r="G125" s="192" t="s">
        <v>803</v>
      </c>
    </row>
    <row r="126" spans="1:18" s="151" customFormat="1" x14ac:dyDescent="0.2">
      <c r="D126" s="151" t="s">
        <v>419</v>
      </c>
      <c r="E126" s="151" t="s">
        <v>227</v>
      </c>
      <c r="F126" s="236">
        <f>IF(AND(F123="Sí",F124&gt;0),area.exterior.caseta,0)</f>
        <v>0</v>
      </c>
      <c r="G126" s="192" t="s">
        <v>727</v>
      </c>
    </row>
    <row r="127" spans="1:18" s="151" customFormat="1" x14ac:dyDescent="0.2">
      <c r="D127" s="187" t="s">
        <v>633</v>
      </c>
      <c r="E127" s="151" t="s">
        <v>227</v>
      </c>
      <c r="F127" s="236">
        <f>IF(AND(F123="Sí",F124=1),1,0)</f>
        <v>0</v>
      </c>
    </row>
    <row r="128" spans="1:18" s="151" customFormat="1" x14ac:dyDescent="0.2"/>
    <row r="129" spans="3:18" s="151" customFormat="1" x14ac:dyDescent="0.2">
      <c r="D129" s="154" t="s">
        <v>414</v>
      </c>
    </row>
    <row r="130" spans="3:18" s="151" customFormat="1" x14ac:dyDescent="0.2">
      <c r="D130" s="174" t="s">
        <v>300</v>
      </c>
      <c r="F130" s="316" t="str">
        <f>IF(AND(indoor.outdoor.CS2.activo="Indoor",cs2.activo=1),"Sí","No")</f>
        <v>No</v>
      </c>
    </row>
    <row r="131" spans="3:18" s="151" customFormat="1" x14ac:dyDescent="0.2">
      <c r="D131" s="151" t="s">
        <v>418</v>
      </c>
      <c r="E131" s="151" t="s">
        <v>965</v>
      </c>
      <c r="F131" s="230">
        <f>IF(comparticion.caseta.CS2=L!C214,1,IF(comparticion.caseta.CS2=L!C215,2,0))</f>
        <v>0</v>
      </c>
      <c r="I131" s="151" t="s">
        <v>475</v>
      </c>
    </row>
    <row r="132" spans="3:18" s="151" customFormat="1" x14ac:dyDescent="0.2">
      <c r="D132" s="151" t="s">
        <v>655</v>
      </c>
      <c r="E132" s="151" t="s">
        <v>150</v>
      </c>
      <c r="F132" s="230">
        <f>IF(AND(F130="Sí",F131=2),1,IF(AND(F130="Sí",F131=1,F124&lt;&gt;1),1,0))*cs2.activo</f>
        <v>0</v>
      </c>
      <c r="G132" s="192" t="s">
        <v>804</v>
      </c>
      <c r="I132" s="154"/>
    </row>
    <row r="133" spans="3:18" s="151" customFormat="1" x14ac:dyDescent="0.2">
      <c r="D133" s="151" t="s">
        <v>420</v>
      </c>
      <c r="E133" s="151" t="s">
        <v>227</v>
      </c>
      <c r="F133" s="236">
        <f>IF(AND(F130="Sí",F132&gt;0),area.exterior.caseta,0)</f>
        <v>0</v>
      </c>
      <c r="G133" s="192" t="s">
        <v>728</v>
      </c>
    </row>
    <row r="134" spans="3:18" s="151" customFormat="1" x14ac:dyDescent="0.2">
      <c r="D134" s="187" t="s">
        <v>633</v>
      </c>
      <c r="E134" s="151" t="s">
        <v>227</v>
      </c>
      <c r="F134" s="236">
        <f>IF(AND(F130="Sí",F131=1),1,0)</f>
        <v>0</v>
      </c>
    </row>
    <row r="135" spans="3:18" s="151" customFormat="1" x14ac:dyDescent="0.2"/>
    <row r="136" spans="3:18" s="151" customFormat="1" x14ac:dyDescent="0.2">
      <c r="D136" s="154" t="s">
        <v>415</v>
      </c>
    </row>
    <row r="137" spans="3:18" s="151" customFormat="1" x14ac:dyDescent="0.2">
      <c r="D137" s="174" t="s">
        <v>300</v>
      </c>
      <c r="F137" s="316" t="str">
        <f>IF(AND(indoor.outdoor.CS3.activo="Indoor",cs3.activo=1),"Sí","No")</f>
        <v>No</v>
      </c>
    </row>
    <row r="138" spans="3:18" s="151" customFormat="1" x14ac:dyDescent="0.2">
      <c r="D138" s="151" t="s">
        <v>418</v>
      </c>
      <c r="E138" s="151" t="s">
        <v>965</v>
      </c>
      <c r="F138" s="230">
        <f>IF(comparticion.caseta.CS3=L!C214,1,IF(comparticion.caseta.CS3=L!C215,2,0))</f>
        <v>0</v>
      </c>
      <c r="I138" s="151" t="s">
        <v>475</v>
      </c>
    </row>
    <row r="139" spans="3:18" s="151" customFormat="1" x14ac:dyDescent="0.2">
      <c r="D139" s="151" t="s">
        <v>655</v>
      </c>
      <c r="E139" s="151" t="s">
        <v>150</v>
      </c>
      <c r="F139" s="230">
        <f>IF(AND(F137="Sí",F138=2),1,IF(AND(F137="Sí",F138=1,F127=0,F134=0),1,0))</f>
        <v>0</v>
      </c>
      <c r="G139" s="192" t="s">
        <v>805</v>
      </c>
      <c r="I139" s="154"/>
    </row>
    <row r="140" spans="3:18" s="151" customFormat="1" x14ac:dyDescent="0.2">
      <c r="D140" s="151" t="s">
        <v>471</v>
      </c>
      <c r="E140" s="151" t="s">
        <v>227</v>
      </c>
      <c r="F140" s="236">
        <f>IF(AND(F137="Sí",F139&gt;0),area.exterior.caseta,0)</f>
        <v>0</v>
      </c>
      <c r="G140" s="192" t="s">
        <v>729</v>
      </c>
      <c r="I140" s="154"/>
    </row>
    <row r="141" spans="3:18" s="151" customFormat="1" x14ac:dyDescent="0.2"/>
    <row r="142" spans="3:18" s="151" customFormat="1" x14ac:dyDescent="0.2">
      <c r="C142" s="159" t="s">
        <v>632</v>
      </c>
      <c r="D142" s="159"/>
      <c r="E142" s="159"/>
      <c r="F142" s="159"/>
      <c r="G142" s="159"/>
      <c r="H142" s="159"/>
      <c r="I142" s="159"/>
      <c r="J142" s="159"/>
      <c r="K142" s="159"/>
      <c r="L142" s="159"/>
      <c r="M142" s="159"/>
      <c r="N142" s="159"/>
      <c r="O142" s="159"/>
      <c r="P142" s="159"/>
      <c r="Q142" s="159"/>
      <c r="R142" s="159"/>
    </row>
    <row r="143" spans="3:18" s="151" customFormat="1" x14ac:dyDescent="0.2"/>
    <row r="144" spans="3:18" s="151" customFormat="1" x14ac:dyDescent="0.2">
      <c r="D144" s="154" t="s">
        <v>788</v>
      </c>
    </row>
    <row r="145" spans="4:7" s="151" customFormat="1" x14ac:dyDescent="0.2">
      <c r="D145" s="154" t="s">
        <v>412</v>
      </c>
    </row>
    <row r="146" spans="4:7" s="151" customFormat="1" x14ac:dyDescent="0.2">
      <c r="D146" s="151" t="s">
        <v>360</v>
      </c>
      <c r="E146" s="151" t="s">
        <v>227</v>
      </c>
      <c r="F146" s="236">
        <f>IF(AND(F123="Sí",F124&gt;0),'Caracteristicas tecnicas'!F21*F40,0)</f>
        <v>0</v>
      </c>
      <c r="G146" s="152" t="s">
        <v>730</v>
      </c>
    </row>
    <row r="147" spans="4:7" s="151" customFormat="1" x14ac:dyDescent="0.2">
      <c r="D147" s="151" t="s">
        <v>606</v>
      </c>
      <c r="E147" s="151" t="s">
        <v>227</v>
      </c>
      <c r="F147" s="236">
        <f>IF(AND(F123="Sí",F124&gt;0),F263,0)</f>
        <v>0</v>
      </c>
      <c r="G147" s="152" t="s">
        <v>732</v>
      </c>
    </row>
    <row r="148" spans="4:7" s="151" customFormat="1" x14ac:dyDescent="0.2">
      <c r="F148" s="16"/>
    </row>
    <row r="149" spans="4:7" s="151" customFormat="1" x14ac:dyDescent="0.2">
      <c r="D149" s="154" t="s">
        <v>414</v>
      </c>
      <c r="F149" s="16"/>
    </row>
    <row r="150" spans="4:7" s="151" customFormat="1" x14ac:dyDescent="0.2">
      <c r="D150" s="151" t="s">
        <v>360</v>
      </c>
      <c r="E150" s="151" t="s">
        <v>227</v>
      </c>
      <c r="F150" s="236">
        <f>IF(AND(F130="Sí",F131&gt;0),area.BTS.indoor*demanda.CS2.activo,0)</f>
        <v>0</v>
      </c>
      <c r="G150" s="152" t="s">
        <v>731</v>
      </c>
    </row>
    <row r="151" spans="4:7" s="151" customFormat="1" x14ac:dyDescent="0.2">
      <c r="D151" s="151" t="s">
        <v>606</v>
      </c>
      <c r="E151" s="151" t="s">
        <v>227</v>
      </c>
      <c r="F151" s="236">
        <f>IF(AND(F130="Sí",F131&gt;0),F272,0)</f>
        <v>0</v>
      </c>
      <c r="G151" s="152" t="s">
        <v>733</v>
      </c>
    </row>
    <row r="152" spans="4:7" s="151" customFormat="1" x14ac:dyDescent="0.2">
      <c r="F152" s="16"/>
    </row>
    <row r="153" spans="4:7" s="151" customFormat="1" x14ac:dyDescent="0.2">
      <c r="D153" s="154" t="s">
        <v>415</v>
      </c>
      <c r="F153" s="16"/>
    </row>
    <row r="154" spans="4:7" s="151" customFormat="1" x14ac:dyDescent="0.2">
      <c r="D154" s="151" t="s">
        <v>360</v>
      </c>
      <c r="E154" s="151" t="s">
        <v>227</v>
      </c>
      <c r="F154" s="236">
        <f>IF(AND(F137="Sí",F138&gt;0),area.BTS.indoor*demanda.CS3.activo,0)</f>
        <v>0</v>
      </c>
      <c r="G154" s="152" t="s">
        <v>735</v>
      </c>
    </row>
    <row r="155" spans="4:7" s="151" customFormat="1" x14ac:dyDescent="0.2">
      <c r="D155" s="151" t="s">
        <v>606</v>
      </c>
      <c r="E155" s="151" t="s">
        <v>227</v>
      </c>
      <c r="F155" s="236">
        <f>IF(AND(F137="Sí",F138&gt;0),F282,0)</f>
        <v>0</v>
      </c>
      <c r="G155" s="152" t="s">
        <v>734</v>
      </c>
    </row>
    <row r="156" spans="4:7" s="151" customFormat="1" x14ac:dyDescent="0.2"/>
    <row r="157" spans="4:7" s="151" customFormat="1" x14ac:dyDescent="0.2">
      <c r="D157" s="154" t="s">
        <v>789</v>
      </c>
    </row>
    <row r="158" spans="4:7" s="151" customFormat="1" x14ac:dyDescent="0.2">
      <c r="D158" s="154" t="s">
        <v>412</v>
      </c>
    </row>
    <row r="159" spans="4:7" s="151" customFormat="1" x14ac:dyDescent="0.2">
      <c r="D159" s="151" t="s">
        <v>776</v>
      </c>
      <c r="E159" s="151" t="s">
        <v>150</v>
      </c>
      <c r="F159" s="230">
        <f>IF(area.BTS.indoor.CS1.caseta.CS=0,0,area.BTS.indoor.CS1.caseta.CS/area.BTS.indoor)</f>
        <v>0</v>
      </c>
      <c r="G159" s="152" t="s">
        <v>841</v>
      </c>
    </row>
    <row r="160" spans="4:7" s="151" customFormat="1" x14ac:dyDescent="0.2">
      <c r="D160" s="151" t="s">
        <v>840</v>
      </c>
      <c r="E160" s="151" t="s">
        <v>150</v>
      </c>
      <c r="F160" s="230">
        <f>IF(area.BBS.indoor.CS1.caseta.CS=0,0,area.BBS.indoor.CS1.caseta.CS/area.BTS.indoor)</f>
        <v>0</v>
      </c>
      <c r="G160" s="152" t="s">
        <v>842</v>
      </c>
    </row>
    <row r="161" spans="1:18" s="151" customFormat="1" x14ac:dyDescent="0.2">
      <c r="F161" s="3"/>
    </row>
    <row r="162" spans="1:18" s="151" customFormat="1" x14ac:dyDescent="0.2">
      <c r="D162" s="154" t="s">
        <v>414</v>
      </c>
      <c r="F162" s="3"/>
    </row>
    <row r="163" spans="1:18" s="151" customFormat="1" x14ac:dyDescent="0.2">
      <c r="D163" s="151" t="s">
        <v>776</v>
      </c>
      <c r="E163" s="151" t="s">
        <v>150</v>
      </c>
      <c r="F163" s="230">
        <f>IF(area.BTS.indoor.CS2.caseta.CS=0,0,area.BTS.indoor.CS2.caseta.CS/area.BTS.indoor)</f>
        <v>0</v>
      </c>
      <c r="G163" s="152" t="s">
        <v>843</v>
      </c>
    </row>
    <row r="164" spans="1:18" s="151" customFormat="1" x14ac:dyDescent="0.2">
      <c r="D164" s="151" t="s">
        <v>840</v>
      </c>
      <c r="E164" s="151" t="s">
        <v>150</v>
      </c>
      <c r="F164" s="230">
        <f>IF(area.BBS.indoor.CS2.caseta.CS=0,0,area.BBS.indoor.CS2.caseta.CS/area.BTS.indoor)</f>
        <v>0</v>
      </c>
      <c r="G164" s="152" t="s">
        <v>844</v>
      </c>
    </row>
    <row r="165" spans="1:18" s="151" customFormat="1" x14ac:dyDescent="0.2">
      <c r="F165" s="3"/>
    </row>
    <row r="166" spans="1:18" s="151" customFormat="1" x14ac:dyDescent="0.2">
      <c r="D166" s="154" t="s">
        <v>415</v>
      </c>
      <c r="F166" s="3"/>
    </row>
    <row r="167" spans="1:18" s="151" customFormat="1" x14ac:dyDescent="0.2">
      <c r="D167" s="151" t="s">
        <v>776</v>
      </c>
      <c r="E167" s="151" t="s">
        <v>150</v>
      </c>
      <c r="F167" s="230">
        <f>IF(area.BTS.indoor.CS3.caseta.CS=0,0,area.BTS.indoor.CS3.caseta.CS/area.BTS.indoor)</f>
        <v>0</v>
      </c>
      <c r="G167" s="152" t="s">
        <v>845</v>
      </c>
    </row>
    <row r="168" spans="1:18" s="151" customFormat="1" x14ac:dyDescent="0.2">
      <c r="D168" s="151" t="s">
        <v>840</v>
      </c>
      <c r="E168" s="151" t="s">
        <v>150</v>
      </c>
      <c r="F168" s="230">
        <f>IF(area.BBS.indoor.CS3.caseta.CS=0,0,area.BBS.indoor.CS3.caseta.CS/area.BTS.indoor)</f>
        <v>0</v>
      </c>
      <c r="G168" s="152" t="s">
        <v>846</v>
      </c>
    </row>
    <row r="169" spans="1:18" s="151" customFormat="1" x14ac:dyDescent="0.2">
      <c r="G169" s="152"/>
    </row>
    <row r="170" spans="1:18" s="151" customFormat="1" x14ac:dyDescent="0.2">
      <c r="A170" s="144">
        <v>5</v>
      </c>
      <c r="B170" s="160" t="str">
        <f>INDEX(lista.activos,$A170)</f>
        <v>Plancha de concreto - Equipos outdoor (BTS/BBS)</v>
      </c>
      <c r="C170" s="160"/>
      <c r="D170" s="160"/>
      <c r="E170" s="160"/>
      <c r="F170" s="160"/>
      <c r="G170" s="160"/>
      <c r="H170" s="160"/>
      <c r="I170" s="160"/>
      <c r="J170" s="160"/>
      <c r="K170" s="160"/>
      <c r="L170" s="160"/>
      <c r="M170" s="160"/>
      <c r="N170" s="160"/>
      <c r="O170" s="160"/>
      <c r="P170" s="160"/>
      <c r="Q170" s="160"/>
      <c r="R170" s="160"/>
    </row>
    <row r="171" spans="1:18" s="151" customFormat="1" x14ac:dyDescent="0.2"/>
    <row r="172" spans="1:18" s="151" customFormat="1" x14ac:dyDescent="0.2">
      <c r="C172" s="159" t="s">
        <v>318</v>
      </c>
      <c r="D172" s="159"/>
      <c r="E172" s="159"/>
      <c r="F172" s="159"/>
      <c r="G172" s="159"/>
      <c r="H172" s="159"/>
      <c r="I172" s="159"/>
      <c r="J172" s="159"/>
      <c r="K172" s="159"/>
      <c r="L172" s="159"/>
      <c r="M172" s="159"/>
      <c r="N172" s="159"/>
      <c r="O172" s="159"/>
      <c r="P172" s="159"/>
      <c r="Q172" s="159"/>
      <c r="R172" s="159"/>
    </row>
    <row r="173" spans="1:18" s="151" customFormat="1" x14ac:dyDescent="0.2"/>
    <row r="174" spans="1:18" s="151" customFormat="1" x14ac:dyDescent="0.2">
      <c r="D174" s="154" t="s">
        <v>806</v>
      </c>
      <c r="E174" s="144"/>
      <c r="F174" s="144"/>
      <c r="G174" s="144"/>
      <c r="H174" s="144"/>
      <c r="I174" s="144"/>
    </row>
    <row r="175" spans="1:18" s="151" customFormat="1" x14ac:dyDescent="0.2">
      <c r="D175" s="151" t="s">
        <v>361</v>
      </c>
      <c r="E175" s="151" t="s">
        <v>227</v>
      </c>
      <c r="F175" s="236">
        <f>IF(caseta.AEP.activo="No",area.BTS.outdoor*demanda.AEP.activo,0)</f>
        <v>4.4215920000000004</v>
      </c>
      <c r="G175" s="192" t="s">
        <v>686</v>
      </c>
      <c r="H175" s="144"/>
      <c r="I175" s="151" t="s">
        <v>626</v>
      </c>
    </row>
    <row r="176" spans="1:18" s="151" customFormat="1" x14ac:dyDescent="0.2">
      <c r="D176" s="151" t="s">
        <v>807</v>
      </c>
      <c r="E176" s="151" t="s">
        <v>150</v>
      </c>
      <c r="F176" s="230">
        <f>IF(caseta.AEP.activo="No",demanda.AEP.activo,0)</f>
        <v>3</v>
      </c>
      <c r="G176" s="192" t="s">
        <v>809</v>
      </c>
      <c r="H176" s="144"/>
    </row>
    <row r="177" spans="3:18" s="151" customFormat="1" x14ac:dyDescent="0.2">
      <c r="F177" s="144"/>
      <c r="G177" s="144"/>
      <c r="H177" s="144"/>
      <c r="I177" s="144"/>
    </row>
    <row r="178" spans="3:18" s="151" customFormat="1" x14ac:dyDescent="0.2">
      <c r="D178" s="154" t="s">
        <v>624</v>
      </c>
      <c r="F178" s="144"/>
      <c r="G178" s="144"/>
      <c r="H178" s="144"/>
      <c r="I178" s="144"/>
    </row>
    <row r="179" spans="3:18" s="151" customFormat="1" x14ac:dyDescent="0.2">
      <c r="D179" s="151" t="s">
        <v>637</v>
      </c>
      <c r="E179" s="151" t="s">
        <v>227</v>
      </c>
      <c r="F179" s="236">
        <f>IF(caseta.AEP.activo="No",F254,0)</f>
        <v>0</v>
      </c>
      <c r="G179" s="192" t="s">
        <v>687</v>
      </c>
      <c r="H179" s="144"/>
      <c r="I179" s="151" t="s">
        <v>625</v>
      </c>
    </row>
    <row r="180" spans="3:18" s="151" customFormat="1" x14ac:dyDescent="0.2">
      <c r="D180" s="151" t="s">
        <v>808</v>
      </c>
      <c r="E180" s="158" t="s">
        <v>150</v>
      </c>
      <c r="F180" s="230">
        <f>IF(area.BBS.outdoor.AEP=0,0,area.BBS.outdoor.AEP/area.BTS.outdoor)</f>
        <v>0</v>
      </c>
      <c r="G180" s="192" t="s">
        <v>810</v>
      </c>
    </row>
    <row r="181" spans="3:18" s="151" customFormat="1" x14ac:dyDescent="0.2"/>
    <row r="182" spans="3:18" s="151" customFormat="1" x14ac:dyDescent="0.2">
      <c r="D182" s="151" t="s">
        <v>1015</v>
      </c>
      <c r="E182" s="151" t="s">
        <v>239</v>
      </c>
      <c r="F182" s="180">
        <v>0.3</v>
      </c>
    </row>
    <row r="183" spans="3:18" s="151" customFormat="1" x14ac:dyDescent="0.2">
      <c r="D183" s="151" t="s">
        <v>1016</v>
      </c>
      <c r="E183" s="158" t="s">
        <v>1014</v>
      </c>
      <c r="F183" s="241">
        <f>(area.BTS.outdoor.AEP+area.BBS.outdoor.AEP)*F182</f>
        <v>1.3264776</v>
      </c>
      <c r="G183" s="152" t="s">
        <v>1017</v>
      </c>
    </row>
    <row r="184" spans="3:18" s="151" customFormat="1" x14ac:dyDescent="0.2"/>
    <row r="185" spans="3:18" s="151" customFormat="1" x14ac:dyDescent="0.2">
      <c r="C185" s="159" t="s">
        <v>753</v>
      </c>
      <c r="D185" s="159"/>
      <c r="E185" s="159"/>
      <c r="F185" s="159"/>
      <c r="G185" s="159"/>
      <c r="H185" s="159"/>
      <c r="I185" s="159"/>
      <c r="J185" s="159"/>
      <c r="K185" s="159"/>
      <c r="L185" s="159"/>
      <c r="M185" s="159"/>
      <c r="N185" s="159"/>
      <c r="O185" s="159"/>
      <c r="P185" s="159"/>
      <c r="Q185" s="159"/>
      <c r="R185" s="159"/>
    </row>
    <row r="186" spans="3:18" s="151" customFormat="1" x14ac:dyDescent="0.2"/>
    <row r="187" spans="3:18" s="151" customFormat="1" x14ac:dyDescent="0.2">
      <c r="D187" s="154" t="s">
        <v>97</v>
      </c>
    </row>
    <row r="188" spans="3:18" s="151" customFormat="1" x14ac:dyDescent="0.2">
      <c r="D188" s="151" t="s">
        <v>361</v>
      </c>
      <c r="E188" s="158" t="s">
        <v>227</v>
      </c>
      <c r="F188" s="236">
        <f>F195+F196+F197</f>
        <v>4.4215920000000004</v>
      </c>
      <c r="G188" s="192" t="s">
        <v>688</v>
      </c>
    </row>
    <row r="189" spans="3:18" s="151" customFormat="1" x14ac:dyDescent="0.2">
      <c r="D189" s="151" t="s">
        <v>637</v>
      </c>
      <c r="E189" s="158" t="s">
        <v>227</v>
      </c>
      <c r="F189" s="236">
        <f>F204+F205+F206</f>
        <v>0</v>
      </c>
      <c r="G189" s="192" t="s">
        <v>689</v>
      </c>
    </row>
    <row r="190" spans="3:18" s="151" customFormat="1" x14ac:dyDescent="0.2"/>
    <row r="191" spans="3:18" s="151" customFormat="1" x14ac:dyDescent="0.2">
      <c r="D191" s="151" t="s">
        <v>811</v>
      </c>
      <c r="E191" s="158" t="s">
        <v>150</v>
      </c>
      <c r="F191" s="230">
        <f>unidades.BTS.outdoor.CS1+unidades.BTS.outdoor.CS2+unidades.BTS.outdoor.CS3</f>
        <v>3</v>
      </c>
      <c r="G191" s="192" t="s">
        <v>813</v>
      </c>
    </row>
    <row r="192" spans="3:18" s="151" customFormat="1" x14ac:dyDescent="0.2">
      <c r="D192" s="151" t="s">
        <v>812</v>
      </c>
      <c r="E192" s="158" t="s">
        <v>150</v>
      </c>
      <c r="F192" s="230">
        <f>unidades.BBS.outdoor.CS1+unidades.BBS.outdoor.CS2+unidades.BBS.outdoor.CS3</f>
        <v>0</v>
      </c>
      <c r="G192" s="192" t="s">
        <v>814</v>
      </c>
    </row>
    <row r="193" spans="4:7" s="151" customFormat="1" x14ac:dyDescent="0.2"/>
    <row r="194" spans="4:7" s="151" customFormat="1" x14ac:dyDescent="0.2">
      <c r="D194" s="154" t="s">
        <v>754</v>
      </c>
    </row>
    <row r="195" spans="4:7" s="151" customFormat="1" x14ac:dyDescent="0.2">
      <c r="D195" s="151" t="s">
        <v>628</v>
      </c>
      <c r="E195" s="151" t="s">
        <v>227</v>
      </c>
      <c r="F195" s="236">
        <f>IF(F123="No",area.BTS.outdoor*demanda.CS1.activo,0)</f>
        <v>4.4215920000000004</v>
      </c>
      <c r="G195" s="192" t="s">
        <v>697</v>
      </c>
    </row>
    <row r="196" spans="4:7" s="151" customFormat="1" x14ac:dyDescent="0.2">
      <c r="D196" s="151" t="s">
        <v>629</v>
      </c>
      <c r="E196" s="151" t="s">
        <v>227</v>
      </c>
      <c r="F196" s="236">
        <f>IF(F130="No",area.BTS.outdoor*demanda.CS2.activo,0)</f>
        <v>0</v>
      </c>
      <c r="G196" s="192" t="s">
        <v>698</v>
      </c>
    </row>
    <row r="197" spans="4:7" s="151" customFormat="1" x14ac:dyDescent="0.2">
      <c r="D197" s="151" t="s">
        <v>630</v>
      </c>
      <c r="E197" s="151" t="s">
        <v>227</v>
      </c>
      <c r="F197" s="236">
        <f>IF(F137="No",area.BTS.outdoor*demanda.CS3.activo,0)</f>
        <v>0</v>
      </c>
      <c r="G197" s="192" t="s">
        <v>699</v>
      </c>
    </row>
    <row r="198" spans="4:7" s="151" customFormat="1" x14ac:dyDescent="0.2"/>
    <row r="199" spans="4:7" s="151" customFormat="1" x14ac:dyDescent="0.2">
      <c r="D199" s="151" t="s">
        <v>815</v>
      </c>
      <c r="E199" s="158" t="s">
        <v>150</v>
      </c>
      <c r="F199" s="230">
        <f>IF(F123="No",demanda.CS1.activo,0)</f>
        <v>3</v>
      </c>
      <c r="G199" s="192" t="s">
        <v>818</v>
      </c>
    </row>
    <row r="200" spans="4:7" s="151" customFormat="1" x14ac:dyDescent="0.2">
      <c r="D200" s="151" t="s">
        <v>816</v>
      </c>
      <c r="E200" s="158" t="s">
        <v>150</v>
      </c>
      <c r="F200" s="230">
        <f>IF(F130="No",demanda.CS2.activo,0)</f>
        <v>0</v>
      </c>
      <c r="G200" s="192" t="s">
        <v>819</v>
      </c>
    </row>
    <row r="201" spans="4:7" s="151" customFormat="1" x14ac:dyDescent="0.2">
      <c r="D201" s="151" t="s">
        <v>817</v>
      </c>
      <c r="E201" s="158" t="s">
        <v>150</v>
      </c>
      <c r="F201" s="230">
        <f>IF(F137="No",demanda.CS3.activo,0)</f>
        <v>0</v>
      </c>
      <c r="G201" s="192" t="s">
        <v>820</v>
      </c>
    </row>
    <row r="202" spans="4:7" s="151" customFormat="1" x14ac:dyDescent="0.2"/>
    <row r="203" spans="4:7" s="151" customFormat="1" x14ac:dyDescent="0.2">
      <c r="D203" s="154" t="s">
        <v>755</v>
      </c>
    </row>
    <row r="204" spans="4:7" s="151" customFormat="1" x14ac:dyDescent="0.2">
      <c r="D204" s="151" t="s">
        <v>634</v>
      </c>
      <c r="E204" s="151" t="s">
        <v>227</v>
      </c>
      <c r="F204" s="236">
        <f>IF(F123="No",F263,0)</f>
        <v>0</v>
      </c>
      <c r="G204" s="192" t="s">
        <v>706</v>
      </c>
    </row>
    <row r="205" spans="4:7" s="151" customFormat="1" x14ac:dyDescent="0.2">
      <c r="D205" s="151" t="s">
        <v>635</v>
      </c>
      <c r="E205" s="151" t="s">
        <v>227</v>
      </c>
      <c r="F205" s="236">
        <f>IF(AND(F130="No",cs2.activo=1),F272,0)</f>
        <v>0</v>
      </c>
      <c r="G205" s="192" t="s">
        <v>707</v>
      </c>
    </row>
    <row r="206" spans="4:7" s="151" customFormat="1" x14ac:dyDescent="0.2">
      <c r="D206" s="151" t="s">
        <v>636</v>
      </c>
      <c r="E206" s="151" t="s">
        <v>227</v>
      </c>
      <c r="F206" s="236">
        <f>IF(AND(F137="No",cs3.activo=1),F282,0)</f>
        <v>0</v>
      </c>
      <c r="G206" s="192" t="s">
        <v>708</v>
      </c>
    </row>
    <row r="207" spans="4:7" s="151" customFormat="1" x14ac:dyDescent="0.2"/>
    <row r="208" spans="4:7" s="151" customFormat="1" x14ac:dyDescent="0.2">
      <c r="D208" s="151" t="s">
        <v>824</v>
      </c>
      <c r="E208" s="158" t="s">
        <v>150</v>
      </c>
      <c r="F208" s="235">
        <f>IF(area.BBS.outdoor.CS1=0,0,area.BBS.outdoor.CS1/area.BTS.outdoor)</f>
        <v>0</v>
      </c>
      <c r="G208" s="192" t="s">
        <v>821</v>
      </c>
    </row>
    <row r="209" spans="1:18" s="151" customFormat="1" x14ac:dyDescent="0.2">
      <c r="D209" s="151" t="s">
        <v>825</v>
      </c>
      <c r="E209" s="158" t="s">
        <v>150</v>
      </c>
      <c r="F209" s="235">
        <f>IF(area.BBS.outdoor.CS2=0,0,area.BBS.outdoor.CS2/area.BTS.outdoor)</f>
        <v>0</v>
      </c>
      <c r="G209" s="192" t="s">
        <v>822</v>
      </c>
    </row>
    <row r="210" spans="1:18" s="151" customFormat="1" x14ac:dyDescent="0.2">
      <c r="D210" s="151" t="s">
        <v>826</v>
      </c>
      <c r="E210" s="158" t="s">
        <v>150</v>
      </c>
      <c r="F210" s="235">
        <f>IF(area.BBS.outdoor.CS3=0,0,area.BBS.outdoor.CS3/area.BTS.outdoor)</f>
        <v>0</v>
      </c>
      <c r="G210" s="192" t="s">
        <v>823</v>
      </c>
    </row>
    <row r="211" spans="1:18" s="151" customFormat="1" x14ac:dyDescent="0.2"/>
    <row r="212" spans="1:18" s="151" customFormat="1" x14ac:dyDescent="0.2">
      <c r="D212" s="151" t="s">
        <v>1015</v>
      </c>
      <c r="E212" s="151" t="s">
        <v>239</v>
      </c>
      <c r="F212" s="124">
        <v>0.3</v>
      </c>
    </row>
    <row r="213" spans="1:18" s="151" customFormat="1" x14ac:dyDescent="0.2">
      <c r="D213" s="151" t="s">
        <v>1016</v>
      </c>
      <c r="E213" s="158" t="s">
        <v>1014</v>
      </c>
      <c r="F213" s="241">
        <f>(area.BTSs.outdoor.CSs+area.BBSs.outdoor.CSs)*F212</f>
        <v>1.3264776</v>
      </c>
      <c r="G213" s="152" t="s">
        <v>1018</v>
      </c>
    </row>
    <row r="214" spans="1:18" s="151" customFormat="1" x14ac:dyDescent="0.2"/>
    <row r="215" spans="1:18" s="151" customFormat="1" x14ac:dyDescent="0.2">
      <c r="A215" s="144">
        <v>6</v>
      </c>
      <c r="B215" s="160" t="str">
        <f>INDEX(lista.activos,$A215)</f>
        <v>Nicho de acometida - Panel de energia principal</v>
      </c>
      <c r="C215" s="160"/>
      <c r="D215" s="160"/>
      <c r="E215" s="160"/>
      <c r="F215" s="160"/>
      <c r="G215" s="160"/>
      <c r="H215" s="160"/>
      <c r="I215" s="160"/>
      <c r="J215" s="160"/>
      <c r="K215" s="160"/>
      <c r="L215" s="160"/>
      <c r="M215" s="160"/>
      <c r="N215" s="160"/>
      <c r="O215" s="160"/>
      <c r="P215" s="160"/>
      <c r="Q215" s="160"/>
      <c r="R215" s="160"/>
    </row>
    <row r="216" spans="1:18" s="151" customFormat="1" x14ac:dyDescent="0.2">
      <c r="A216" s="118"/>
      <c r="B216" s="118"/>
      <c r="C216" s="118"/>
      <c r="D216" s="118"/>
      <c r="E216" s="118"/>
      <c r="F216" s="118"/>
      <c r="G216" s="118"/>
      <c r="H216" s="118"/>
      <c r="I216" s="118"/>
      <c r="J216" s="118"/>
      <c r="K216" s="118"/>
      <c r="L216" s="118"/>
      <c r="M216" s="118"/>
      <c r="N216" s="118"/>
      <c r="O216" s="118"/>
      <c r="P216" s="118"/>
      <c r="Q216" s="118"/>
      <c r="R216" s="118"/>
    </row>
    <row r="217" spans="1:18" s="151" customFormat="1" x14ac:dyDescent="0.2">
      <c r="A217" s="118"/>
      <c r="B217" s="118"/>
      <c r="C217" s="118"/>
      <c r="D217" s="174" t="s">
        <v>829</v>
      </c>
      <c r="E217" s="118" t="s">
        <v>227</v>
      </c>
      <c r="F217" s="104">
        <f>IF(predio.activo="Sí",area.standard.nicho.acometida,0)</f>
        <v>0.48</v>
      </c>
      <c r="G217" s="152" t="s">
        <v>690</v>
      </c>
      <c r="H217" s="118"/>
      <c r="I217" s="118" t="s">
        <v>292</v>
      </c>
      <c r="J217" s="118"/>
      <c r="K217" s="118"/>
      <c r="L217" s="118"/>
      <c r="M217" s="118"/>
      <c r="N217" s="118"/>
      <c r="O217" s="118"/>
      <c r="P217" s="118"/>
      <c r="Q217" s="118"/>
      <c r="R217" s="118"/>
    </row>
    <row r="218" spans="1:18" s="151" customFormat="1" x14ac:dyDescent="0.2">
      <c r="D218" s="174" t="s">
        <v>830</v>
      </c>
      <c r="E218" s="151" t="s">
        <v>150</v>
      </c>
      <c r="F218" s="104">
        <f>IF(predio.activo="Sí",1,0)</f>
        <v>1</v>
      </c>
      <c r="G218" s="152" t="s">
        <v>831</v>
      </c>
    </row>
    <row r="220" spans="1:18" s="151" customFormat="1" x14ac:dyDescent="0.2">
      <c r="A220" s="144">
        <v>7</v>
      </c>
      <c r="B220" s="160" t="str">
        <f>INDEX(lista.activos,$A220)</f>
        <v>Nicho de acometida - Panel de distribuición de energia</v>
      </c>
      <c r="C220" s="160"/>
      <c r="D220" s="160"/>
      <c r="E220" s="160"/>
      <c r="F220" s="160"/>
      <c r="G220" s="160"/>
      <c r="H220" s="160"/>
      <c r="I220" s="160"/>
      <c r="J220" s="160"/>
      <c r="K220" s="160"/>
      <c r="L220" s="160"/>
      <c r="M220" s="160"/>
      <c r="N220" s="160"/>
      <c r="O220" s="160"/>
      <c r="P220" s="160"/>
      <c r="Q220" s="160"/>
      <c r="R220" s="160"/>
    </row>
    <row r="221" spans="1:18" s="151" customFormat="1" x14ac:dyDescent="0.2"/>
    <row r="222" spans="1:18" s="151" customFormat="1" x14ac:dyDescent="0.2">
      <c r="D222" s="154" t="s">
        <v>318</v>
      </c>
    </row>
    <row r="223" spans="1:18" s="151" customFormat="1" x14ac:dyDescent="0.2">
      <c r="A223" s="118"/>
      <c r="B223" s="118"/>
      <c r="C223" s="118"/>
      <c r="D223" s="174" t="s">
        <v>833</v>
      </c>
      <c r="E223" s="151" t="s">
        <v>227</v>
      </c>
      <c r="F223" s="236">
        <f>IF(predio.activo="Sí",area.standard.nicho.acometida.secundario,0)</f>
        <v>0.1125</v>
      </c>
      <c r="G223" s="152" t="s">
        <v>691</v>
      </c>
      <c r="H223" s="118"/>
      <c r="I223" s="151" t="s">
        <v>292</v>
      </c>
      <c r="J223" s="118"/>
      <c r="K223" s="118"/>
      <c r="L223" s="118"/>
      <c r="M223" s="118"/>
      <c r="N223" s="118"/>
      <c r="O223" s="118"/>
      <c r="P223" s="118"/>
      <c r="Q223" s="118"/>
      <c r="R223" s="118"/>
    </row>
    <row r="224" spans="1:18" s="151" customFormat="1" x14ac:dyDescent="0.2">
      <c r="D224" s="174" t="s">
        <v>832</v>
      </c>
      <c r="E224" s="151" t="s">
        <v>150</v>
      </c>
      <c r="F224" s="230">
        <f>IF(predio.activo="Sí",1,0)</f>
        <v>1</v>
      </c>
      <c r="G224" s="152" t="s">
        <v>834</v>
      </c>
    </row>
    <row r="225" spans="1:18" s="151" customFormat="1" x14ac:dyDescent="0.2">
      <c r="D225" s="174"/>
    </row>
    <row r="226" spans="1:18" s="151" customFormat="1" x14ac:dyDescent="0.2">
      <c r="D226" s="154" t="s">
        <v>835</v>
      </c>
    </row>
    <row r="227" spans="1:18" s="151" customFormat="1" x14ac:dyDescent="0.2">
      <c r="A227" s="118"/>
      <c r="B227" s="118"/>
      <c r="C227" s="118"/>
      <c r="D227" s="174" t="s">
        <v>392</v>
      </c>
      <c r="E227" s="151" t="s">
        <v>227</v>
      </c>
      <c r="F227" s="236">
        <f>IF(predio.activo="Sí",area.standard.nicho.acometida.secundario,0)</f>
        <v>0.1125</v>
      </c>
      <c r="G227" s="152" t="s">
        <v>703</v>
      </c>
      <c r="H227" s="118"/>
      <c r="I227" s="151" t="s">
        <v>292</v>
      </c>
      <c r="J227" s="118"/>
      <c r="K227" s="118"/>
      <c r="L227" s="118"/>
      <c r="M227" s="118"/>
      <c r="N227" s="118"/>
      <c r="O227" s="118"/>
      <c r="P227" s="118"/>
      <c r="Q227" s="118"/>
      <c r="R227" s="118"/>
    </row>
    <row r="228" spans="1:18" s="151" customFormat="1" x14ac:dyDescent="0.2">
      <c r="D228" s="174" t="s">
        <v>393</v>
      </c>
      <c r="E228" s="151" t="s">
        <v>227</v>
      </c>
      <c r="F228" s="236">
        <f>IF(predio.activo="Sí",IF(numero.operadores.activo&gt;=2,area.standard.nicho.acometida.secundario,0),0)</f>
        <v>0</v>
      </c>
      <c r="G228" s="152" t="s">
        <v>704</v>
      </c>
      <c r="I228" s="151" t="s">
        <v>292</v>
      </c>
    </row>
    <row r="229" spans="1:18" s="151" customFormat="1" x14ac:dyDescent="0.2">
      <c r="D229" s="174" t="s">
        <v>416</v>
      </c>
      <c r="E229" s="151" t="s">
        <v>227</v>
      </c>
      <c r="F229" s="236">
        <f>IF(predio.activo="Sí",IF(numero.operadores.activo=3,area.standard.nicho.acometida.secundario,0),0)</f>
        <v>0</v>
      </c>
      <c r="G229" s="152" t="s">
        <v>705</v>
      </c>
      <c r="I229" s="151" t="s">
        <v>292</v>
      </c>
    </row>
    <row r="230" spans="1:18" s="151" customFormat="1" x14ac:dyDescent="0.2">
      <c r="D230" s="174"/>
      <c r="G230" s="152"/>
    </row>
    <row r="231" spans="1:18" s="151" customFormat="1" x14ac:dyDescent="0.2">
      <c r="D231" s="154" t="s">
        <v>836</v>
      </c>
      <c r="F231" s="152"/>
      <c r="G231" s="152"/>
    </row>
    <row r="232" spans="1:18" s="151" customFormat="1" x14ac:dyDescent="0.2">
      <c r="D232" s="174" t="s">
        <v>392</v>
      </c>
      <c r="E232" s="151" t="s">
        <v>150</v>
      </c>
      <c r="F232" s="230">
        <f>IF(predio.activo="Sí",IF(numero.operadores.activo&gt;=1,1,0),0)</f>
        <v>1</v>
      </c>
      <c r="G232" s="152" t="s">
        <v>837</v>
      </c>
    </row>
    <row r="233" spans="1:18" s="151" customFormat="1" x14ac:dyDescent="0.2">
      <c r="D233" s="174" t="s">
        <v>393</v>
      </c>
      <c r="E233" s="151" t="s">
        <v>150</v>
      </c>
      <c r="F233" s="230">
        <f>IF(predio.activo="Sí",IF(numero.operadores.activo&gt;=2,1,0),0)</f>
        <v>0</v>
      </c>
      <c r="G233" s="152" t="s">
        <v>838</v>
      </c>
    </row>
    <row r="234" spans="1:18" s="151" customFormat="1" x14ac:dyDescent="0.2">
      <c r="D234" s="174" t="s">
        <v>416</v>
      </c>
      <c r="E234" s="151" t="s">
        <v>150</v>
      </c>
      <c r="F234" s="230">
        <f>IF(predio.activo="Sí",IF(numero.operadores.activo=3,1,0),0)</f>
        <v>0</v>
      </c>
      <c r="G234" s="152" t="s">
        <v>839</v>
      </c>
    </row>
    <row r="235" spans="1:18" s="151" customFormat="1" x14ac:dyDescent="0.2">
      <c r="D235" s="174"/>
      <c r="F235" s="152"/>
      <c r="G235" s="152"/>
    </row>
    <row r="236" spans="1:18" s="151" customFormat="1" x14ac:dyDescent="0.2">
      <c r="D236" s="154" t="s">
        <v>97</v>
      </c>
    </row>
    <row r="237" spans="1:18" s="151" customFormat="1" x14ac:dyDescent="0.2">
      <c r="D237" s="174" t="s">
        <v>849</v>
      </c>
      <c r="E237" s="151" t="s">
        <v>227</v>
      </c>
      <c r="F237" s="236">
        <f>area.outdoor.nicho.acometida.secundaria.AEP+area.outdoor.nicho.acometida.secundaria.CS1+area.outdoor.nicho.acometida.secundaria.CS2+area.outdoor.nicho.acometida.secundaria.CS3</f>
        <v>0.22500000000000001</v>
      </c>
      <c r="G237" s="152" t="s">
        <v>850</v>
      </c>
    </row>
    <row r="238" spans="1:18" s="151" customFormat="1" x14ac:dyDescent="0.2">
      <c r="D238" s="174" t="s">
        <v>848</v>
      </c>
      <c r="E238" s="151" t="s">
        <v>150</v>
      </c>
      <c r="F238" s="230">
        <f>unidades.outdoor.nicho.acometida.secundaria.AEP+unidades.outdoor.nicho.acometida.secundaria.CS1+unidades.outdoor.nicho.acometida.secundaria.CS2+unidades.outdoor.nicho.acometida.secundaria.CS3</f>
        <v>2</v>
      </c>
      <c r="G238" s="152" t="s">
        <v>851</v>
      </c>
    </row>
    <row r="239" spans="1:18" s="151" customFormat="1" x14ac:dyDescent="0.2"/>
    <row r="240" spans="1:18" s="151" customFormat="1" x14ac:dyDescent="0.2">
      <c r="A240" s="146" t="s">
        <v>310</v>
      </c>
      <c r="B240" s="143"/>
      <c r="C240" s="143"/>
      <c r="D240" s="143"/>
      <c r="E240" s="143"/>
      <c r="F240" s="143"/>
      <c r="G240" s="143"/>
      <c r="H240" s="143"/>
      <c r="I240" s="143"/>
      <c r="J240" s="143"/>
      <c r="K240" s="143"/>
      <c r="L240" s="143"/>
      <c r="M240" s="143"/>
      <c r="N240" s="143"/>
      <c r="O240" s="143"/>
      <c r="P240" s="143"/>
      <c r="Q240" s="143"/>
      <c r="R240" s="143"/>
    </row>
    <row r="241" spans="1:18" s="151" customFormat="1" x14ac:dyDescent="0.2">
      <c r="A241" s="144">
        <v>8</v>
      </c>
      <c r="B241" s="160" t="str">
        <f>INDEX(lista.activos,$A241)</f>
        <v>Fuente de energía de respaldo</v>
      </c>
      <c r="C241" s="160"/>
      <c r="D241" s="160"/>
      <c r="E241" s="160"/>
      <c r="F241" s="160"/>
      <c r="G241" s="160"/>
      <c r="H241" s="160"/>
      <c r="I241" s="160"/>
      <c r="J241" s="160"/>
      <c r="K241" s="160"/>
      <c r="L241" s="160"/>
      <c r="M241" s="160"/>
      <c r="N241" s="160"/>
      <c r="O241" s="160"/>
      <c r="P241" s="160"/>
      <c r="Q241" s="160"/>
      <c r="R241" s="160"/>
    </row>
    <row r="242" spans="1:18" s="151" customFormat="1" x14ac:dyDescent="0.2">
      <c r="A242" s="144"/>
      <c r="B242" s="144"/>
      <c r="C242" s="144"/>
      <c r="D242" s="144"/>
      <c r="E242" s="144"/>
      <c r="F242" s="144"/>
      <c r="G242" s="144"/>
      <c r="H242" s="144"/>
      <c r="I242" s="144"/>
      <c r="J242" s="144"/>
      <c r="K242" s="144"/>
      <c r="L242" s="144"/>
      <c r="M242" s="144"/>
      <c r="N242" s="144"/>
      <c r="O242" s="144"/>
      <c r="P242" s="144"/>
      <c r="Q242" s="144"/>
      <c r="R242" s="144"/>
    </row>
    <row r="243" spans="1:18" s="151" customFormat="1" x14ac:dyDescent="0.2">
      <c r="A243" s="144"/>
      <c r="B243" s="144"/>
      <c r="C243" s="144"/>
      <c r="D243" s="154" t="s">
        <v>318</v>
      </c>
      <c r="E243" s="144"/>
      <c r="F243" s="144"/>
      <c r="G243" s="144"/>
      <c r="H243" s="144"/>
      <c r="I243" s="154"/>
      <c r="J243" s="144"/>
      <c r="K243" s="144"/>
      <c r="L243" s="144"/>
      <c r="M243" s="144"/>
      <c r="N243" s="144"/>
      <c r="O243" s="144"/>
      <c r="Q243" s="144"/>
      <c r="R243" s="144"/>
    </row>
    <row r="244" spans="1:18" s="151" customFormat="1" x14ac:dyDescent="0.2">
      <c r="A244" s="144"/>
      <c r="B244" s="144"/>
      <c r="C244" s="144"/>
      <c r="D244" s="151" t="s">
        <v>757</v>
      </c>
      <c r="E244" s="151" t="s">
        <v>895</v>
      </c>
      <c r="F244" s="236">
        <f>IF(geotipo.activo=L!$C$84,(demanda.AEP.activo*consumo.energia.medio.rural),(demanda.AEP.activo*consumo.energia.medio.urbano))</f>
        <v>2.8016666666666667</v>
      </c>
      <c r="G244" s="152" t="s">
        <v>737</v>
      </c>
      <c r="H244" s="144"/>
      <c r="I244" s="144"/>
      <c r="J244" s="144"/>
      <c r="K244" s="144"/>
      <c r="L244" s="144"/>
      <c r="M244" s="144"/>
      <c r="N244" s="144"/>
      <c r="O244" s="144"/>
      <c r="P244" s="144"/>
      <c r="Q244" s="144"/>
      <c r="R244" s="144"/>
    </row>
    <row r="245" spans="1:18" s="151" customFormat="1" x14ac:dyDescent="0.2">
      <c r="A245" s="144"/>
      <c r="B245" s="144"/>
      <c r="C245" s="144"/>
      <c r="H245" s="144"/>
      <c r="I245" s="144"/>
      <c r="J245" s="144"/>
      <c r="K245" s="144"/>
      <c r="L245" s="144"/>
      <c r="M245" s="144"/>
      <c r="N245" s="144"/>
      <c r="O245" s="144"/>
      <c r="P245" s="144"/>
      <c r="Q245" s="144"/>
      <c r="R245" s="144"/>
    </row>
    <row r="246" spans="1:18" s="151" customFormat="1" x14ac:dyDescent="0.2">
      <c r="A246" s="144"/>
      <c r="B246" s="144"/>
      <c r="C246" s="144"/>
      <c r="D246" s="151" t="s">
        <v>977</v>
      </c>
      <c r="E246" s="151" t="s">
        <v>150</v>
      </c>
      <c r="F246" s="230">
        <f>IF(AND(geotipo.activo=L!$C$84,bateria.rural="BBS"),ROUNDUP(demanda.AEP.activo*consumo.energia.medio.rural/BBS.capacity.rural,0),0)</f>
        <v>0</v>
      </c>
      <c r="G246" s="152" t="s">
        <v>847</v>
      </c>
      <c r="H246" s="144"/>
      <c r="I246" s="144"/>
      <c r="J246" s="144"/>
      <c r="K246" s="144"/>
      <c r="L246" s="144"/>
      <c r="M246" s="144"/>
      <c r="N246" s="144"/>
      <c r="O246" s="144"/>
      <c r="P246" s="144"/>
      <c r="Q246" s="144"/>
      <c r="R246" s="144"/>
    </row>
    <row r="247" spans="1:18" s="151" customFormat="1" x14ac:dyDescent="0.2">
      <c r="A247" s="144"/>
      <c r="B247" s="144"/>
      <c r="C247" s="144"/>
      <c r="D247" s="151" t="s">
        <v>445</v>
      </c>
      <c r="E247" s="151" t="s">
        <v>895</v>
      </c>
      <c r="F247" s="236">
        <f>IF(geotipo.activo="Rural",BBS.capacity.rural*F246,BBS.capacity.urban*F246)</f>
        <v>0</v>
      </c>
      <c r="G247" s="152" t="s">
        <v>736</v>
      </c>
      <c r="H247" s="144"/>
      <c r="I247" s="144"/>
      <c r="J247" s="144"/>
      <c r="K247" s="144"/>
      <c r="L247" s="144"/>
      <c r="M247" s="144"/>
      <c r="N247" s="144"/>
      <c r="O247" s="144"/>
      <c r="P247" s="144"/>
      <c r="Q247" s="144"/>
      <c r="R247" s="144"/>
    </row>
    <row r="248" spans="1:18" s="151" customFormat="1" x14ac:dyDescent="0.2">
      <c r="A248" s="144"/>
      <c r="B248" s="144"/>
      <c r="C248" s="144"/>
      <c r="D248" s="151" t="s">
        <v>442</v>
      </c>
      <c r="E248" s="151" t="s">
        <v>895</v>
      </c>
      <c r="F248" s="236">
        <f>MAX(F247-F244,0)</f>
        <v>0</v>
      </c>
      <c r="H248" s="144"/>
      <c r="I248" s="144"/>
      <c r="J248" s="144"/>
      <c r="K248" s="144"/>
      <c r="L248" s="144"/>
      <c r="M248" s="144"/>
      <c r="N248" s="144"/>
      <c r="O248" s="144"/>
      <c r="P248" s="144"/>
      <c r="Q248" s="144"/>
      <c r="R248" s="144"/>
    </row>
    <row r="249" spans="1:18" s="151" customFormat="1" x14ac:dyDescent="0.2">
      <c r="A249" s="144"/>
      <c r="B249" s="144"/>
      <c r="C249" s="144"/>
      <c r="H249" s="144"/>
      <c r="I249" s="144"/>
      <c r="J249" s="144"/>
      <c r="K249" s="144"/>
      <c r="L249" s="144"/>
      <c r="M249" s="144"/>
      <c r="N249" s="144"/>
      <c r="O249" s="144"/>
      <c r="P249" s="144"/>
      <c r="Q249" s="144"/>
      <c r="R249" s="144"/>
    </row>
    <row r="250" spans="1:18" s="151" customFormat="1" x14ac:dyDescent="0.2">
      <c r="A250" s="144"/>
      <c r="B250" s="144"/>
      <c r="C250" s="144"/>
      <c r="D250" s="151" t="s">
        <v>656</v>
      </c>
      <c r="E250" s="151" t="s">
        <v>895</v>
      </c>
      <c r="F250" s="239">
        <f>F248</f>
        <v>0</v>
      </c>
      <c r="G250" s="152" t="s">
        <v>905</v>
      </c>
      <c r="H250" s="144"/>
      <c r="I250" s="144"/>
      <c r="J250" s="144"/>
      <c r="K250" s="144"/>
      <c r="L250" s="144"/>
      <c r="M250" s="144"/>
      <c r="N250" s="144"/>
      <c r="O250" s="144"/>
      <c r="P250" s="144"/>
      <c r="Q250" s="144"/>
      <c r="R250" s="144"/>
    </row>
    <row r="251" spans="1:18" s="151" customFormat="1" x14ac:dyDescent="0.2">
      <c r="A251" s="144"/>
      <c r="B251" s="144"/>
      <c r="C251" s="144"/>
      <c r="D251" s="151" t="s">
        <v>657</v>
      </c>
      <c r="E251" s="151" t="s">
        <v>895</v>
      </c>
      <c r="F251" s="236">
        <f>F250-F261</f>
        <v>0</v>
      </c>
      <c r="G251" s="152" t="s">
        <v>906</v>
      </c>
      <c r="H251" s="144"/>
      <c r="I251" s="144"/>
      <c r="J251" s="144"/>
      <c r="K251" s="144"/>
      <c r="L251" s="144"/>
      <c r="M251" s="144"/>
      <c r="N251" s="144"/>
      <c r="O251" s="144"/>
      <c r="P251" s="144"/>
      <c r="Q251" s="144"/>
      <c r="R251" s="144"/>
    </row>
    <row r="252" spans="1:18" s="151" customFormat="1" x14ac:dyDescent="0.2">
      <c r="A252" s="144"/>
      <c r="B252" s="144"/>
      <c r="C252" s="144"/>
      <c r="D252" s="151" t="s">
        <v>658</v>
      </c>
      <c r="E252" s="151" t="s">
        <v>895</v>
      </c>
      <c r="F252" s="236">
        <f>F251-F270</f>
        <v>0</v>
      </c>
      <c r="G252" s="152" t="s">
        <v>907</v>
      </c>
      <c r="H252" s="144"/>
      <c r="I252" s="144"/>
      <c r="J252" s="144"/>
      <c r="K252" s="144"/>
      <c r="L252" s="144"/>
      <c r="M252" s="144"/>
      <c r="N252" s="144"/>
      <c r="O252" s="144"/>
      <c r="P252" s="144"/>
      <c r="Q252" s="144"/>
      <c r="R252" s="144"/>
    </row>
    <row r="253" spans="1:18" s="151" customFormat="1" x14ac:dyDescent="0.2">
      <c r="A253" s="144"/>
      <c r="B253" s="144"/>
      <c r="C253" s="144"/>
      <c r="F253" s="16"/>
      <c r="H253" s="144"/>
      <c r="I253" s="144"/>
      <c r="J253" s="144"/>
      <c r="K253" s="144"/>
      <c r="L253" s="144"/>
      <c r="M253" s="144"/>
      <c r="N253" s="144"/>
      <c r="O253" s="144"/>
      <c r="P253" s="144"/>
      <c r="Q253" s="144"/>
      <c r="R253" s="144"/>
    </row>
    <row r="254" spans="1:18" s="151" customFormat="1" x14ac:dyDescent="0.2">
      <c r="A254" s="144"/>
      <c r="B254" s="144"/>
      <c r="C254" s="144"/>
      <c r="D254" s="151" t="s">
        <v>436</v>
      </c>
      <c r="E254" s="151" t="s">
        <v>227</v>
      </c>
      <c r="F254" s="236">
        <f>IF(caseta.AEP.activo="Sí",F246*area.BTS.indoor,F246*area.BTS.outdoor)</f>
        <v>0</v>
      </c>
      <c r="I254" s="151" t="s">
        <v>659</v>
      </c>
      <c r="K254" s="144"/>
      <c r="L254" s="144"/>
      <c r="M254" s="144"/>
      <c r="N254" s="144"/>
      <c r="O254" s="144"/>
      <c r="P254" s="144"/>
      <c r="Q254" s="144"/>
      <c r="R254" s="144"/>
    </row>
    <row r="255" spans="1:18" s="151" customFormat="1" x14ac:dyDescent="0.2">
      <c r="A255" s="144"/>
      <c r="B255" s="144"/>
      <c r="C255" s="144"/>
      <c r="F255" s="16"/>
      <c r="H255" s="144"/>
      <c r="K255" s="144"/>
      <c r="L255" s="144"/>
      <c r="M255" s="144"/>
      <c r="N255" s="144"/>
      <c r="O255" s="144"/>
      <c r="P255" s="144"/>
      <c r="Q255" s="144"/>
      <c r="R255" s="144"/>
    </row>
    <row r="256" spans="1:18" s="151" customFormat="1" x14ac:dyDescent="0.2">
      <c r="A256" s="144"/>
      <c r="B256" s="144"/>
      <c r="C256" s="144"/>
      <c r="D256" s="154" t="s">
        <v>412</v>
      </c>
      <c r="F256" s="16"/>
      <c r="H256" s="144"/>
      <c r="I256" s="144"/>
      <c r="J256" s="144"/>
      <c r="K256" s="144"/>
      <c r="L256" s="144"/>
      <c r="M256" s="144"/>
      <c r="N256" s="144"/>
      <c r="O256" s="144"/>
      <c r="P256" s="144"/>
      <c r="Q256" s="144"/>
      <c r="R256" s="144"/>
    </row>
    <row r="257" spans="1:18" s="151" customFormat="1" x14ac:dyDescent="0.2">
      <c r="A257" s="144"/>
      <c r="B257" s="144"/>
      <c r="C257" s="144"/>
      <c r="D257" s="151" t="s">
        <v>899</v>
      </c>
      <c r="E257" s="151" t="s">
        <v>895</v>
      </c>
      <c r="F257" s="236">
        <f>IF(geotipo.activo=L!$C$84,(demanda.CS1.activo*consumo.energia.medio.rural),(demanda.CS1.activo*consumo.energia.medio.urbano))</f>
        <v>2.8016666666666667</v>
      </c>
      <c r="H257" s="144"/>
      <c r="I257" s="144"/>
      <c r="J257" s="144"/>
      <c r="K257" s="144"/>
      <c r="L257" s="144"/>
      <c r="M257" s="144"/>
      <c r="N257" s="144"/>
      <c r="O257" s="144"/>
      <c r="P257" s="144"/>
      <c r="Q257" s="144"/>
      <c r="R257" s="144"/>
    </row>
    <row r="258" spans="1:18" s="151" customFormat="1" x14ac:dyDescent="0.2">
      <c r="A258" s="144"/>
      <c r="B258" s="144"/>
      <c r="C258" s="144"/>
      <c r="F258" s="16"/>
      <c r="H258" s="144"/>
      <c r="I258" s="157">
        <v>1</v>
      </c>
      <c r="J258" s="157">
        <f>I258+1</f>
        <v>2</v>
      </c>
      <c r="K258" s="144"/>
      <c r="L258" s="144"/>
      <c r="M258" s="144"/>
      <c r="N258" s="144"/>
      <c r="O258" s="144"/>
      <c r="P258" s="144"/>
      <c r="Q258" s="144"/>
      <c r="R258" s="144"/>
    </row>
    <row r="259" spans="1:18" s="151" customFormat="1" x14ac:dyDescent="0.2">
      <c r="A259" s="144"/>
      <c r="B259" s="144"/>
      <c r="C259" s="144"/>
      <c r="D259" s="151" t="s">
        <v>450</v>
      </c>
      <c r="F259" s="317" t="str">
        <f>IF(AND(F250-F257&gt;=0,Control!E124=1),"Sí","No")</f>
        <v>No</v>
      </c>
      <c r="H259" s="176" t="str">
        <f>utilizar.capacidad.CS1</f>
        <v>No</v>
      </c>
      <c r="I259" s="151" t="str">
        <f>F259</f>
        <v>No</v>
      </c>
      <c r="J259" s="151" t="s">
        <v>184</v>
      </c>
      <c r="K259" s="192" t="s">
        <v>461</v>
      </c>
      <c r="L259" s="144"/>
      <c r="M259" s="144"/>
      <c r="N259" s="144"/>
      <c r="O259" s="144"/>
      <c r="P259" s="144"/>
      <c r="Q259" s="144"/>
      <c r="R259" s="144"/>
    </row>
    <row r="260" spans="1:18" s="151" customFormat="1" x14ac:dyDescent="0.2">
      <c r="A260" s="144"/>
      <c r="B260" s="144"/>
      <c r="C260" s="144"/>
      <c r="D260" s="151" t="s">
        <v>451</v>
      </c>
      <c r="F260" s="318" t="str">
        <f>Control!G124</f>
        <v>No</v>
      </c>
      <c r="M260" s="144"/>
      <c r="N260" s="144"/>
      <c r="O260" s="144"/>
      <c r="P260" s="144"/>
      <c r="Q260" s="144"/>
      <c r="R260" s="144"/>
    </row>
    <row r="261" spans="1:18" s="151" customFormat="1" x14ac:dyDescent="0.2">
      <c r="A261" s="144"/>
      <c r="B261" s="144"/>
      <c r="C261" s="144"/>
      <c r="D261" s="151" t="s">
        <v>452</v>
      </c>
      <c r="E261" s="151" t="s">
        <v>895</v>
      </c>
      <c r="F261" s="236">
        <f>IF(F260="Sí",F257,0)</f>
        <v>0</v>
      </c>
      <c r="G261" s="152" t="s">
        <v>738</v>
      </c>
      <c r="H261" s="144"/>
      <c r="I261" s="144"/>
      <c r="J261" s="144"/>
      <c r="K261" s="144"/>
      <c r="L261" s="144"/>
      <c r="M261" s="144"/>
      <c r="N261" s="144"/>
      <c r="O261" s="144"/>
      <c r="P261" s="144"/>
      <c r="Q261" s="144"/>
      <c r="R261" s="144"/>
    </row>
    <row r="262" spans="1:18" s="151" customFormat="1" x14ac:dyDescent="0.2">
      <c r="A262" s="144"/>
      <c r="B262" s="144"/>
      <c r="C262" s="144"/>
      <c r="F262" s="16"/>
      <c r="H262" s="144"/>
      <c r="I262" s="144"/>
      <c r="J262" s="144"/>
      <c r="K262" s="144"/>
      <c r="L262" s="144"/>
      <c r="M262" s="144"/>
      <c r="N262" s="144"/>
      <c r="O262" s="144"/>
      <c r="P262" s="144"/>
      <c r="Q262" s="144"/>
      <c r="R262" s="144"/>
    </row>
    <row r="263" spans="1:18" s="151" customFormat="1" x14ac:dyDescent="0.2">
      <c r="A263" s="144"/>
      <c r="B263" s="144"/>
      <c r="C263" s="144"/>
      <c r="D263" s="151" t="s">
        <v>440</v>
      </c>
      <c r="E263" s="151" t="s">
        <v>227</v>
      </c>
      <c r="F263" s="236">
        <f>IF(F260="Sí",0,IF(indoor.outdoor.CS1.activo="Indoor",demanda.BBS.CS1*area.BTS.indoor,demanda.BBS.CS1*area.BTS.outdoor))</f>
        <v>0</v>
      </c>
      <c r="H263" s="144"/>
      <c r="J263" s="144"/>
      <c r="K263" s="144"/>
      <c r="L263" s="144"/>
      <c r="M263" s="144"/>
      <c r="N263" s="144"/>
      <c r="O263" s="144"/>
      <c r="P263" s="144"/>
      <c r="Q263" s="144"/>
      <c r="R263" s="144"/>
    </row>
    <row r="264" spans="1:18" s="151" customFormat="1" x14ac:dyDescent="0.2">
      <c r="A264" s="144"/>
      <c r="B264" s="144"/>
      <c r="C264" s="144"/>
      <c r="D264" s="154"/>
      <c r="F264" s="16"/>
      <c r="H264" s="144"/>
      <c r="I264" s="144"/>
      <c r="J264" s="144"/>
      <c r="K264" s="144"/>
      <c r="L264" s="144"/>
      <c r="M264" s="144"/>
      <c r="N264" s="144"/>
      <c r="O264" s="144"/>
      <c r="P264" s="144"/>
      <c r="Q264" s="144"/>
      <c r="R264" s="144"/>
    </row>
    <row r="265" spans="1:18" s="151" customFormat="1" x14ac:dyDescent="0.2">
      <c r="A265" s="144"/>
      <c r="B265" s="144"/>
      <c r="C265" s="144"/>
      <c r="D265" s="154" t="s">
        <v>414</v>
      </c>
      <c r="F265" s="16"/>
      <c r="H265" s="144"/>
      <c r="I265" s="144"/>
      <c r="J265" s="144"/>
      <c r="K265" s="144"/>
      <c r="L265" s="144"/>
      <c r="M265" s="144"/>
      <c r="N265" s="144"/>
      <c r="O265" s="144"/>
      <c r="P265" s="144"/>
      <c r="Q265" s="144"/>
      <c r="R265" s="144"/>
    </row>
    <row r="266" spans="1:18" s="151" customFormat="1" x14ac:dyDescent="0.2">
      <c r="A266" s="144"/>
      <c r="B266" s="144"/>
      <c r="C266" s="144"/>
      <c r="D266" s="151" t="s">
        <v>900</v>
      </c>
      <c r="E266" s="151" t="s">
        <v>895</v>
      </c>
      <c r="F266" s="236">
        <f>IF(geotipo.activo=L!$C$84,(demanda.CS2.activo*consumo.energia.medio.rural),(demanda.CS2.activo*consumo.energia.medio.urbano))</f>
        <v>0</v>
      </c>
      <c r="H266" s="144"/>
      <c r="I266" s="144"/>
      <c r="J266" s="144"/>
      <c r="K266" s="144"/>
      <c r="L266" s="144"/>
      <c r="M266" s="144"/>
      <c r="N266" s="144"/>
      <c r="O266" s="144"/>
      <c r="P266" s="144"/>
      <c r="Q266" s="144"/>
      <c r="R266" s="144"/>
    </row>
    <row r="267" spans="1:18" s="151" customFormat="1" x14ac:dyDescent="0.2">
      <c r="A267" s="144"/>
      <c r="B267" s="144"/>
      <c r="C267" s="144"/>
      <c r="F267" s="16"/>
      <c r="H267" s="144"/>
      <c r="I267" s="157">
        <v>1</v>
      </c>
      <c r="J267" s="157">
        <f>I267+1</f>
        <v>2</v>
      </c>
      <c r="K267" s="144"/>
      <c r="L267" s="144"/>
      <c r="M267" s="144"/>
      <c r="N267" s="144"/>
      <c r="O267" s="144"/>
      <c r="P267" s="144"/>
      <c r="Q267" s="144"/>
      <c r="R267" s="144"/>
    </row>
    <row r="268" spans="1:18" s="151" customFormat="1" x14ac:dyDescent="0.2">
      <c r="A268" s="144"/>
      <c r="B268" s="144"/>
      <c r="C268" s="144"/>
      <c r="D268" s="151" t="s">
        <v>450</v>
      </c>
      <c r="F268" s="317" t="str">
        <f>IF(AND(F251-F266&gt;=0,Control!E125=1),"Sí","No")</f>
        <v>Sí</v>
      </c>
      <c r="H268" s="176" t="str">
        <f>utilizar.capacidad.CS2</f>
        <v>No</v>
      </c>
      <c r="I268" s="151" t="str">
        <f>F268</f>
        <v>Sí</v>
      </c>
      <c r="J268" s="151" t="s">
        <v>184</v>
      </c>
      <c r="K268" s="192" t="s">
        <v>455</v>
      </c>
      <c r="L268" s="144"/>
      <c r="M268" s="144"/>
      <c r="N268" s="144"/>
      <c r="O268" s="144"/>
      <c r="P268" s="144"/>
      <c r="Q268" s="144"/>
      <c r="R268" s="144"/>
    </row>
    <row r="269" spans="1:18" s="151" customFormat="1" x14ac:dyDescent="0.2">
      <c r="A269" s="144"/>
      <c r="B269" s="144"/>
      <c r="C269" s="144"/>
      <c r="D269" s="151" t="s">
        <v>451</v>
      </c>
      <c r="F269" s="318" t="str">
        <f>Control!G125</f>
        <v>No</v>
      </c>
      <c r="H269" s="144"/>
      <c r="I269" s="144"/>
      <c r="J269" s="144"/>
      <c r="K269" s="144"/>
      <c r="L269" s="144"/>
      <c r="M269" s="144"/>
      <c r="N269" s="144"/>
      <c r="O269" s="144"/>
      <c r="P269" s="144"/>
      <c r="Q269" s="144"/>
      <c r="R269" s="144"/>
    </row>
    <row r="270" spans="1:18" s="151" customFormat="1" x14ac:dyDescent="0.2">
      <c r="A270" s="144"/>
      <c r="B270" s="144"/>
      <c r="C270" s="144"/>
      <c r="D270" s="151" t="s">
        <v>452</v>
      </c>
      <c r="E270" s="151" t="s">
        <v>895</v>
      </c>
      <c r="F270" s="236">
        <f>IF(F269="Sí",F266,0)</f>
        <v>0</v>
      </c>
      <c r="G270" s="152" t="s">
        <v>739</v>
      </c>
      <c r="H270" s="144"/>
      <c r="I270" s="144"/>
      <c r="J270" s="144"/>
      <c r="K270" s="144"/>
      <c r="L270" s="144"/>
      <c r="M270" s="144"/>
      <c r="N270" s="144"/>
      <c r="O270" s="144"/>
      <c r="P270" s="144"/>
      <c r="Q270" s="144"/>
      <c r="R270" s="144"/>
    </row>
    <row r="271" spans="1:18" s="151" customFormat="1" x14ac:dyDescent="0.2">
      <c r="A271" s="144"/>
      <c r="B271" s="144"/>
      <c r="C271" s="144"/>
      <c r="F271" s="16"/>
      <c r="H271" s="144"/>
      <c r="I271" s="144"/>
      <c r="J271" s="144"/>
      <c r="K271" s="144"/>
      <c r="L271" s="144"/>
      <c r="M271" s="144"/>
      <c r="N271" s="144"/>
      <c r="O271" s="144"/>
      <c r="P271" s="144"/>
      <c r="Q271" s="144"/>
      <c r="R271" s="144"/>
    </row>
    <row r="272" spans="1:18" s="151" customFormat="1" x14ac:dyDescent="0.2">
      <c r="A272" s="144"/>
      <c r="B272" s="144"/>
      <c r="C272" s="144"/>
      <c r="D272" s="151" t="s">
        <v>441</v>
      </c>
      <c r="E272" s="151" t="s">
        <v>227</v>
      </c>
      <c r="F272" s="236">
        <f>IF(F269="Sí",0,IF(indoor.outdoor.CS2.activo="Indoor",demanda.BBS.CS2*area.BTS.indoor,demanda.BBS.CS2*area.BTS.outdoor))</f>
        <v>0</v>
      </c>
      <c r="H272" s="144"/>
      <c r="I272" s="144"/>
      <c r="J272" s="144"/>
      <c r="K272" s="144"/>
      <c r="L272" s="144"/>
      <c r="M272" s="144"/>
      <c r="N272" s="144"/>
      <c r="O272" s="144"/>
      <c r="P272" s="144"/>
      <c r="Q272" s="144"/>
      <c r="R272" s="144"/>
    </row>
    <row r="273" spans="1:18" s="151" customFormat="1" x14ac:dyDescent="0.2">
      <c r="A273" s="144"/>
      <c r="B273" s="144"/>
      <c r="C273" s="144"/>
      <c r="H273" s="144"/>
      <c r="I273" s="144"/>
      <c r="J273" s="144"/>
      <c r="K273" s="144"/>
      <c r="L273" s="144"/>
      <c r="M273" s="144"/>
      <c r="N273" s="144"/>
      <c r="O273" s="144"/>
      <c r="P273" s="144"/>
      <c r="Q273" s="144"/>
      <c r="R273" s="144"/>
    </row>
    <row r="274" spans="1:18" s="151" customFormat="1" x14ac:dyDescent="0.2">
      <c r="A274" s="144"/>
      <c r="B274" s="144"/>
      <c r="C274" s="144"/>
      <c r="D274" s="154"/>
      <c r="H274" s="144"/>
      <c r="I274" s="144"/>
      <c r="J274" s="144"/>
      <c r="K274" s="144"/>
      <c r="L274" s="144"/>
      <c r="M274" s="144"/>
      <c r="N274" s="144"/>
      <c r="O274" s="144"/>
      <c r="P274" s="144"/>
      <c r="Q274" s="144"/>
      <c r="R274" s="144"/>
    </row>
    <row r="275" spans="1:18" s="151" customFormat="1" x14ac:dyDescent="0.2">
      <c r="A275" s="144"/>
      <c r="B275" s="144"/>
      <c r="C275" s="144"/>
      <c r="D275" s="154" t="s">
        <v>415</v>
      </c>
      <c r="H275" s="144"/>
      <c r="I275" s="144"/>
      <c r="J275" s="144"/>
      <c r="K275" s="144"/>
      <c r="L275" s="144"/>
      <c r="M275" s="144"/>
      <c r="N275" s="144"/>
      <c r="O275" s="144"/>
      <c r="P275" s="144"/>
      <c r="Q275" s="144"/>
      <c r="R275" s="144"/>
    </row>
    <row r="276" spans="1:18" s="151" customFormat="1" x14ac:dyDescent="0.2">
      <c r="A276" s="144"/>
      <c r="B276" s="144"/>
      <c r="C276" s="144"/>
      <c r="D276" s="151" t="s">
        <v>901</v>
      </c>
      <c r="E276" s="151" t="s">
        <v>895</v>
      </c>
      <c r="F276" s="236">
        <f>IF(geotipo.activo=L!$C$84,(demanda.CS3.activo*consumo.energia.medio.rural),(demanda.CS3.activo*consumo.energia.medio.urbano))</f>
        <v>0</v>
      </c>
      <c r="H276" s="144"/>
      <c r="I276" s="144"/>
      <c r="J276" s="144"/>
      <c r="K276" s="144"/>
      <c r="L276" s="144"/>
      <c r="M276" s="144"/>
      <c r="N276" s="144"/>
      <c r="O276" s="144"/>
      <c r="P276" s="144"/>
      <c r="Q276" s="144"/>
      <c r="R276" s="144"/>
    </row>
    <row r="277" spans="1:18" s="151" customFormat="1" x14ac:dyDescent="0.2">
      <c r="A277" s="144"/>
      <c r="B277" s="144"/>
      <c r="C277" s="144"/>
      <c r="F277" s="16"/>
      <c r="H277" s="144"/>
      <c r="I277" s="157">
        <v>1</v>
      </c>
      <c r="J277" s="157">
        <f>I277+1</f>
        <v>2</v>
      </c>
      <c r="K277" s="144"/>
      <c r="L277" s="144"/>
      <c r="M277" s="144"/>
      <c r="N277" s="144"/>
      <c r="O277" s="144"/>
      <c r="P277" s="144"/>
      <c r="Q277" s="144"/>
      <c r="R277" s="144"/>
    </row>
    <row r="278" spans="1:18" s="151" customFormat="1" x14ac:dyDescent="0.2">
      <c r="A278" s="144"/>
      <c r="B278" s="144"/>
      <c r="C278" s="144"/>
      <c r="D278" s="151" t="s">
        <v>450</v>
      </c>
      <c r="F278" s="317" t="str">
        <f>IF(AND(F252-F276&gt;=0,Control!E126=1),"Sí","No")</f>
        <v>Sí</v>
      </c>
      <c r="H278" s="176" t="str">
        <f>utilizar.capacidad.CS3</f>
        <v>No</v>
      </c>
      <c r="I278" s="151" t="str">
        <f>F278</f>
        <v>Sí</v>
      </c>
      <c r="J278" s="151" t="s">
        <v>184</v>
      </c>
      <c r="K278" s="192" t="s">
        <v>462</v>
      </c>
      <c r="L278" s="144"/>
      <c r="M278" s="144"/>
      <c r="N278" s="144"/>
      <c r="O278" s="144"/>
      <c r="P278" s="144"/>
      <c r="Q278" s="144"/>
      <c r="R278" s="144"/>
    </row>
    <row r="279" spans="1:18" s="151" customFormat="1" x14ac:dyDescent="0.2">
      <c r="A279" s="144"/>
      <c r="B279" s="144"/>
      <c r="C279" s="144"/>
      <c r="D279" s="151" t="s">
        <v>451</v>
      </c>
      <c r="F279" s="318" t="str">
        <f>Control!G126</f>
        <v>No</v>
      </c>
      <c r="H279" s="144"/>
      <c r="I279" s="144"/>
      <c r="J279" s="144"/>
      <c r="K279" s="144"/>
      <c r="L279" s="144"/>
      <c r="M279" s="144"/>
      <c r="N279" s="144"/>
      <c r="O279" s="144"/>
      <c r="P279" s="144"/>
      <c r="Q279" s="144"/>
      <c r="R279" s="144"/>
    </row>
    <row r="280" spans="1:18" s="151" customFormat="1" x14ac:dyDescent="0.2">
      <c r="A280" s="144"/>
      <c r="B280" s="144"/>
      <c r="C280" s="144"/>
      <c r="D280" s="151" t="s">
        <v>452</v>
      </c>
      <c r="E280" s="151" t="s">
        <v>895</v>
      </c>
      <c r="F280" s="236">
        <f>IF(F279="Sí",F276,0)</f>
        <v>0</v>
      </c>
      <c r="G280" s="152" t="s">
        <v>740</v>
      </c>
      <c r="H280" s="144"/>
      <c r="I280" s="144"/>
      <c r="J280" s="144"/>
      <c r="K280" s="144"/>
      <c r="L280" s="144"/>
      <c r="M280" s="144"/>
      <c r="N280" s="144"/>
      <c r="O280" s="144"/>
      <c r="P280" s="144"/>
      <c r="Q280" s="144"/>
      <c r="R280" s="144"/>
    </row>
    <row r="281" spans="1:18" s="151" customFormat="1" x14ac:dyDescent="0.2">
      <c r="A281" s="144"/>
      <c r="B281" s="144"/>
      <c r="C281" s="144"/>
      <c r="F281" s="16"/>
      <c r="H281" s="144"/>
      <c r="I281" s="144"/>
      <c r="J281" s="144"/>
      <c r="K281" s="144"/>
      <c r="L281" s="144"/>
      <c r="M281" s="144"/>
      <c r="N281" s="144"/>
      <c r="O281" s="144"/>
      <c r="P281" s="144"/>
      <c r="Q281" s="144"/>
      <c r="R281" s="144"/>
    </row>
    <row r="282" spans="1:18" s="151" customFormat="1" x14ac:dyDescent="0.2">
      <c r="A282" s="144"/>
      <c r="B282" s="144"/>
      <c r="C282" s="144"/>
      <c r="D282" s="151" t="s">
        <v>469</v>
      </c>
      <c r="E282" s="151" t="s">
        <v>227</v>
      </c>
      <c r="F282" s="236">
        <f>IF(F279="Sí",0,IF(indoor.outdoor.CS3.activo="Indoor",demanda.BBS.CS3*area.BTS.indoor,demanda.BBS.CS3*area.BTS.outdoor))</f>
        <v>0</v>
      </c>
      <c r="H282" s="144"/>
      <c r="I282" s="144"/>
      <c r="J282" s="144"/>
      <c r="K282" s="144"/>
      <c r="L282" s="144"/>
      <c r="M282" s="144"/>
      <c r="N282" s="144"/>
      <c r="O282" s="144"/>
      <c r="P282" s="144"/>
      <c r="Q282" s="144"/>
      <c r="R282" s="144"/>
    </row>
    <row r="283" spans="1:18" s="151" customFormat="1" x14ac:dyDescent="0.2">
      <c r="A283" s="144"/>
      <c r="B283" s="144"/>
      <c r="C283" s="144"/>
      <c r="D283" s="154"/>
      <c r="F283" s="16"/>
      <c r="H283" s="144"/>
      <c r="I283" s="144"/>
      <c r="J283" s="144"/>
      <c r="K283" s="144"/>
      <c r="L283" s="144"/>
      <c r="M283" s="144"/>
      <c r="N283" s="144"/>
      <c r="O283" s="144"/>
      <c r="P283" s="144"/>
      <c r="Q283" s="144"/>
      <c r="R283" s="144"/>
    </row>
    <row r="284" spans="1:18" s="151" customFormat="1" x14ac:dyDescent="0.2">
      <c r="A284" s="144"/>
      <c r="B284" s="144"/>
      <c r="C284" s="144"/>
      <c r="D284" s="154" t="s">
        <v>528</v>
      </c>
      <c r="F284" s="16"/>
      <c r="H284" s="144"/>
      <c r="I284" s="144"/>
      <c r="J284" s="144"/>
      <c r="K284" s="144"/>
      <c r="L284" s="144"/>
      <c r="M284" s="144"/>
      <c r="N284" s="144"/>
      <c r="O284" s="144"/>
      <c r="P284" s="144"/>
      <c r="Q284" s="144"/>
      <c r="R284" s="144"/>
    </row>
    <row r="285" spans="1:18" s="151" customFormat="1" x14ac:dyDescent="0.2">
      <c r="A285" s="144"/>
      <c r="B285" s="144"/>
      <c r="C285" s="144"/>
      <c r="D285" s="174" t="s">
        <v>452</v>
      </c>
      <c r="E285" s="151" t="s">
        <v>895</v>
      </c>
      <c r="F285" s="236">
        <f>F261+F270+F280</f>
        <v>0</v>
      </c>
      <c r="H285" s="144"/>
      <c r="I285" s="144"/>
      <c r="J285" s="144"/>
      <c r="K285" s="144"/>
      <c r="L285" s="144"/>
      <c r="M285" s="144"/>
      <c r="N285" s="144"/>
      <c r="O285" s="144"/>
      <c r="P285" s="144"/>
      <c r="Q285" s="144"/>
      <c r="R285" s="144"/>
    </row>
    <row r="286" spans="1:18" s="151" customFormat="1" x14ac:dyDescent="0.2">
      <c r="A286" s="144"/>
      <c r="B286" s="144"/>
      <c r="C286" s="144"/>
      <c r="D286" s="174" t="s">
        <v>529</v>
      </c>
      <c r="E286" s="151" t="s">
        <v>227</v>
      </c>
      <c r="F286" s="236">
        <f>F263+F272+F282</f>
        <v>0</v>
      </c>
      <c r="H286" s="144"/>
      <c r="I286" s="144"/>
      <c r="J286" s="144"/>
      <c r="K286" s="144"/>
      <c r="L286" s="144"/>
      <c r="M286" s="144"/>
      <c r="N286" s="144"/>
      <c r="O286" s="144"/>
      <c r="P286" s="144"/>
      <c r="Q286" s="144"/>
      <c r="R286" s="144"/>
    </row>
    <row r="287" spans="1:18" s="151" customFormat="1" x14ac:dyDescent="0.2">
      <c r="A287" s="144"/>
      <c r="B287" s="144"/>
      <c r="C287" s="144"/>
      <c r="D287" s="154"/>
      <c r="H287" s="144"/>
      <c r="I287" s="144"/>
      <c r="J287" s="144"/>
      <c r="K287" s="144"/>
      <c r="L287" s="144"/>
      <c r="M287" s="144"/>
      <c r="N287" s="144"/>
      <c r="O287" s="144"/>
      <c r="P287" s="144"/>
      <c r="Q287" s="144"/>
      <c r="R287" s="144"/>
    </row>
    <row r="288" spans="1:18" s="151" customFormat="1" x14ac:dyDescent="0.2">
      <c r="A288" s="144">
        <v>9</v>
      </c>
      <c r="B288" s="160" t="str">
        <f>INDEX(lista.activos,$A288)</f>
        <v>Aire acondicionado</v>
      </c>
      <c r="C288" s="160"/>
      <c r="D288" s="160"/>
      <c r="E288" s="160"/>
      <c r="F288" s="160"/>
      <c r="G288" s="160"/>
      <c r="H288" s="160"/>
      <c r="I288" s="160"/>
      <c r="J288" s="160"/>
      <c r="K288" s="160"/>
      <c r="L288" s="160"/>
      <c r="M288" s="160"/>
      <c r="N288" s="160"/>
      <c r="O288" s="160"/>
      <c r="P288" s="160"/>
      <c r="Q288" s="160"/>
      <c r="R288" s="160"/>
    </row>
    <row r="289" spans="1:17" x14ac:dyDescent="0.2">
      <c r="O289" s="151"/>
      <c r="P289" s="151"/>
      <c r="Q289" s="151"/>
    </row>
    <row r="290" spans="1:17" s="151" customFormat="1" x14ac:dyDescent="0.2">
      <c r="D290" s="154" t="s">
        <v>320</v>
      </c>
      <c r="E290" s="118"/>
      <c r="F290" s="316" t="str">
        <f>comparticion.aire.acondicionado.activo</f>
        <v>No</v>
      </c>
    </row>
    <row r="291" spans="1:17" x14ac:dyDescent="0.2">
      <c r="D291" s="118" t="s">
        <v>284</v>
      </c>
      <c r="E291" s="118" t="s">
        <v>227</v>
      </c>
      <c r="F291" s="239">
        <f>F35</f>
        <v>14.5</v>
      </c>
      <c r="O291" s="151"/>
    </row>
    <row r="292" spans="1:17" ht="24" x14ac:dyDescent="0.2">
      <c r="D292" s="177" t="s">
        <v>661</v>
      </c>
      <c r="E292" s="118" t="s">
        <v>925</v>
      </c>
      <c r="F292" s="239">
        <f>aire.acondicionado.capacidad.superficie</f>
        <v>0.1</v>
      </c>
      <c r="O292" s="151"/>
    </row>
    <row r="293" spans="1:17" x14ac:dyDescent="0.2">
      <c r="D293" s="151" t="s">
        <v>660</v>
      </c>
      <c r="E293" s="158" t="s">
        <v>141</v>
      </c>
      <c r="F293" s="172">
        <f>aire.acondicionado.capacidad.utilizada</f>
        <v>0.1</v>
      </c>
    </row>
    <row r="294" spans="1:17" x14ac:dyDescent="0.2">
      <c r="A294" s="151"/>
      <c r="B294" s="151"/>
      <c r="D294" s="174" t="s">
        <v>285</v>
      </c>
      <c r="E294" s="118" t="s">
        <v>286</v>
      </c>
      <c r="F294" s="236">
        <f>IF(F290="Sí",F291*F292,0)</f>
        <v>0</v>
      </c>
      <c r="G294" s="152" t="s">
        <v>741</v>
      </c>
      <c r="I294" s="212" t="s">
        <v>287</v>
      </c>
    </row>
    <row r="295" spans="1:17" x14ac:dyDescent="0.2">
      <c r="A295" s="151"/>
      <c r="B295" s="151"/>
      <c r="D295" s="174" t="s">
        <v>288</v>
      </c>
      <c r="E295" s="151" t="s">
        <v>286</v>
      </c>
      <c r="F295" s="236">
        <f>F294*(1+F293)</f>
        <v>0</v>
      </c>
      <c r="I295" s="174" t="s">
        <v>289</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D48"/>
  <sheetViews>
    <sheetView showGridLines="0" defaultGridColor="0" colorId="22" zoomScale="80" zoomScaleNormal="80" workbookViewId="0">
      <pane xSplit="6" ySplit="7" topLeftCell="O8" activePane="bottomRight" state="frozen"/>
      <selection pane="topRight" activeCell="G1" sqref="G1"/>
      <selection pane="bottomLeft" activeCell="A8" sqref="A8"/>
      <selection pane="bottomRight"/>
    </sheetView>
  </sheetViews>
  <sheetFormatPr baseColWidth="10" defaultColWidth="12.7109375" defaultRowHeight="12" outlineLevelCol="1" x14ac:dyDescent="0.2"/>
  <cols>
    <col min="1" max="1" width="6.7109375" style="126" customWidth="1"/>
    <col min="2" max="2" width="7.7109375" style="126" customWidth="1"/>
    <col min="3" max="3" width="7" style="126" customWidth="1"/>
    <col min="4" max="4" width="28.5703125" style="126" customWidth="1"/>
    <col min="5" max="6" width="12.7109375" style="126"/>
    <col min="7" max="7" width="12.7109375" style="126" customWidth="1" outlineLevel="1"/>
    <col min="8" max="8" width="6.85546875" style="126" customWidth="1"/>
    <col min="9" max="9" width="12.5703125" style="151" customWidth="1"/>
    <col min="10" max="10" width="12.85546875" style="126" bestFit="1" customWidth="1"/>
    <col min="11" max="11" width="12.85546875" style="151" customWidth="1"/>
    <col min="12" max="12" width="15.140625" style="151" bestFit="1" customWidth="1"/>
    <col min="13" max="13" width="17.85546875" style="126" bestFit="1" customWidth="1"/>
    <col min="14" max="14" width="12.7109375" style="126"/>
    <col min="15" max="15" width="12.7109375" style="126" customWidth="1" outlineLevel="1"/>
    <col min="16" max="16" width="16.28515625" style="126" bestFit="1" customWidth="1"/>
    <col min="17" max="17" width="17.140625" style="126" customWidth="1" outlineLevel="1"/>
    <col min="18" max="18" width="17.140625" style="151" customWidth="1"/>
    <col min="19" max="19" width="3.28515625" style="151" customWidth="1"/>
    <col min="20" max="24" width="12.7109375" style="126"/>
    <col min="25" max="25" width="3.7109375" style="151" customWidth="1"/>
    <col min="26" max="26" width="15.5703125" style="126" bestFit="1" customWidth="1"/>
    <col min="27" max="27" width="12.7109375" style="126"/>
    <col min="28" max="28" width="15.5703125" style="126" bestFit="1" customWidth="1"/>
    <col min="29" max="16384" width="12.7109375" style="126"/>
  </cols>
  <sheetData>
    <row r="1" spans="1:30" s="130" customFormat="1" ht="33.75" customHeight="1" x14ac:dyDescent="0.2">
      <c r="D1" s="127" t="s">
        <v>231</v>
      </c>
      <c r="O1" s="130" t="s">
        <v>114</v>
      </c>
    </row>
    <row r="2" spans="1:30" x14ac:dyDescent="0.2">
      <c r="G2" s="154"/>
    </row>
    <row r="3" spans="1:30" x14ac:dyDescent="0.2">
      <c r="I3" s="342" t="s">
        <v>246</v>
      </c>
      <c r="J3" s="342"/>
      <c r="K3" s="342"/>
      <c r="L3" s="342"/>
      <c r="M3" s="342"/>
      <c r="N3" s="342"/>
      <c r="O3" s="342"/>
      <c r="P3" s="342"/>
      <c r="Q3" s="342"/>
      <c r="R3" s="342"/>
      <c r="T3" s="342" t="s">
        <v>247</v>
      </c>
      <c r="U3" s="342"/>
      <c r="V3" s="342"/>
      <c r="W3" s="342"/>
      <c r="X3" s="342"/>
      <c r="Z3" s="342" t="s">
        <v>852</v>
      </c>
      <c r="AA3" s="342"/>
      <c r="AB3" s="342"/>
    </row>
    <row r="4" spans="1:30" x14ac:dyDescent="0.2">
      <c r="I4" s="343"/>
      <c r="J4" s="343"/>
      <c r="K4" s="343"/>
      <c r="L4" s="343"/>
      <c r="M4" s="343"/>
      <c r="N4" s="343"/>
      <c r="O4" s="343"/>
      <c r="P4" s="343"/>
      <c r="Q4" s="343"/>
      <c r="R4" s="343"/>
      <c r="T4" s="343"/>
      <c r="U4" s="343"/>
      <c r="V4" s="343"/>
      <c r="W4" s="343"/>
      <c r="X4" s="343"/>
      <c r="Z4" s="342"/>
      <c r="AA4" s="342"/>
      <c r="AB4" s="342"/>
    </row>
    <row r="5" spans="1:30" x14ac:dyDescent="0.2">
      <c r="I5" s="168"/>
      <c r="J5" s="168" t="s">
        <v>266</v>
      </c>
      <c r="K5" s="168"/>
      <c r="L5" s="168"/>
      <c r="M5" s="168"/>
      <c r="N5" s="168"/>
      <c r="O5" s="168"/>
      <c r="P5" s="169" t="s">
        <v>267</v>
      </c>
      <c r="Q5" s="168"/>
      <c r="R5" s="169" t="s">
        <v>268</v>
      </c>
      <c r="T5" s="169" t="s">
        <v>114</v>
      </c>
      <c r="U5" s="168"/>
      <c r="V5" s="168"/>
      <c r="W5" s="168"/>
      <c r="X5" s="168"/>
    </row>
    <row r="6" spans="1:30" s="151" customFormat="1" ht="24" x14ac:dyDescent="0.2">
      <c r="D6" s="165" t="s">
        <v>133</v>
      </c>
      <c r="E6" s="165" t="s">
        <v>134</v>
      </c>
      <c r="F6" s="165" t="s">
        <v>589</v>
      </c>
      <c r="G6" s="165" t="s">
        <v>136</v>
      </c>
      <c r="I6" s="165" t="s">
        <v>769</v>
      </c>
      <c r="J6" s="165" t="s">
        <v>770</v>
      </c>
      <c r="K6" s="165" t="s">
        <v>769</v>
      </c>
      <c r="L6" s="165" t="s">
        <v>771</v>
      </c>
      <c r="M6" s="165" t="s">
        <v>645</v>
      </c>
      <c r="N6" s="165" t="s">
        <v>143</v>
      </c>
      <c r="O6" s="165" t="s">
        <v>263</v>
      </c>
      <c r="P6" s="166" t="s">
        <v>217</v>
      </c>
      <c r="Q6" s="165" t="s">
        <v>218</v>
      </c>
      <c r="R6" s="166" t="str">
        <f>perfil.recuperacion.costos.activo</f>
        <v>Anualidad</v>
      </c>
      <c r="T6" s="166" t="s">
        <v>646</v>
      </c>
      <c r="U6" s="166" t="s">
        <v>772</v>
      </c>
      <c r="V6" s="166" t="s">
        <v>647</v>
      </c>
      <c r="W6" s="166" t="s">
        <v>773</v>
      </c>
      <c r="X6" s="167" t="s">
        <v>264</v>
      </c>
      <c r="Z6" s="165" t="s">
        <v>217</v>
      </c>
      <c r="AA6" s="167" t="s">
        <v>264</v>
      </c>
      <c r="AB6" s="167" t="s">
        <v>265</v>
      </c>
      <c r="AD6" s="167" t="s">
        <v>137</v>
      </c>
    </row>
    <row r="7" spans="1:30" x14ac:dyDescent="0.2">
      <c r="A7" s="154" t="s">
        <v>269</v>
      </c>
      <c r="J7" s="170" t="s">
        <v>270</v>
      </c>
      <c r="K7" s="170"/>
      <c r="L7" s="170" t="s">
        <v>270</v>
      </c>
      <c r="M7" s="170" t="s">
        <v>270</v>
      </c>
      <c r="N7" s="170" t="s">
        <v>157</v>
      </c>
      <c r="O7" s="170" t="s">
        <v>157</v>
      </c>
      <c r="P7" s="170" t="s">
        <v>271</v>
      </c>
      <c r="Q7" s="170" t="s">
        <v>271</v>
      </c>
      <c r="R7" s="170" t="s">
        <v>271</v>
      </c>
      <c r="U7" s="170" t="s">
        <v>270</v>
      </c>
      <c r="V7" s="170"/>
      <c r="W7" s="170" t="s">
        <v>270</v>
      </c>
      <c r="X7" s="170" t="s">
        <v>271</v>
      </c>
      <c r="Z7" s="170" t="s">
        <v>271</v>
      </c>
      <c r="AA7" s="170" t="s">
        <v>271</v>
      </c>
      <c r="AB7" s="170" t="s">
        <v>271</v>
      </c>
    </row>
    <row r="8" spans="1:30" s="151" customFormat="1" x14ac:dyDescent="0.2"/>
    <row r="9" spans="1:30" s="151" customFormat="1" x14ac:dyDescent="0.2">
      <c r="A9" s="146" t="s">
        <v>223</v>
      </c>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row>
    <row r="10" spans="1:30" s="151" customFormat="1" x14ac:dyDescent="0.2">
      <c r="A10" s="144">
        <v>1</v>
      </c>
      <c r="B10" s="160" t="str">
        <f>INDEX(lista.activos,$A10)</f>
        <v>Predio</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row>
    <row r="12" spans="1:30" x14ac:dyDescent="0.2">
      <c r="A12" s="151"/>
      <c r="D12" s="145" t="str">
        <f>id.predio.activo</f>
        <v>TerrenoTercero en arrendamientoDistrito Federal</v>
      </c>
      <c r="E12" s="145" t="str">
        <f>Dimensionado!E11</f>
        <v>m2</v>
      </c>
      <c r="F12" s="237">
        <f>Dimensionado!F11</f>
        <v>67.26754768442305</v>
      </c>
      <c r="I12" s="153" t="s">
        <v>1005</v>
      </c>
      <c r="J12" s="193">
        <f>INDEX(capex.unitario.obras.adecuacion,MATCH(D12,identificador.predio,0))</f>
        <v>0</v>
      </c>
      <c r="K12" s="153" t="s">
        <v>1005</v>
      </c>
      <c r="L12" s="193">
        <f>INDEX(capex.unitario.acquisicion.predio,MATCH(D12,identificador.predio,0))</f>
        <v>0</v>
      </c>
      <c r="M12" s="194">
        <f>((J12+L12)*F12)</f>
        <v>0</v>
      </c>
      <c r="N12" s="145">
        <f>INDEX(vida.util.predio,MATCH(D12,identificador.predio,0))</f>
        <v>80</v>
      </c>
      <c r="O12" s="145">
        <f>INDEX(vida.util.restante.predio,MATCH(D12,identificador.predio,0))</f>
        <v>79</v>
      </c>
      <c r="P12" s="194">
        <f>(wacc/(1-(1/(1+wacc)^N12)))*M12</f>
        <v>0</v>
      </c>
      <c r="Q12" s="194">
        <f>(M12/N12)+(M12*(O12/N12))*wacc</f>
        <v>0</v>
      </c>
      <c r="R12" s="194">
        <f>CHOOSE(perfil.recuperacion.costos.activo.indice,P12,Q12)</f>
        <v>0</v>
      </c>
      <c r="T12" s="153" t="s">
        <v>270</v>
      </c>
      <c r="U12" s="193">
        <f>INDEX(opex.anual.alquiler.predio,MATCH(D12,identificador.predio,0))</f>
        <v>15350.788912680002</v>
      </c>
      <c r="V12" s="153" t="s">
        <v>1005</v>
      </c>
      <c r="W12" s="195">
        <f>INDEX(opex.anual.mantenimiento.predio,MATCH(D12,identificador.predio,0))</f>
        <v>0</v>
      </c>
      <c r="X12" s="195">
        <f>(U12)+(W12*F12)</f>
        <v>15350.788912680002</v>
      </c>
      <c r="Z12" s="194">
        <f>R12*(1+markup.overhead.capex)</f>
        <v>0</v>
      </c>
      <c r="AA12" s="194">
        <f>X12*(1+markup.overhead.opex)</f>
        <v>15350.788912680002</v>
      </c>
      <c r="AB12" s="199">
        <f>Z12+AA12</f>
        <v>15350.788912680002</v>
      </c>
    </row>
    <row r="13" spans="1:30" x14ac:dyDescent="0.2">
      <c r="N13" s="151"/>
      <c r="O13" s="151"/>
      <c r="Z13" s="152" t="s">
        <v>853</v>
      </c>
      <c r="AA13" s="152" t="s">
        <v>854</v>
      </c>
      <c r="AB13" s="152" t="s">
        <v>855</v>
      </c>
    </row>
    <row r="14" spans="1:30" s="151" customFormat="1" x14ac:dyDescent="0.2">
      <c r="A14" s="144">
        <v>2</v>
      </c>
      <c r="B14" s="160" t="str">
        <f>INDEX(lista.activos,$A14)</f>
        <v>Torre</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row>
    <row r="16" spans="1:30" x14ac:dyDescent="0.2">
      <c r="D16" s="145" t="str">
        <f>id.torre.activo</f>
        <v>Autosoportada39181-220 km/h</v>
      </c>
      <c r="E16" s="153" t="s">
        <v>150</v>
      </c>
      <c r="F16" s="312">
        <v>1</v>
      </c>
      <c r="I16" s="153" t="s">
        <v>270</v>
      </c>
      <c r="J16" s="193">
        <f>INDEX(capex.unitario.torre,MATCH(D16,identificador.torre,0))</f>
        <v>1181474.37408</v>
      </c>
      <c r="K16" s="153" t="s">
        <v>270</v>
      </c>
      <c r="L16" s="193">
        <f>INDEX(capex.unitario.acquisicion.torre,MATCH(D16,identificador.torre,0))</f>
        <v>0</v>
      </c>
      <c r="M16" s="195">
        <f>(J16*F16)+(L16*F16)</f>
        <v>1181474.37408</v>
      </c>
      <c r="N16" s="145">
        <f>INDEX(vida.util.torre,MATCH(D16,identificador.torre,0))</f>
        <v>14.8</v>
      </c>
      <c r="O16" s="145">
        <f>INDEX(vida.util.restante.torre,MATCH(D16,identificador.torre,0))</f>
        <v>13.8</v>
      </c>
      <c r="P16" s="194">
        <f>(wacc/(1-(1/(1+wacc)^N16)))*M16</f>
        <v>195784.67255246651</v>
      </c>
      <c r="Q16" s="194">
        <f>(M16/N16)+(M16*(O16/N16))*wacc</f>
        <v>237034.094593296</v>
      </c>
      <c r="R16" s="194">
        <f>CHOOSE(perfil.recuperacion.costos.activo.indice,P16,Q16)</f>
        <v>195784.67255246651</v>
      </c>
      <c r="T16" s="198">
        <v>0</v>
      </c>
      <c r="U16" s="198">
        <v>0</v>
      </c>
      <c r="V16" s="153" t="s">
        <v>270</v>
      </c>
      <c r="W16" s="193">
        <f>INDEX(opex.mantenimiento.torre,MATCH(D16,identificador.torre,0))</f>
        <v>28451.408878800001</v>
      </c>
      <c r="X16" s="195">
        <f>W16*F16</f>
        <v>28451.408878800001</v>
      </c>
      <c r="Z16" s="194">
        <f>R16*(1+markup.overhead.capex)</f>
        <v>195784.67255246651</v>
      </c>
      <c r="AA16" s="194">
        <f>X16*(1+markup.overhead.opex)</f>
        <v>28451.408878800001</v>
      </c>
      <c r="AB16" s="188">
        <f>Z16+AA16</f>
        <v>224236.0814312665</v>
      </c>
    </row>
    <row r="17" spans="1:30" s="151" customFormat="1" x14ac:dyDescent="0.2">
      <c r="D17" s="145" t="str">
        <f>'Costos unitarios'!D254</f>
        <v>Total de otros costos</v>
      </c>
      <c r="E17" s="153" t="s">
        <v>150</v>
      </c>
      <c r="F17" s="312">
        <v>1</v>
      </c>
      <c r="I17" s="153" t="s">
        <v>270</v>
      </c>
      <c r="J17" s="193">
        <f>capex.unitario.otros.costes</f>
        <v>321916.2</v>
      </c>
      <c r="K17" s="196">
        <v>0</v>
      </c>
      <c r="L17" s="196">
        <v>0</v>
      </c>
      <c r="M17" s="195">
        <f>J17*F17</f>
        <v>321916.2</v>
      </c>
      <c r="N17" s="145">
        <f>vida.util.torre.otros.costos</f>
        <v>14.8</v>
      </c>
      <c r="O17" s="145">
        <f>vida.util.restante.torre.otros.costos</f>
        <v>13.8</v>
      </c>
      <c r="P17" s="194">
        <f>(wacc/(1-(1/(1+wacc)^N17)))*M17</f>
        <v>53345.429396564032</v>
      </c>
      <c r="Q17" s="194">
        <f>(M17/N17)+(M17*(O17/N17))*wacc</f>
        <v>64584.655135945941</v>
      </c>
      <c r="R17" s="194">
        <f>CHOOSE(perfil.recuperacion.costos.activo.indice,P17,Q17)</f>
        <v>53345.429396564032</v>
      </c>
      <c r="T17" s="198">
        <v>0</v>
      </c>
      <c r="U17" s="198">
        <v>0</v>
      </c>
      <c r="V17" s="153" t="s">
        <v>270</v>
      </c>
      <c r="W17" s="193">
        <f>opex.mantenimiento.otros.costos</f>
        <v>37698.000000000044</v>
      </c>
      <c r="X17" s="195">
        <f>W17*F17</f>
        <v>37698.000000000044</v>
      </c>
      <c r="Z17" s="194">
        <f>R17*(1+markup.overhead.capex)</f>
        <v>53345.429396564032</v>
      </c>
      <c r="AA17" s="194">
        <f>X17*(1+markup.overhead.opex)</f>
        <v>37698.000000000044</v>
      </c>
      <c r="AB17" s="188">
        <f>Z17+AA17</f>
        <v>91043.429396564083</v>
      </c>
    </row>
    <row r="18" spans="1:30" s="151" customFormat="1" x14ac:dyDescent="0.2">
      <c r="F18" s="16"/>
      <c r="Z18" s="194">
        <f>SUM(Z16:Z17)</f>
        <v>249130.10194903053</v>
      </c>
      <c r="AA18" s="194">
        <f>SUM(AA16:AA17)</f>
        <v>66149.408878800052</v>
      </c>
      <c r="AB18" s="199">
        <f>SUM(AB16:AB17)</f>
        <v>315279.51082783059</v>
      </c>
    </row>
    <row r="19" spans="1:30" s="151" customFormat="1" x14ac:dyDescent="0.2">
      <c r="F19" s="16"/>
      <c r="Z19" s="152" t="s">
        <v>856</v>
      </c>
      <c r="AA19" s="152" t="s">
        <v>857</v>
      </c>
      <c r="AB19" s="152" t="s">
        <v>858</v>
      </c>
    </row>
    <row r="20" spans="1:30" s="151" customFormat="1" x14ac:dyDescent="0.2">
      <c r="A20" s="144">
        <v>3</v>
      </c>
      <c r="B20" s="160" t="str">
        <f>INDEX(lista.activos,$A20)</f>
        <v>Caseta (shelter) AEP</v>
      </c>
      <c r="C20" s="160"/>
      <c r="D20" s="160"/>
      <c r="E20" s="160"/>
      <c r="F20" s="27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row>
    <row r="21" spans="1:30" x14ac:dyDescent="0.2">
      <c r="F21" s="16"/>
    </row>
    <row r="22" spans="1:30" s="151" customFormat="1" x14ac:dyDescent="0.2">
      <c r="D22" s="145" t="str">
        <f>geotipo.activo</f>
        <v>Distrito Federal</v>
      </c>
      <c r="E22" s="153" t="s">
        <v>150</v>
      </c>
      <c r="F22" s="239">
        <f>unidades.caseta.AEP</f>
        <v>0</v>
      </c>
      <c r="I22" s="153" t="s">
        <v>270</v>
      </c>
      <c r="J22" s="200">
        <f>INDEX(capex.unitario.shelter,MATCH(D22,identificador.caseta.AEP,0))</f>
        <v>217257.9</v>
      </c>
      <c r="K22" s="196">
        <v>0</v>
      </c>
      <c r="L22" s="196">
        <v>0</v>
      </c>
      <c r="M22" s="195">
        <f>J22*F22</f>
        <v>0</v>
      </c>
      <c r="N22" s="145">
        <f>INDEX(vida.util.caseta.AEP,MATCH(D22,identificador.caseta.AEP,0))</f>
        <v>9.3000000000000007</v>
      </c>
      <c r="O22" s="145">
        <f>INDEX(vida.util.restante.caseta.AEP,MATCH(D22,identificador.caseta.AEP,0))</f>
        <v>8.3000000000000007</v>
      </c>
      <c r="P22" s="194">
        <f>(wacc/(1-(1/(1+wacc)^N22)))*M22</f>
        <v>0</v>
      </c>
      <c r="Q22" s="194">
        <f>(M22/N22)+(M22*(O22/N22))*wacc</f>
        <v>0</v>
      </c>
      <c r="R22" s="194">
        <f>CHOOSE(perfil.recuperacion.costos.activo.indice,P22,Q22)</f>
        <v>0</v>
      </c>
      <c r="T22" s="153" t="s">
        <v>270</v>
      </c>
      <c r="U22" s="145">
        <f>INDEX(opex.anual.alquiler.shelter,MATCH(D22,geotipo.activo,0))</f>
        <v>0</v>
      </c>
      <c r="V22" s="153" t="s">
        <v>270</v>
      </c>
      <c r="W22" s="197">
        <f>INDEX(opex.anual.mantenimiento.shelter,MATCH(D22,geotipo.activo,0))</f>
        <v>0</v>
      </c>
      <c r="X22" s="195">
        <f>(U22*F22)+(W22*F22)</f>
        <v>0</v>
      </c>
      <c r="Z22" s="194">
        <f>R22*(1+markup.overhead.capex)</f>
        <v>0</v>
      </c>
      <c r="AA22" s="194">
        <f>X22*(1+markup.overhead.opex)</f>
        <v>0</v>
      </c>
      <c r="AB22" s="199">
        <f>Z22+AA22</f>
        <v>0</v>
      </c>
    </row>
    <row r="23" spans="1:30" s="151" customFormat="1" x14ac:dyDescent="0.2">
      <c r="F23" s="16"/>
      <c r="Z23" s="152" t="s">
        <v>859</v>
      </c>
      <c r="AA23" s="152" t="s">
        <v>860</v>
      </c>
      <c r="AB23" s="152" t="s">
        <v>861</v>
      </c>
    </row>
    <row r="24" spans="1:30" s="151" customFormat="1" x14ac:dyDescent="0.2">
      <c r="A24" s="144">
        <v>4</v>
      </c>
      <c r="B24" s="160" t="str">
        <f>INDEX(lista.activos,$A24)</f>
        <v>Caseta (shelter) CSs</v>
      </c>
      <c r="C24" s="160"/>
      <c r="D24" s="160"/>
      <c r="E24" s="160"/>
      <c r="F24" s="27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row>
    <row r="25" spans="1:30" s="151" customFormat="1" x14ac:dyDescent="0.2">
      <c r="F25" s="16"/>
    </row>
    <row r="26" spans="1:30" s="151" customFormat="1" x14ac:dyDescent="0.2">
      <c r="D26" s="145" t="str">
        <f>geotipo.activo</f>
        <v>Distrito Federal</v>
      </c>
      <c r="E26" s="153" t="s">
        <v>150</v>
      </c>
      <c r="F26" s="239">
        <f>unidades.caseta.CS</f>
        <v>0</v>
      </c>
      <c r="I26" s="153" t="s">
        <v>270</v>
      </c>
      <c r="J26" s="200">
        <f>INDEX(capex.unitario.caseta.CS,MATCH(D26,identificador.caseta.CS,0))</f>
        <v>217257.9</v>
      </c>
      <c r="K26" s="196">
        <v>0</v>
      </c>
      <c r="L26" s="196">
        <v>0</v>
      </c>
      <c r="M26" s="188">
        <f>F26*J26</f>
        <v>0</v>
      </c>
      <c r="N26" s="145">
        <f>INDEX(vida.util.caseta.CS,MATCH(D26,identificador.caseta.CS,0))</f>
        <v>9.3000000000000007</v>
      </c>
      <c r="O26" s="145">
        <f>INDEX(vida.util.restante.caseta.CS,MATCH(D26,identificador.caseta.CS,0))</f>
        <v>8.3000000000000007</v>
      </c>
      <c r="P26" s="194">
        <f>(wacc/(1-(1/(1+wacc)^N26)))*M26</f>
        <v>0</v>
      </c>
      <c r="Q26" s="194">
        <f>(M26/N26)+(M26*(O26/N26))*wacc</f>
        <v>0</v>
      </c>
      <c r="R26" s="194">
        <f>CHOOSE(perfil.recuperacion.costos.activo.indice,P26,Q26)</f>
        <v>0</v>
      </c>
      <c r="T26" s="153" t="s">
        <v>270</v>
      </c>
      <c r="U26" s="145">
        <f>INDEX(opex.anual.alquiler.caseta.CS,MATCH(D26,geotipo.activo,0))</f>
        <v>0</v>
      </c>
      <c r="V26" s="153" t="s">
        <v>270</v>
      </c>
      <c r="W26" s="197">
        <f>INDEX(opex.anual.mantenimiento.caseta.CS,MATCH(D26,geotipo.activo,0))</f>
        <v>0</v>
      </c>
      <c r="X26" s="195">
        <f>(U26*F26)+(W26*F26)</f>
        <v>0</v>
      </c>
      <c r="Z26" s="194">
        <f>R26*(1+markup.overhead.capex)</f>
        <v>0</v>
      </c>
      <c r="AA26" s="194">
        <f>X26*(1+markup.overhead.opex)</f>
        <v>0</v>
      </c>
      <c r="AB26" s="199">
        <f>Z26+AA26</f>
        <v>0</v>
      </c>
    </row>
    <row r="27" spans="1:30" s="151" customFormat="1" x14ac:dyDescent="0.2">
      <c r="F27" s="16"/>
      <c r="Z27" s="152" t="s">
        <v>862</v>
      </c>
      <c r="AA27" s="152" t="s">
        <v>863</v>
      </c>
      <c r="AB27" s="152" t="s">
        <v>864</v>
      </c>
    </row>
    <row r="28" spans="1:30" s="151" customFormat="1" x14ac:dyDescent="0.2">
      <c r="A28" s="144">
        <v>5</v>
      </c>
      <c r="B28" s="160" t="str">
        <f>INDEX(lista.activos,$A28)</f>
        <v>Plancha de concreto - Equipos outdoor (BTS/BBS)</v>
      </c>
      <c r="C28" s="160"/>
      <c r="D28" s="160"/>
      <c r="E28" s="160"/>
      <c r="F28" s="27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row>
    <row r="29" spans="1:30" s="151" customFormat="1" x14ac:dyDescent="0.2">
      <c r="F29" s="16"/>
    </row>
    <row r="30" spans="1:30" s="151" customFormat="1" x14ac:dyDescent="0.2">
      <c r="D30" s="145" t="str">
        <f>'Costos unitarios'!D276</f>
        <v>Plancha de concreto</v>
      </c>
      <c r="E30" s="153" t="s">
        <v>1014</v>
      </c>
      <c r="F30" s="314">
        <f>volumen.plancha.concreto.AEP+volumen.plancha.concreto.CS</f>
        <v>2.6529552000000001</v>
      </c>
      <c r="I30" s="153" t="s">
        <v>1019</v>
      </c>
      <c r="J30" s="193">
        <f>capex.unitario.plancha.concreto</f>
        <v>8319.5159999999996</v>
      </c>
      <c r="K30" s="196">
        <v>0</v>
      </c>
      <c r="L30" s="196">
        <v>0</v>
      </c>
      <c r="M30" s="188">
        <f>F30*J30</f>
        <v>22071.3032336832</v>
      </c>
      <c r="N30" s="145">
        <f>vida.util.plancha.concreto</f>
        <v>20</v>
      </c>
      <c r="O30" s="145">
        <f>vida.util.restante.plancha.concreto</f>
        <v>19</v>
      </c>
      <c r="P30" s="194">
        <f>(wacc/(1-(1/(1+wacc)^N30)))*M30</f>
        <v>3384.4538989367115</v>
      </c>
      <c r="Q30" s="194">
        <f>(M30/N30)+(M30*(O30/N30))*wacc</f>
        <v>4095.6613845584229</v>
      </c>
      <c r="R30" s="194">
        <f>CHOOSE(perfil.recuperacion.costos.activo.indice,P30,Q30)</f>
        <v>3384.4538989367115</v>
      </c>
      <c r="T30" s="198">
        <v>0</v>
      </c>
      <c r="U30" s="198">
        <v>0</v>
      </c>
      <c r="V30" s="153" t="s">
        <v>1019</v>
      </c>
      <c r="W30" s="145">
        <f>opex.anual.mantenimiento.plancha.concreto</f>
        <v>80.772000000000006</v>
      </c>
      <c r="X30" s="195">
        <f>W30*F30</f>
        <v>214.28449741440002</v>
      </c>
      <c r="Z30" s="194">
        <f>R30*(1+markup.overhead.capex)</f>
        <v>3384.4538989367115</v>
      </c>
      <c r="AA30" s="194">
        <f>X30*(1+markup.overhead.opex)</f>
        <v>214.28449741440002</v>
      </c>
      <c r="AB30" s="199">
        <f>Z30+AA30</f>
        <v>3598.7383963511115</v>
      </c>
    </row>
    <row r="31" spans="1:30" s="151" customFormat="1" x14ac:dyDescent="0.2">
      <c r="F31" s="16"/>
      <c r="Z31" s="152" t="s">
        <v>865</v>
      </c>
      <c r="AA31" s="152" t="s">
        <v>866</v>
      </c>
      <c r="AB31" s="152" t="s">
        <v>867</v>
      </c>
    </row>
    <row r="32" spans="1:30" s="151" customFormat="1" x14ac:dyDescent="0.2">
      <c r="A32" s="144">
        <v>6</v>
      </c>
      <c r="B32" s="160" t="str">
        <f>INDEX(lista.activos,$A32)</f>
        <v>Nicho de acometida - Panel de energia principal</v>
      </c>
      <c r="C32" s="160"/>
      <c r="D32" s="160"/>
      <c r="E32" s="160"/>
      <c r="F32" s="27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row>
    <row r="33" spans="1:30" s="151" customFormat="1" x14ac:dyDescent="0.2">
      <c r="F33" s="16"/>
    </row>
    <row r="34" spans="1:30" s="151" customFormat="1" x14ac:dyDescent="0.2">
      <c r="D34" s="145" t="str">
        <f>'Costos unitarios'!D281</f>
        <v>Panel de energia del AEP</v>
      </c>
      <c r="E34" s="153" t="s">
        <v>150</v>
      </c>
      <c r="F34" s="153">
        <v>1</v>
      </c>
      <c r="I34" s="153" t="s">
        <v>270</v>
      </c>
      <c r="J34" s="200">
        <f>capex.unitario.panel.energia</f>
        <v>0</v>
      </c>
      <c r="K34" s="196">
        <v>0</v>
      </c>
      <c r="L34" s="196">
        <v>0</v>
      </c>
      <c r="M34" s="218">
        <f>F34*J34</f>
        <v>0</v>
      </c>
      <c r="N34" s="145">
        <f>vida.util.nicho.acometida</f>
        <v>20</v>
      </c>
      <c r="O34" s="145">
        <f>vida.util.restante.nicho.acometida</f>
        <v>19</v>
      </c>
      <c r="P34" s="194">
        <f>(wacc/(1-(1/(1+wacc)^N34)))*M34</f>
        <v>0</v>
      </c>
      <c r="Q34" s="194">
        <f>(M34/N34)+(M34*(O34/N34))*wacc</f>
        <v>0</v>
      </c>
      <c r="R34" s="194">
        <f>CHOOSE(perfil.recuperacion.costos.activo.indice,P34,Q34)</f>
        <v>0</v>
      </c>
      <c r="T34" s="198">
        <v>0</v>
      </c>
      <c r="U34" s="198">
        <v>0</v>
      </c>
      <c r="V34" s="153" t="s">
        <v>270</v>
      </c>
      <c r="W34" s="145">
        <f>opex.anual.mantenimiento.panel.energia</f>
        <v>0</v>
      </c>
      <c r="X34" s="195">
        <f>W34*F34</f>
        <v>0</v>
      </c>
      <c r="Z34" s="194">
        <f>R34*(1+markup.overhead.capex)</f>
        <v>0</v>
      </c>
      <c r="AA34" s="194">
        <f>X34*(1+markup.overhead.opex)</f>
        <v>0</v>
      </c>
      <c r="AB34" s="199">
        <f>Z34+AA34</f>
        <v>0</v>
      </c>
    </row>
    <row r="35" spans="1:30" s="151" customFormat="1" x14ac:dyDescent="0.2">
      <c r="F35" s="16"/>
      <c r="Z35" s="152" t="s">
        <v>868</v>
      </c>
      <c r="AA35" s="152" t="s">
        <v>869</v>
      </c>
      <c r="AB35" s="152" t="s">
        <v>870</v>
      </c>
    </row>
    <row r="36" spans="1:30" s="151" customFormat="1" x14ac:dyDescent="0.2">
      <c r="A36" s="144">
        <v>7</v>
      </c>
      <c r="B36" s="160" t="str">
        <f>INDEX(lista.activos,$A36)</f>
        <v>Nicho de acometida - Panel de distribuición de energia</v>
      </c>
      <c r="C36" s="160"/>
      <c r="D36" s="160"/>
      <c r="E36" s="160"/>
      <c r="F36" s="27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row>
    <row r="37" spans="1:30" x14ac:dyDescent="0.2">
      <c r="F37" s="16"/>
    </row>
    <row r="38" spans="1:30" ht="24" x14ac:dyDescent="0.2">
      <c r="A38" s="151"/>
      <c r="D38" s="213" t="str">
        <f>Dimensionado!D238</f>
        <v>Panel de distribuición de energia - total (unidades)</v>
      </c>
      <c r="E38" s="153" t="s">
        <v>150</v>
      </c>
      <c r="F38" s="153">
        <v>1</v>
      </c>
      <c r="I38" s="153" t="s">
        <v>270</v>
      </c>
      <c r="J38" s="200">
        <f>capex.unitario.panel.distribucion.energia</f>
        <v>0</v>
      </c>
      <c r="K38" s="196">
        <v>0</v>
      </c>
      <c r="L38" s="196">
        <v>0</v>
      </c>
      <c r="M38" s="188">
        <f>J38*F38</f>
        <v>0</v>
      </c>
      <c r="N38" s="200">
        <f>vida.util.panel.distribuicion.energia</f>
        <v>20</v>
      </c>
      <c r="O38" s="200">
        <f>vida.util.restante.panel.distribuicion.energia</f>
        <v>19</v>
      </c>
      <c r="P38" s="194">
        <f>(wacc/(1-(1/(1+wacc)^N38)))*M38</f>
        <v>0</v>
      </c>
      <c r="Q38" s="194">
        <f>(M38/N38)+(M38*(O38/N38))*wacc</f>
        <v>0</v>
      </c>
      <c r="R38" s="194">
        <f>CHOOSE(perfil.recuperacion.costos.activo.indice,P38,Q38)</f>
        <v>0</v>
      </c>
      <c r="T38" s="198">
        <v>0</v>
      </c>
      <c r="U38" s="198">
        <v>0</v>
      </c>
      <c r="V38" s="153" t="s">
        <v>270</v>
      </c>
      <c r="W38" s="200">
        <f>opex.anual.mantenimiento.panel.distribuicion.energia</f>
        <v>0</v>
      </c>
      <c r="X38" s="195">
        <f>W38*F38</f>
        <v>0</v>
      </c>
      <c r="Z38" s="194">
        <f>R38*(1+markup.overhead.capex)</f>
        <v>0</v>
      </c>
      <c r="AA38" s="194">
        <f>X38*(1+markup.overhead.opex)</f>
        <v>0</v>
      </c>
      <c r="AB38" s="199">
        <f>Z38+AA38</f>
        <v>0</v>
      </c>
    </row>
    <row r="39" spans="1:30" x14ac:dyDescent="0.2">
      <c r="F39" s="16"/>
      <c r="Z39" s="152" t="s">
        <v>871</v>
      </c>
      <c r="AA39" s="152" t="s">
        <v>872</v>
      </c>
      <c r="AB39" s="152" t="s">
        <v>873</v>
      </c>
    </row>
    <row r="40" spans="1:30" s="151" customFormat="1" x14ac:dyDescent="0.2">
      <c r="A40" s="146" t="s">
        <v>310</v>
      </c>
      <c r="B40" s="143"/>
      <c r="C40" s="143"/>
      <c r="D40" s="143"/>
      <c r="E40" s="143"/>
      <c r="F40" s="271"/>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row>
    <row r="41" spans="1:30" x14ac:dyDescent="0.2">
      <c r="A41" s="144">
        <v>8</v>
      </c>
      <c r="B41" s="160" t="str">
        <f>INDEX(lista.activos,$A41)</f>
        <v>Fuente de energía de respaldo</v>
      </c>
      <c r="C41" s="160"/>
      <c r="D41" s="160"/>
      <c r="E41" s="160"/>
      <c r="F41" s="27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row>
    <row r="42" spans="1:30" x14ac:dyDescent="0.2">
      <c r="F42" s="16"/>
    </row>
    <row r="43" spans="1:30" x14ac:dyDescent="0.2">
      <c r="A43" s="151"/>
      <c r="B43" s="154"/>
      <c r="D43" s="145" t="str">
        <f>'Costos unitarios'!D292</f>
        <v>Fuente de energia de respaldo</v>
      </c>
      <c r="E43" s="153" t="s">
        <v>150</v>
      </c>
      <c r="F43" s="312">
        <f>unidades.total.BBS.AEP</f>
        <v>0</v>
      </c>
      <c r="I43" s="153" t="s">
        <v>270</v>
      </c>
      <c r="J43" s="200">
        <f>capex.unitario.fuente.energia.respaldo</f>
        <v>252350</v>
      </c>
      <c r="K43" s="196">
        <v>0</v>
      </c>
      <c r="L43" s="196">
        <v>0</v>
      </c>
      <c r="M43" s="195">
        <f>J43*F43</f>
        <v>0</v>
      </c>
      <c r="N43" s="145">
        <f>vida.util.fuente.energia.respaldo</f>
        <v>7.3</v>
      </c>
      <c r="O43" s="145">
        <f>vida.util.restante.fuente.energia.respaldo</f>
        <v>6.3</v>
      </c>
      <c r="P43" s="194">
        <f>(wacc/(1-(1/(1+wacc)^N43)))*M43</f>
        <v>0</v>
      </c>
      <c r="Q43" s="194">
        <f>(M43/N43)+(M43*(O43/N43))*wacc</f>
        <v>0</v>
      </c>
      <c r="R43" s="194">
        <f>CHOOSE(perfil.recuperacion.costos.activo.indice,P43,Q43)</f>
        <v>0</v>
      </c>
      <c r="T43" s="198">
        <v>0</v>
      </c>
      <c r="U43" s="198">
        <v>0</v>
      </c>
      <c r="V43" s="153" t="s">
        <v>270</v>
      </c>
      <c r="W43" s="193">
        <f>opex.anual.mantenimiento.fuente.energia.respaldo</f>
        <v>13261.25</v>
      </c>
      <c r="X43" s="195">
        <f>W43*F43</f>
        <v>0</v>
      </c>
      <c r="Z43" s="194">
        <f>R43*(1+markup.overhead.capex)</f>
        <v>0</v>
      </c>
      <c r="AA43" s="194">
        <f>X43*(1+markup.overhead.opex)</f>
        <v>0</v>
      </c>
      <c r="AB43" s="199">
        <f>Z43+AA43</f>
        <v>0</v>
      </c>
    </row>
    <row r="44" spans="1:30" x14ac:dyDescent="0.2">
      <c r="F44" s="16"/>
      <c r="Z44" s="152" t="s">
        <v>874</v>
      </c>
      <c r="AA44" s="152" t="s">
        <v>875</v>
      </c>
      <c r="AB44" s="152" t="s">
        <v>876</v>
      </c>
    </row>
    <row r="45" spans="1:30" x14ac:dyDescent="0.2">
      <c r="A45" s="144">
        <v>9</v>
      </c>
      <c r="B45" s="160" t="str">
        <f>INDEX(lista.activos,$A45)</f>
        <v>Aire acondicionado</v>
      </c>
      <c r="C45" s="160"/>
      <c r="D45" s="160"/>
      <c r="E45" s="160"/>
      <c r="F45" s="270"/>
      <c r="G45" s="160"/>
      <c r="H45" s="160"/>
      <c r="I45" s="160"/>
      <c r="J45" s="160"/>
      <c r="K45" s="160"/>
      <c r="L45" s="160"/>
      <c r="M45" s="160"/>
      <c r="N45" s="160"/>
      <c r="O45" s="160"/>
      <c r="P45" s="160"/>
      <c r="Q45" s="160"/>
      <c r="R45" s="160"/>
      <c r="S45" s="160"/>
      <c r="T45" s="160" t="s">
        <v>947</v>
      </c>
      <c r="U45" s="160"/>
      <c r="V45" s="160"/>
      <c r="W45" s="160"/>
      <c r="X45" s="160"/>
      <c r="Y45" s="160"/>
      <c r="Z45" s="160"/>
      <c r="AA45" s="160"/>
      <c r="AB45" s="160"/>
      <c r="AC45" s="160"/>
      <c r="AD45" s="160"/>
    </row>
    <row r="46" spans="1:30" x14ac:dyDescent="0.2">
      <c r="F46" s="16"/>
    </row>
    <row r="47" spans="1:30" x14ac:dyDescent="0.2">
      <c r="D47" s="145" t="str">
        <f>Dimensionado!D294</f>
        <v>Capacidad utilizada</v>
      </c>
      <c r="E47" s="145" t="str">
        <f>Dimensionado!E294</f>
        <v>tons</v>
      </c>
      <c r="F47" s="239">
        <f>Dimensionado!F294</f>
        <v>0</v>
      </c>
      <c r="I47" s="153" t="s">
        <v>644</v>
      </c>
      <c r="J47" s="200">
        <f>capex.unitario.aire.acondicionado</f>
        <v>10143</v>
      </c>
      <c r="K47" s="196">
        <v>0</v>
      </c>
      <c r="L47" s="196">
        <v>0</v>
      </c>
      <c r="M47" s="195">
        <f>J47*F47</f>
        <v>0</v>
      </c>
      <c r="N47" s="145">
        <f>vida.util.aire.acondicionado</f>
        <v>12.7</v>
      </c>
      <c r="O47" s="145">
        <f>vida.util.restante.aire.acondicionado</f>
        <v>11.7</v>
      </c>
      <c r="P47" s="194">
        <f>(wacc/(1-(1/(1+wacc)^N47)))*M47</f>
        <v>0</v>
      </c>
      <c r="Q47" s="194">
        <f>(M47/N47)+(M47*(O47/N47))*wacc</f>
        <v>0</v>
      </c>
      <c r="R47" s="194">
        <f>CHOOSE(perfil.recuperacion.costos.activo.indice,P47,Q47)</f>
        <v>0</v>
      </c>
      <c r="T47" s="198">
        <v>0</v>
      </c>
      <c r="U47" s="188">
        <f>opex.energia.kWh*F47*kW.por.ton*horas.por.dia*dias.por.mes*meses.por.año</f>
        <v>0</v>
      </c>
      <c r="V47" s="153" t="s">
        <v>270</v>
      </c>
      <c r="W47" s="229">
        <f>opex.anual.mantenimiento.aire.acondicionado</f>
        <v>1066.05</v>
      </c>
      <c r="X47" s="195">
        <f>IF(F47&gt;0,W47+U47,0)</f>
        <v>0</v>
      </c>
      <c r="Z47" s="194">
        <f>R47*(1+markup.overhead.capex)</f>
        <v>0</v>
      </c>
      <c r="AA47" s="194">
        <f>X47*(1+markup.overhead.opex)</f>
        <v>0</v>
      </c>
      <c r="AB47" s="199">
        <f>Z47+AA47</f>
        <v>0</v>
      </c>
    </row>
    <row r="48" spans="1:30" x14ac:dyDescent="0.2">
      <c r="F48" s="16"/>
      <c r="Z48" s="152" t="s">
        <v>877</v>
      </c>
      <c r="AA48" s="152" t="s">
        <v>878</v>
      </c>
      <c r="AB48" s="152" t="s">
        <v>879</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228"/>
  <sheetViews>
    <sheetView showGridLines="0" defaultGridColor="0" colorId="22" zoomScale="80" zoomScaleNormal="80" workbookViewId="0">
      <pane ySplit="1" topLeftCell="A2" activePane="bottomLeft" state="frozen"/>
      <selection pane="bottomLeft"/>
    </sheetView>
  </sheetViews>
  <sheetFormatPr baseColWidth="10" defaultColWidth="12.7109375" defaultRowHeight="12" x14ac:dyDescent="0.2"/>
  <cols>
    <col min="1" max="1" width="6.7109375" style="126" customWidth="1"/>
    <col min="2" max="2" width="12.7109375" style="126"/>
    <col min="3" max="3" width="11.140625" style="126" customWidth="1"/>
    <col min="4" max="4" width="46.7109375" style="126" customWidth="1"/>
    <col min="5" max="5" width="36.85546875" style="126" customWidth="1"/>
    <col min="6" max="6" width="4.140625" style="126" customWidth="1"/>
    <col min="7" max="7" width="15.42578125" style="126" customWidth="1"/>
    <col min="8" max="8" width="15.42578125" style="151" customWidth="1"/>
    <col min="9" max="9" width="15.5703125" style="126" customWidth="1"/>
    <col min="10" max="10" width="15.42578125" style="126" customWidth="1"/>
    <col min="11" max="11" width="16.28515625" style="126" customWidth="1"/>
    <col min="12" max="12" width="8.7109375" style="126" customWidth="1"/>
    <col min="13" max="15" width="15.28515625" style="151" customWidth="1"/>
    <col min="16" max="16" width="5.28515625" style="151" customWidth="1"/>
    <col min="17" max="17" width="15.5703125" style="126" bestFit="1" customWidth="1"/>
    <col min="18" max="18" width="20.140625" style="126" customWidth="1"/>
    <col min="19" max="19" width="14.85546875" style="126" customWidth="1"/>
    <col min="20" max="16384" width="12.7109375" style="126"/>
  </cols>
  <sheetData>
    <row r="1" spans="1:22" s="130" customFormat="1" ht="33.75" customHeight="1" x14ac:dyDescent="0.2">
      <c r="D1" s="127" t="s">
        <v>230</v>
      </c>
      <c r="L1" s="130" t="s">
        <v>114</v>
      </c>
    </row>
    <row r="3" spans="1:22" x14ac:dyDescent="0.2">
      <c r="D3" s="165" t="s">
        <v>133</v>
      </c>
      <c r="E3" s="165" t="s">
        <v>134</v>
      </c>
      <c r="F3" s="165"/>
      <c r="G3" s="165"/>
      <c r="H3" s="165"/>
      <c r="I3" s="165"/>
      <c r="J3" s="165"/>
      <c r="K3" s="165"/>
      <c r="L3" s="165"/>
      <c r="M3" s="165"/>
      <c r="N3" s="165"/>
      <c r="O3" s="165"/>
      <c r="P3" s="165"/>
      <c r="Q3" s="165"/>
      <c r="R3" s="165"/>
      <c r="S3" s="165"/>
      <c r="T3" s="165"/>
      <c r="U3" s="165"/>
      <c r="V3" s="165"/>
    </row>
    <row r="5" spans="1:22" s="151" customFormat="1" x14ac:dyDescent="0.2">
      <c r="A5" s="156" t="s">
        <v>677</v>
      </c>
      <c r="B5" s="143"/>
      <c r="C5" s="143"/>
      <c r="D5" s="143"/>
      <c r="E5" s="143"/>
      <c r="F5" s="143"/>
      <c r="G5" s="165"/>
      <c r="H5" s="165"/>
      <c r="I5" s="143"/>
      <c r="J5" s="143"/>
      <c r="K5" s="143"/>
      <c r="L5" s="143"/>
      <c r="M5" s="143"/>
      <c r="N5" s="143"/>
      <c r="O5" s="143"/>
      <c r="P5" s="143"/>
      <c r="Q5" s="143"/>
      <c r="R5" s="143"/>
      <c r="S5" s="143"/>
      <c r="T5" s="143"/>
      <c r="U5" s="143"/>
      <c r="V5" s="143"/>
    </row>
    <row r="6" spans="1:22" s="151" customFormat="1" ht="38.25" customHeight="1" x14ac:dyDescent="0.2">
      <c r="E6" s="154" t="s">
        <v>676</v>
      </c>
      <c r="G6" s="213" t="str">
        <f t="array" ref="G6:J6">TRANSPOSE(servicios)</f>
        <v>Espacio en piso</v>
      </c>
      <c r="H6" s="213" t="str">
        <v>Espacio en torre</v>
      </c>
      <c r="I6" s="213" t="str">
        <v>Fuente de energia de respaldo</v>
      </c>
      <c r="J6" s="213" t="str">
        <v>Aire acondicionado</v>
      </c>
    </row>
    <row r="7" spans="1:22" s="151" customFormat="1" x14ac:dyDescent="0.2">
      <c r="D7" s="105" t="s">
        <v>133</v>
      </c>
    </row>
    <row r="8" spans="1:22" s="151" customFormat="1" x14ac:dyDescent="0.2">
      <c r="C8" s="155">
        <v>1</v>
      </c>
      <c r="D8" s="145" t="str">
        <f t="shared" ref="D8:D16" si="0">INDEX(lista.activos,C8)</f>
        <v>Predio</v>
      </c>
      <c r="G8" s="232">
        <v>1</v>
      </c>
      <c r="H8" s="232">
        <v>0</v>
      </c>
      <c r="I8" s="232">
        <v>0</v>
      </c>
      <c r="J8" s="232">
        <v>0</v>
      </c>
    </row>
    <row r="9" spans="1:22" s="151" customFormat="1" x14ac:dyDescent="0.2">
      <c r="C9" s="155">
        <v>2</v>
      </c>
      <c r="D9" s="145" t="str">
        <f t="shared" si="0"/>
        <v>Torre</v>
      </c>
      <c r="G9" s="232">
        <v>0</v>
      </c>
      <c r="H9" s="232">
        <v>1</v>
      </c>
      <c r="I9" s="232">
        <v>0</v>
      </c>
      <c r="J9" s="232">
        <v>0</v>
      </c>
    </row>
    <row r="10" spans="1:22" s="151" customFormat="1" x14ac:dyDescent="0.2">
      <c r="C10" s="155">
        <v>3</v>
      </c>
      <c r="D10" s="145" t="str">
        <f t="shared" si="0"/>
        <v>Caseta (shelter) AEP</v>
      </c>
      <c r="G10" s="232">
        <v>1</v>
      </c>
      <c r="H10" s="232">
        <v>0</v>
      </c>
      <c r="I10" s="232">
        <v>0</v>
      </c>
      <c r="J10" s="232">
        <v>0</v>
      </c>
    </row>
    <row r="11" spans="1:22" s="151" customFormat="1" x14ac:dyDescent="0.2">
      <c r="C11" s="155">
        <v>4</v>
      </c>
      <c r="D11" s="145" t="str">
        <f t="shared" si="0"/>
        <v>Caseta (shelter) CSs</v>
      </c>
      <c r="G11" s="232">
        <v>1</v>
      </c>
      <c r="H11" s="232">
        <v>0</v>
      </c>
      <c r="I11" s="232">
        <v>0</v>
      </c>
      <c r="J11" s="232">
        <v>0</v>
      </c>
    </row>
    <row r="12" spans="1:22" s="151" customFormat="1" x14ac:dyDescent="0.2">
      <c r="C12" s="155">
        <v>5</v>
      </c>
      <c r="D12" s="145" t="str">
        <f t="shared" si="0"/>
        <v>Plancha de concreto - Equipos outdoor (BTS/BBS)</v>
      </c>
      <c r="G12" s="232">
        <v>1</v>
      </c>
      <c r="H12" s="232">
        <v>0</v>
      </c>
      <c r="I12" s="232">
        <v>0</v>
      </c>
      <c r="J12" s="232">
        <v>0</v>
      </c>
    </row>
    <row r="13" spans="1:22" s="151" customFormat="1" x14ac:dyDescent="0.2">
      <c r="C13" s="155">
        <v>6</v>
      </c>
      <c r="D13" s="145" t="str">
        <f t="shared" si="0"/>
        <v>Nicho de acometida - Panel de energia principal</v>
      </c>
      <c r="G13" s="232">
        <v>1</v>
      </c>
      <c r="H13" s="232">
        <v>0</v>
      </c>
      <c r="I13" s="232">
        <v>0</v>
      </c>
      <c r="J13" s="232">
        <v>0</v>
      </c>
    </row>
    <row r="14" spans="1:22" s="151" customFormat="1" x14ac:dyDescent="0.2">
      <c r="C14" s="155">
        <v>7</v>
      </c>
      <c r="D14" s="145" t="str">
        <f t="shared" si="0"/>
        <v>Nicho de acometida - Panel de distribuición de energia</v>
      </c>
      <c r="G14" s="232">
        <v>1</v>
      </c>
      <c r="H14" s="232">
        <v>0</v>
      </c>
      <c r="I14" s="232">
        <v>0</v>
      </c>
      <c r="J14" s="232">
        <v>0</v>
      </c>
    </row>
    <row r="15" spans="1:22" s="151" customFormat="1" x14ac:dyDescent="0.2">
      <c r="C15" s="155">
        <v>8</v>
      </c>
      <c r="D15" s="145" t="str">
        <f t="shared" si="0"/>
        <v>Fuente de energía de respaldo</v>
      </c>
      <c r="G15" s="232">
        <v>0</v>
      </c>
      <c r="H15" s="232">
        <v>0</v>
      </c>
      <c r="I15" s="232">
        <v>1</v>
      </c>
      <c r="J15" s="232">
        <v>0</v>
      </c>
    </row>
    <row r="16" spans="1:22" s="151" customFormat="1" x14ac:dyDescent="0.2">
      <c r="C16" s="155">
        <v>9</v>
      </c>
      <c r="D16" s="145" t="str">
        <f t="shared" si="0"/>
        <v>Aire acondicionado</v>
      </c>
      <c r="G16" s="232">
        <v>0</v>
      </c>
      <c r="H16" s="232">
        <v>0</v>
      </c>
      <c r="I16" s="232">
        <v>0</v>
      </c>
      <c r="J16" s="232">
        <v>1</v>
      </c>
    </row>
    <row r="17" spans="1:22" s="151" customFormat="1" x14ac:dyDescent="0.2"/>
    <row r="18" spans="1:22" x14ac:dyDescent="0.2">
      <c r="A18" s="156" t="s">
        <v>538</v>
      </c>
      <c r="B18" s="143"/>
      <c r="C18" s="143"/>
      <c r="D18" s="143"/>
      <c r="E18" s="143"/>
      <c r="F18" s="143"/>
      <c r="G18" s="165"/>
      <c r="H18" s="165"/>
      <c r="I18" s="143"/>
      <c r="J18" s="143"/>
      <c r="K18" s="143"/>
      <c r="L18" s="143"/>
      <c r="M18" s="143"/>
      <c r="N18" s="143"/>
      <c r="O18" s="143"/>
      <c r="P18" s="143"/>
      <c r="Q18" s="143"/>
      <c r="R18" s="143"/>
      <c r="S18" s="143"/>
      <c r="T18" s="143"/>
      <c r="U18" s="143"/>
      <c r="V18" s="143"/>
    </row>
    <row r="19" spans="1:22" x14ac:dyDescent="0.2">
      <c r="B19" s="160" t="s">
        <v>525</v>
      </c>
      <c r="C19" s="160"/>
      <c r="D19" s="160"/>
      <c r="E19" s="160"/>
      <c r="F19" s="160"/>
      <c r="G19" s="160"/>
      <c r="H19" s="160"/>
      <c r="I19" s="160"/>
      <c r="J19" s="160"/>
      <c r="K19" s="160"/>
      <c r="L19" s="160"/>
      <c r="M19" s="160"/>
      <c r="N19" s="160"/>
      <c r="O19" s="160"/>
      <c r="P19" s="160"/>
      <c r="Q19" s="160"/>
      <c r="R19" s="160"/>
      <c r="S19" s="160"/>
      <c r="T19" s="160"/>
      <c r="U19" s="160"/>
      <c r="V19" s="160"/>
    </row>
    <row r="20" spans="1:22" x14ac:dyDescent="0.2">
      <c r="C20" s="151"/>
      <c r="D20" s="151"/>
      <c r="E20" s="151"/>
      <c r="F20" s="151"/>
      <c r="G20" s="170" t="s">
        <v>262</v>
      </c>
      <c r="H20" s="170" t="s">
        <v>534</v>
      </c>
      <c r="I20" s="105" t="s">
        <v>535</v>
      </c>
      <c r="J20" s="203" t="s">
        <v>394</v>
      </c>
      <c r="K20" s="204" t="s">
        <v>702</v>
      </c>
      <c r="L20" s="151"/>
      <c r="M20" s="154" t="s">
        <v>552</v>
      </c>
      <c r="N20" s="154" t="s">
        <v>553</v>
      </c>
      <c r="O20" s="154" t="s">
        <v>554</v>
      </c>
      <c r="P20" s="154"/>
      <c r="Q20" s="170" t="s">
        <v>262</v>
      </c>
      <c r="R20" s="170" t="s">
        <v>534</v>
      </c>
      <c r="S20" s="105" t="s">
        <v>536</v>
      </c>
      <c r="T20" s="203" t="s">
        <v>394</v>
      </c>
    </row>
    <row r="21" spans="1:22" x14ac:dyDescent="0.2">
      <c r="C21" s="105" t="s">
        <v>133</v>
      </c>
      <c r="D21" s="105"/>
      <c r="E21" s="204" t="s">
        <v>271</v>
      </c>
      <c r="F21" s="105"/>
      <c r="G21" s="205">
        <f>SUM(G22:G29)</f>
        <v>252514.55584796725</v>
      </c>
      <c r="H21" s="205">
        <f t="shared" ref="H21:I21" si="1">SUM(H22:H29)</f>
        <v>81714.482288894447</v>
      </c>
      <c r="I21" s="205">
        <f t="shared" si="1"/>
        <v>334229.03813686169</v>
      </c>
      <c r="J21" s="203" t="b">
        <f>AND(J22:J29)</f>
        <v>1</v>
      </c>
      <c r="K21" s="170"/>
      <c r="L21" s="151"/>
      <c r="Q21" s="205">
        <f>SUM(Q22:Q30)</f>
        <v>252514.55584796725</v>
      </c>
      <c r="R21" s="205">
        <f t="shared" ref="R21:S21" si="2">SUM(R22:R30)</f>
        <v>81714.482288894447</v>
      </c>
      <c r="S21" s="205">
        <f t="shared" si="2"/>
        <v>334229.03813686169</v>
      </c>
      <c r="T21" s="203" t="b">
        <f>AND(T22:T29)</f>
        <v>1</v>
      </c>
    </row>
    <row r="22" spans="1:22" x14ac:dyDescent="0.2">
      <c r="B22" s="155">
        <v>1</v>
      </c>
      <c r="C22" s="145" t="str">
        <f t="shared" ref="C22:C30" si="3">INDEX(lista.activos,B22)</f>
        <v>Predio</v>
      </c>
      <c r="E22" s="145" t="str">
        <f>$E$21</f>
        <v>MXN/año</v>
      </c>
      <c r="G22" s="234">
        <f>capex.predio</f>
        <v>0</v>
      </c>
      <c r="H22" s="234">
        <f>opex.predio</f>
        <v>15350.788912680002</v>
      </c>
      <c r="I22" s="235">
        <f t="shared" ref="I22:I30" si="4">G22+H22</f>
        <v>15350.788912680002</v>
      </c>
      <c r="J22" s="206" t="b">
        <f>I22=gasto.anual.predio</f>
        <v>1</v>
      </c>
      <c r="K22" s="233">
        <v>1</v>
      </c>
      <c r="L22" s="3"/>
      <c r="M22" s="229">
        <f t="shared" ref="M22:M29" si="5">K22</f>
        <v>1</v>
      </c>
      <c r="N22" s="230">
        <f t="shared" ref="N22:N29" si="6">IF(numero.operadores.activo&gt;=2,K22,0)</f>
        <v>0</v>
      </c>
      <c r="O22" s="230">
        <f t="shared" ref="O22:O29" si="7">IF(numero.operadores.activo=3,K22,0)</f>
        <v>0</v>
      </c>
      <c r="P22" s="3"/>
      <c r="Q22" s="230">
        <f t="shared" ref="Q22:S29" si="8">G22*$K22</f>
        <v>0</v>
      </c>
      <c r="R22" s="230">
        <f t="shared" si="8"/>
        <v>15350.788912680002</v>
      </c>
      <c r="S22" s="230">
        <f t="shared" si="8"/>
        <v>15350.788912680002</v>
      </c>
      <c r="T22" s="206" t="b">
        <f t="shared" ref="T22:T30" si="9">I22*K22=S22</f>
        <v>1</v>
      </c>
    </row>
    <row r="23" spans="1:22" x14ac:dyDescent="0.2">
      <c r="B23" s="155">
        <v>2</v>
      </c>
      <c r="C23" s="145" t="str">
        <f t="shared" si="3"/>
        <v>Torre</v>
      </c>
      <c r="E23" s="145" t="str">
        <f t="shared" ref="E23:E30" si="10">$E$21</f>
        <v>MXN/año</v>
      </c>
      <c r="G23" s="234">
        <f>capex.torre</f>
        <v>249130.10194903053</v>
      </c>
      <c r="H23" s="234">
        <f>opex.torre</f>
        <v>66149.408878800052</v>
      </c>
      <c r="I23" s="235">
        <f t="shared" si="4"/>
        <v>315279.51082783059</v>
      </c>
      <c r="J23" s="206" t="b">
        <f>I23=gasto.anual.torre</f>
        <v>1</v>
      </c>
      <c r="K23" s="233">
        <v>1</v>
      </c>
      <c r="L23" s="3"/>
      <c r="M23" s="229">
        <f t="shared" si="5"/>
        <v>1</v>
      </c>
      <c r="N23" s="230">
        <f t="shared" si="6"/>
        <v>0</v>
      </c>
      <c r="O23" s="230">
        <f t="shared" si="7"/>
        <v>0</v>
      </c>
      <c r="P23" s="3"/>
      <c r="Q23" s="230">
        <f t="shared" si="8"/>
        <v>249130.10194903053</v>
      </c>
      <c r="R23" s="230">
        <f t="shared" si="8"/>
        <v>66149.408878800052</v>
      </c>
      <c r="S23" s="230">
        <f t="shared" si="8"/>
        <v>315279.51082783059</v>
      </c>
      <c r="T23" s="206" t="b">
        <f t="shared" si="9"/>
        <v>1</v>
      </c>
    </row>
    <row r="24" spans="1:22" x14ac:dyDescent="0.2">
      <c r="B24" s="155">
        <v>3</v>
      </c>
      <c r="C24" s="145" t="str">
        <f t="shared" si="3"/>
        <v>Caseta (shelter) AEP</v>
      </c>
      <c r="E24" s="145" t="str">
        <f t="shared" si="10"/>
        <v>MXN/año</v>
      </c>
      <c r="G24" s="234">
        <f>capex.caseta.AEP</f>
        <v>0</v>
      </c>
      <c r="H24" s="234">
        <f>opex.caseta.AEP</f>
        <v>0</v>
      </c>
      <c r="I24" s="235">
        <f t="shared" si="4"/>
        <v>0</v>
      </c>
      <c r="J24" s="206" t="b">
        <f>I24=gasto.anual.caseta.AEP</f>
        <v>1</v>
      </c>
      <c r="K24" s="233">
        <v>1</v>
      </c>
      <c r="L24" s="3"/>
      <c r="M24" s="229">
        <f t="shared" si="5"/>
        <v>1</v>
      </c>
      <c r="N24" s="230">
        <f t="shared" si="6"/>
        <v>0</v>
      </c>
      <c r="O24" s="230">
        <f t="shared" si="7"/>
        <v>0</v>
      </c>
      <c r="P24" s="3"/>
      <c r="Q24" s="230">
        <f t="shared" si="8"/>
        <v>0</v>
      </c>
      <c r="R24" s="230">
        <f t="shared" si="8"/>
        <v>0</v>
      </c>
      <c r="S24" s="230">
        <f t="shared" si="8"/>
        <v>0</v>
      </c>
      <c r="T24" s="206" t="b">
        <f t="shared" si="9"/>
        <v>1</v>
      </c>
    </row>
    <row r="25" spans="1:22" x14ac:dyDescent="0.2">
      <c r="B25" s="155">
        <v>4</v>
      </c>
      <c r="C25" s="145" t="str">
        <f t="shared" si="3"/>
        <v>Caseta (shelter) CSs</v>
      </c>
      <c r="E25" s="145" t="str">
        <f t="shared" si="10"/>
        <v>MXN/año</v>
      </c>
      <c r="G25" s="234">
        <f>capex.caseta.CS</f>
        <v>0</v>
      </c>
      <c r="H25" s="234">
        <f>opex.caseta.CS</f>
        <v>0</v>
      </c>
      <c r="I25" s="235">
        <f t="shared" si="4"/>
        <v>0</v>
      </c>
      <c r="J25" s="206" t="b">
        <f>I25=gasto.anual.caseta.CS</f>
        <v>1</v>
      </c>
      <c r="K25" s="233">
        <v>1</v>
      </c>
      <c r="L25" s="3"/>
      <c r="M25" s="229">
        <f t="shared" si="5"/>
        <v>1</v>
      </c>
      <c r="N25" s="230">
        <f t="shared" si="6"/>
        <v>0</v>
      </c>
      <c r="O25" s="230">
        <f t="shared" si="7"/>
        <v>0</v>
      </c>
      <c r="P25" s="3"/>
      <c r="Q25" s="230">
        <f t="shared" si="8"/>
        <v>0</v>
      </c>
      <c r="R25" s="230">
        <f t="shared" si="8"/>
        <v>0</v>
      </c>
      <c r="S25" s="230">
        <f t="shared" si="8"/>
        <v>0</v>
      </c>
      <c r="T25" s="206" t="b">
        <f t="shared" si="9"/>
        <v>1</v>
      </c>
    </row>
    <row r="26" spans="1:22" x14ac:dyDescent="0.2">
      <c r="B26" s="155">
        <v>5</v>
      </c>
      <c r="C26" s="145" t="str">
        <f t="shared" si="3"/>
        <v>Plancha de concreto - Equipos outdoor (BTS/BBS)</v>
      </c>
      <c r="E26" s="145" t="str">
        <f t="shared" si="10"/>
        <v>MXN/año</v>
      </c>
      <c r="G26" s="234">
        <f>capex.plancha.concreto</f>
        <v>3384.4538989367115</v>
      </c>
      <c r="H26" s="234">
        <f>opex.plancha.concreto</f>
        <v>214.28449741440002</v>
      </c>
      <c r="I26" s="235">
        <f t="shared" si="4"/>
        <v>3598.7383963511115</v>
      </c>
      <c r="J26" s="206" t="b">
        <f>I26=gasto.anual.plancha.concreto</f>
        <v>1</v>
      </c>
      <c r="K26" s="233">
        <v>1</v>
      </c>
      <c r="L26" s="3"/>
      <c r="M26" s="229">
        <f t="shared" si="5"/>
        <v>1</v>
      </c>
      <c r="N26" s="230">
        <f t="shared" si="6"/>
        <v>0</v>
      </c>
      <c r="O26" s="230">
        <f t="shared" si="7"/>
        <v>0</v>
      </c>
      <c r="P26" s="3"/>
      <c r="Q26" s="230">
        <f t="shared" si="8"/>
        <v>3384.4538989367115</v>
      </c>
      <c r="R26" s="230">
        <f t="shared" si="8"/>
        <v>214.28449741440002</v>
      </c>
      <c r="S26" s="230">
        <f t="shared" si="8"/>
        <v>3598.7383963511115</v>
      </c>
      <c r="T26" s="206" t="b">
        <f t="shared" si="9"/>
        <v>1</v>
      </c>
    </row>
    <row r="27" spans="1:22" x14ac:dyDescent="0.2">
      <c r="B27" s="155">
        <v>6</v>
      </c>
      <c r="C27" s="145" t="str">
        <f t="shared" si="3"/>
        <v>Nicho de acometida - Panel de energia principal</v>
      </c>
      <c r="E27" s="145" t="str">
        <f t="shared" si="10"/>
        <v>MXN/año</v>
      </c>
      <c r="G27" s="234">
        <f>capex.nicho.acometida.principal</f>
        <v>0</v>
      </c>
      <c r="H27" s="234">
        <f>opex.nicho.acometida.principal</f>
        <v>0</v>
      </c>
      <c r="I27" s="235">
        <f t="shared" si="4"/>
        <v>0</v>
      </c>
      <c r="J27" s="206" t="b">
        <f>I27=gasto.anual.nicho.acometida.principal</f>
        <v>1</v>
      </c>
      <c r="K27" s="233">
        <v>1</v>
      </c>
      <c r="L27" s="3"/>
      <c r="M27" s="229">
        <f t="shared" si="5"/>
        <v>1</v>
      </c>
      <c r="N27" s="230">
        <f t="shared" si="6"/>
        <v>0</v>
      </c>
      <c r="O27" s="230">
        <f t="shared" si="7"/>
        <v>0</v>
      </c>
      <c r="P27" s="3"/>
      <c r="Q27" s="230">
        <f t="shared" si="8"/>
        <v>0</v>
      </c>
      <c r="R27" s="230">
        <f t="shared" si="8"/>
        <v>0</v>
      </c>
      <c r="S27" s="230">
        <f t="shared" si="8"/>
        <v>0</v>
      </c>
      <c r="T27" s="206" t="b">
        <f t="shared" si="9"/>
        <v>1</v>
      </c>
    </row>
    <row r="28" spans="1:22" s="151" customFormat="1" x14ac:dyDescent="0.2">
      <c r="B28" s="155">
        <v>7</v>
      </c>
      <c r="C28" s="145" t="str">
        <f t="shared" si="3"/>
        <v>Nicho de acometida - Panel de distribuición de energia</v>
      </c>
      <c r="E28" s="145" t="str">
        <f t="shared" si="10"/>
        <v>MXN/año</v>
      </c>
      <c r="G28" s="234">
        <f>capex.nicho.acometida.secundario</f>
        <v>0</v>
      </c>
      <c r="H28" s="234">
        <f>opex.nicho.acometida.secundario</f>
        <v>0</v>
      </c>
      <c r="I28" s="235">
        <f t="shared" si="4"/>
        <v>0</v>
      </c>
      <c r="J28" s="206" t="b">
        <f>I28=gasto.anual.nicho.acometida.secundario</f>
        <v>1</v>
      </c>
      <c r="K28" s="233">
        <v>1</v>
      </c>
      <c r="L28" s="3"/>
      <c r="M28" s="229">
        <f t="shared" si="5"/>
        <v>1</v>
      </c>
      <c r="N28" s="230">
        <f t="shared" si="6"/>
        <v>0</v>
      </c>
      <c r="O28" s="230">
        <f t="shared" si="7"/>
        <v>0</v>
      </c>
      <c r="P28" s="3"/>
      <c r="Q28" s="230">
        <f t="shared" si="8"/>
        <v>0</v>
      </c>
      <c r="R28" s="230">
        <f t="shared" si="8"/>
        <v>0</v>
      </c>
      <c r="S28" s="230">
        <f t="shared" si="8"/>
        <v>0</v>
      </c>
      <c r="T28" s="206" t="b">
        <f t="shared" si="9"/>
        <v>1</v>
      </c>
    </row>
    <row r="29" spans="1:22" s="151" customFormat="1" x14ac:dyDescent="0.2">
      <c r="B29" s="155">
        <v>8</v>
      </c>
      <c r="C29" s="145" t="str">
        <f t="shared" si="3"/>
        <v>Fuente de energía de respaldo</v>
      </c>
      <c r="E29" s="145" t="str">
        <f t="shared" si="10"/>
        <v>MXN/año</v>
      </c>
      <c r="G29" s="234">
        <f>capex.fuente.energia.respaldo</f>
        <v>0</v>
      </c>
      <c r="H29" s="234">
        <f>opex.fuente.energia.respaldo</f>
        <v>0</v>
      </c>
      <c r="I29" s="235">
        <f t="shared" si="4"/>
        <v>0</v>
      </c>
      <c r="J29" s="206" t="b">
        <f>I29=gasto.anual.fuente.energia.respaldo</f>
        <v>1</v>
      </c>
      <c r="K29" s="233">
        <v>1</v>
      </c>
      <c r="L29" s="3"/>
      <c r="M29" s="229">
        <f t="shared" si="5"/>
        <v>1</v>
      </c>
      <c r="N29" s="230">
        <f t="shared" si="6"/>
        <v>0</v>
      </c>
      <c r="O29" s="230">
        <f t="shared" si="7"/>
        <v>0</v>
      </c>
      <c r="P29" s="3"/>
      <c r="Q29" s="230">
        <f t="shared" si="8"/>
        <v>0</v>
      </c>
      <c r="R29" s="230">
        <f t="shared" si="8"/>
        <v>0</v>
      </c>
      <c r="S29" s="230">
        <f t="shared" si="8"/>
        <v>0</v>
      </c>
      <c r="T29" s="206" t="b">
        <f t="shared" si="9"/>
        <v>1</v>
      </c>
    </row>
    <row r="30" spans="1:22" s="151" customFormat="1" x14ac:dyDescent="0.2">
      <c r="B30" s="155">
        <v>9</v>
      </c>
      <c r="C30" s="145" t="str">
        <f t="shared" si="3"/>
        <v>Aire acondicionado</v>
      </c>
      <c r="E30" s="145" t="str">
        <f t="shared" si="10"/>
        <v>MXN/año</v>
      </c>
      <c r="G30" s="234">
        <f>capex.aire.acondicionado</f>
        <v>0</v>
      </c>
      <c r="H30" s="234">
        <f>opex.aire.acondicionado</f>
        <v>0</v>
      </c>
      <c r="I30" s="235">
        <f t="shared" si="4"/>
        <v>0</v>
      </c>
      <c r="J30" s="206" t="b">
        <f>I30=gasto.anual.aire.acondicionado</f>
        <v>1</v>
      </c>
      <c r="K30" s="233">
        <v>1</v>
      </c>
      <c r="L30" s="3"/>
      <c r="M30" s="229">
        <f t="shared" ref="M30" si="11">K30</f>
        <v>1</v>
      </c>
      <c r="N30" s="230">
        <f t="shared" ref="N30" si="12">IF(numero.operadores.activo&gt;=2,K30,0)</f>
        <v>0</v>
      </c>
      <c r="O30" s="230">
        <f t="shared" ref="O30" si="13">IF(numero.operadores.activo=3,K30,0)</f>
        <v>0</v>
      </c>
      <c r="P30" s="3"/>
      <c r="Q30" s="230">
        <f t="shared" ref="Q30" si="14">G30*$K30</f>
        <v>0</v>
      </c>
      <c r="R30" s="230">
        <f t="shared" ref="R30" si="15">H30*$K30</f>
        <v>0</v>
      </c>
      <c r="S30" s="230">
        <f t="shared" ref="S30" si="16">I30*$K30</f>
        <v>0</v>
      </c>
      <c r="T30" s="206" t="b">
        <f t="shared" si="9"/>
        <v>1</v>
      </c>
    </row>
    <row r="31" spans="1:22" x14ac:dyDescent="0.2">
      <c r="H31" s="126"/>
    </row>
    <row r="32" spans="1:22" s="151" customFormat="1" x14ac:dyDescent="0.2">
      <c r="C32" s="105" t="s">
        <v>599</v>
      </c>
      <c r="G32" s="170" t="s">
        <v>262</v>
      </c>
      <c r="H32" s="170" t="s">
        <v>534</v>
      </c>
      <c r="I32" s="105" t="s">
        <v>535</v>
      </c>
    </row>
    <row r="33" spans="1:22" s="151" customFormat="1" x14ac:dyDescent="0.2">
      <c r="B33" s="155">
        <v>1</v>
      </c>
      <c r="C33" s="145" t="str">
        <f>INDEX(servicios,B33)</f>
        <v>Espacio en piso</v>
      </c>
      <c r="E33" s="145" t="str">
        <f t="shared" ref="E33:E36" si="17">$E$21</f>
        <v>MXN/año</v>
      </c>
      <c r="G33" s="258">
        <f>SUMPRODUCT($G$8:$G$16,Q$22:Q$30)</f>
        <v>3384.4538989367115</v>
      </c>
      <c r="H33" s="258">
        <f t="shared" ref="H33:I33" si="18">SUMPRODUCT($G$8:$G$16,R$22:R$30)</f>
        <v>15565.073410094403</v>
      </c>
      <c r="I33" s="258">
        <f t="shared" si="18"/>
        <v>18949.527309031113</v>
      </c>
    </row>
    <row r="34" spans="1:22" s="151" customFormat="1" x14ac:dyDescent="0.2">
      <c r="B34" s="155">
        <v>2</v>
      </c>
      <c r="C34" s="145" t="str">
        <f>INDEX(servicios,B34)</f>
        <v>Espacio en torre</v>
      </c>
      <c r="E34" s="145" t="str">
        <f t="shared" si="17"/>
        <v>MXN/año</v>
      </c>
      <c r="G34" s="258">
        <f>SUMPRODUCT($H$8:$H$16,Q$22:Q$30)</f>
        <v>249130.10194903053</v>
      </c>
      <c r="H34" s="258">
        <f t="shared" ref="H34:I34" si="19">SUMPRODUCT($H$8:$H$16,R$22:R$30)</f>
        <v>66149.408878800052</v>
      </c>
      <c r="I34" s="258">
        <f t="shared" si="19"/>
        <v>315279.51082783059</v>
      </c>
    </row>
    <row r="35" spans="1:22" s="151" customFormat="1" x14ac:dyDescent="0.2">
      <c r="B35" s="155">
        <v>3</v>
      </c>
      <c r="C35" s="145" t="str">
        <f>INDEX(servicios,B35)</f>
        <v>Fuente de energia de respaldo</v>
      </c>
      <c r="E35" s="145" t="str">
        <f t="shared" si="17"/>
        <v>MXN/año</v>
      </c>
      <c r="G35" s="258">
        <f>SUMPRODUCT($I$8:$I$16,Q$22:Q$30)</f>
        <v>0</v>
      </c>
      <c r="H35" s="258">
        <f t="shared" ref="H35:I35" si="20">SUMPRODUCT($I$8:$I$16,R$22:R$30)</f>
        <v>0</v>
      </c>
      <c r="I35" s="258">
        <f t="shared" si="20"/>
        <v>0</v>
      </c>
    </row>
    <row r="36" spans="1:22" s="151" customFormat="1" x14ac:dyDescent="0.2">
      <c r="B36" s="155">
        <v>4</v>
      </c>
      <c r="C36" s="145" t="str">
        <f>INDEX(servicios,B36)</f>
        <v>Aire acondicionado</v>
      </c>
      <c r="E36" s="145" t="str">
        <f t="shared" si="17"/>
        <v>MXN/año</v>
      </c>
      <c r="G36" s="258">
        <f>SUMPRODUCT($J$8:$J$16,Q$22:Q$30)</f>
        <v>0</v>
      </c>
      <c r="H36" s="258">
        <f t="shared" ref="H36:I36" si="21">SUMPRODUCT($J$8:$J$16,R$22:R$30)</f>
        <v>0</v>
      </c>
      <c r="I36" s="258">
        <f t="shared" si="21"/>
        <v>0</v>
      </c>
    </row>
    <row r="37" spans="1:22" s="151" customFormat="1" x14ac:dyDescent="0.2"/>
    <row r="38" spans="1:22" s="151" customFormat="1" x14ac:dyDescent="0.2"/>
    <row r="39" spans="1:22" x14ac:dyDescent="0.2">
      <c r="A39" s="156" t="s">
        <v>537</v>
      </c>
      <c r="B39" s="143"/>
      <c r="C39" s="143"/>
      <c r="D39" s="143"/>
      <c r="E39" s="143"/>
      <c r="F39" s="143"/>
      <c r="G39" s="165"/>
      <c r="H39" s="165"/>
      <c r="I39" s="143"/>
      <c r="J39" s="143"/>
      <c r="K39" s="143"/>
      <c r="L39" s="143"/>
      <c r="M39" s="143"/>
      <c r="N39" s="143"/>
      <c r="O39" s="143"/>
      <c r="P39" s="143"/>
      <c r="Q39" s="143"/>
      <c r="R39" s="143"/>
      <c r="S39" s="143"/>
      <c r="T39" s="143"/>
      <c r="U39" s="143"/>
      <c r="V39" s="143"/>
    </row>
    <row r="40" spans="1:22" x14ac:dyDescent="0.2">
      <c r="B40" s="160" t="s">
        <v>896</v>
      </c>
      <c r="C40" s="160"/>
      <c r="D40" s="160"/>
      <c r="E40" s="160"/>
      <c r="F40" s="160"/>
      <c r="G40" s="160"/>
      <c r="H40" s="160"/>
      <c r="I40" s="160"/>
      <c r="J40" s="160"/>
      <c r="K40" s="160"/>
      <c r="L40" s="160"/>
      <c r="M40" s="160"/>
      <c r="N40" s="160"/>
      <c r="O40" s="160"/>
      <c r="P40" s="160"/>
      <c r="Q40" s="160"/>
      <c r="R40" s="160"/>
      <c r="S40" s="160"/>
      <c r="T40" s="160"/>
      <c r="U40" s="160"/>
      <c r="V40" s="160"/>
    </row>
    <row r="42" spans="1:22" x14ac:dyDescent="0.2">
      <c r="B42" s="151"/>
      <c r="C42" s="105" t="s">
        <v>133</v>
      </c>
      <c r="D42" s="151"/>
      <c r="E42" s="154"/>
      <c r="H42" s="154" t="s">
        <v>318</v>
      </c>
      <c r="I42" s="154" t="s">
        <v>412</v>
      </c>
      <c r="J42" s="154" t="s">
        <v>414</v>
      </c>
      <c r="K42" s="154" t="s">
        <v>415</v>
      </c>
      <c r="N42" s="154" t="s">
        <v>681</v>
      </c>
    </row>
    <row r="43" spans="1:22" x14ac:dyDescent="0.2">
      <c r="B43" s="155">
        <v>1</v>
      </c>
      <c r="C43" s="145" t="str">
        <f t="shared" ref="C43" si="22">INDEX(lista.activos,B43)</f>
        <v>Predio</v>
      </c>
      <c r="D43" s="151"/>
      <c r="E43" s="154"/>
      <c r="Q43" s="151"/>
    </row>
    <row r="44" spans="1:22" x14ac:dyDescent="0.2">
      <c r="B44" s="151"/>
      <c r="C44" s="155">
        <v>1</v>
      </c>
      <c r="D44" s="145" t="str">
        <f t="shared" ref="D44:D50" si="23">INDEX(componentes.predio,C44)</f>
        <v>Torre</v>
      </c>
      <c r="E44" s="151" t="s">
        <v>910</v>
      </c>
      <c r="H44" s="228">
        <v>1</v>
      </c>
      <c r="I44" s="229">
        <f>cs1.activo</f>
        <v>1</v>
      </c>
      <c r="J44" s="229">
        <f>cs2.activo</f>
        <v>0</v>
      </c>
      <c r="K44" s="229">
        <f>cs3.activo</f>
        <v>0</v>
      </c>
      <c r="N44" s="151" t="s">
        <v>909</v>
      </c>
    </row>
    <row r="45" spans="1:22" x14ac:dyDescent="0.2">
      <c r="B45" s="151"/>
      <c r="C45" s="155">
        <v>2</v>
      </c>
      <c r="D45" s="145" t="str">
        <f t="shared" si="23"/>
        <v>Caseta (shelter) AEP</v>
      </c>
      <c r="E45" s="151" t="s">
        <v>910</v>
      </c>
      <c r="H45" s="230">
        <f>IF(caseta.AEP.activo="Sí",1,0)</f>
        <v>0</v>
      </c>
      <c r="I45" s="230">
        <f>IF(comparticion.caseta.CS1="Caseta del AEP",1,0)*Control!I72</f>
        <v>0</v>
      </c>
      <c r="J45" s="230">
        <f>IF(comparticion.caseta.CS2="Caseta del AEP",1,0)*Control!I73*cs2.activo</f>
        <v>0</v>
      </c>
      <c r="K45" s="230">
        <f>IF(comparticion.caseta.CS3="Caseta del AEP",1,0)*Control!I74*cs3.activo</f>
        <v>0</v>
      </c>
      <c r="N45" s="126" t="s">
        <v>572</v>
      </c>
    </row>
    <row r="46" spans="1:22" x14ac:dyDescent="0.2">
      <c r="B46" s="151"/>
      <c r="C46" s="155">
        <v>3</v>
      </c>
      <c r="D46" s="145" t="str">
        <f t="shared" si="23"/>
        <v>Caseta (shelter) CSs</v>
      </c>
      <c r="E46" s="151" t="s">
        <v>910</v>
      </c>
      <c r="H46" s="231">
        <v>0</v>
      </c>
      <c r="I46" s="230">
        <f>IF(predio.activo="Sí",IF(OR(comparticion.caseta.CS1="Caseta compartida CS",comparticion.caseta.CS1="Caseta independiente"),1,0)*Control!I72,0)</f>
        <v>0</v>
      </c>
      <c r="J46" s="230">
        <f>IF(predio.activo="Sí",IF(OR(comparticion.caseta.CS2="Caseta compartida CS",comparticion.caseta.CS2="Caseta independiente"),1,0)*Control!I73*cs2.activo,0)</f>
        <v>0</v>
      </c>
      <c r="K46" s="230">
        <f>IF(predio.activo="Sí",IF(OR(comparticion.caseta.CS3="Caseta compartida CS",comparticion.caseta.CS3="Caseta independiente"),1,0)*Control!I74*cs3.activo,0)</f>
        <v>0</v>
      </c>
      <c r="N46" s="151" t="s">
        <v>573</v>
      </c>
    </row>
    <row r="47" spans="1:22" x14ac:dyDescent="0.2">
      <c r="B47" s="151"/>
      <c r="C47" s="155">
        <v>4</v>
      </c>
      <c r="D47" s="145" t="str">
        <f t="shared" si="23"/>
        <v>Plancha de concreto - Equipos outdoor (BTS/BBS)</v>
      </c>
      <c r="E47" s="151" t="s">
        <v>910</v>
      </c>
      <c r="H47" s="230">
        <f>IF(predio.activo="Sí",IF(caseta.AEP.activo="No",1,0),0)</f>
        <v>1</v>
      </c>
      <c r="I47" s="230">
        <f>IF(predio.activo="Sí",IF(indoor.outdoor.CS1.activo="Outdoor",1,0),0)</f>
        <v>1</v>
      </c>
      <c r="J47" s="230">
        <f>IF(predio.activo="Sí",IF(indoor.outdoor.CS2.activo="Outdoor",1,0)*cs2.activo,0)</f>
        <v>0</v>
      </c>
      <c r="K47" s="230">
        <f>IF(predio.activo="Sí",IF(indoor.outdoor.CS3.activo="Outdoor",1,0)*cs3.activo,0)</f>
        <v>0</v>
      </c>
      <c r="N47" s="126" t="s">
        <v>574</v>
      </c>
    </row>
    <row r="48" spans="1:22" x14ac:dyDescent="0.2">
      <c r="B48" s="151"/>
      <c r="C48" s="155">
        <v>5</v>
      </c>
      <c r="D48" s="145" t="str">
        <f t="shared" si="23"/>
        <v>Nicho de acometida - Panel de energia principal</v>
      </c>
      <c r="E48" s="151" t="s">
        <v>910</v>
      </c>
      <c r="H48" s="230">
        <f>IF(predio.activo="Sí",1,0)</f>
        <v>1</v>
      </c>
      <c r="I48" s="229">
        <f>IF(predio.activo="Sí",cs1.activo,0)</f>
        <v>1</v>
      </c>
      <c r="J48" s="229">
        <f>IF(predio.activo="Sí",cs2.activo,0)</f>
        <v>0</v>
      </c>
      <c r="K48" s="229">
        <f>IF(predio.activo="Sí",cs3.activo,0)</f>
        <v>0</v>
      </c>
      <c r="N48" s="126" t="s">
        <v>581</v>
      </c>
    </row>
    <row r="49" spans="1:22" s="151" customFormat="1" x14ac:dyDescent="0.2">
      <c r="C49" s="207">
        <v>6</v>
      </c>
      <c r="D49" s="145" t="str">
        <f t="shared" si="23"/>
        <v>Nicho de acometida - Panel de distribuición de energia</v>
      </c>
      <c r="E49" s="151" t="s">
        <v>910</v>
      </c>
      <c r="H49" s="230">
        <f>IF(predio.activo="Sí",1,0)</f>
        <v>1</v>
      </c>
      <c r="I49" s="229">
        <f>IF(predio.activo="Sí",cs1.activo,0)</f>
        <v>1</v>
      </c>
      <c r="J49" s="229">
        <f>IF(predio.activo="Sí",cs2.activo,0)</f>
        <v>0</v>
      </c>
      <c r="K49" s="229">
        <f>IF(predio.activo="Sí",cs3.activo,0)</f>
        <v>0</v>
      </c>
      <c r="N49" s="151" t="s">
        <v>582</v>
      </c>
    </row>
    <row r="50" spans="1:22" s="151" customFormat="1" x14ac:dyDescent="0.2">
      <c r="C50" s="207">
        <v>7</v>
      </c>
      <c r="D50" s="145" t="str">
        <f t="shared" si="23"/>
        <v>Área no construida / libre</v>
      </c>
      <c r="E50" s="151" t="s">
        <v>910</v>
      </c>
      <c r="H50" s="230">
        <f>IF(predio.activo="Sí",1,0)</f>
        <v>1</v>
      </c>
      <c r="I50" s="229">
        <f>IF(predio.activo="Sí",cs1.activo,0)</f>
        <v>1</v>
      </c>
      <c r="J50" s="229">
        <f>IF(predio.activo="Sí",cs2.activo,0)</f>
        <v>0</v>
      </c>
      <c r="K50" s="229">
        <f>IF(predio.activo="Sí",cs3.activo,0)</f>
        <v>0</v>
      </c>
      <c r="N50" s="151" t="s">
        <v>680</v>
      </c>
    </row>
    <row r="51" spans="1:22" s="151" customFormat="1" x14ac:dyDescent="0.2">
      <c r="B51" s="155">
        <v>2</v>
      </c>
      <c r="C51" s="145" t="str">
        <f t="shared" ref="C51" si="24">INDEX(lista.activos,B51)</f>
        <v>Torre</v>
      </c>
      <c r="E51" s="151" t="s">
        <v>910</v>
      </c>
      <c r="H51" s="228">
        <v>1</v>
      </c>
      <c r="I51" s="229">
        <f>cs1.activo</f>
        <v>1</v>
      </c>
      <c r="J51" s="229">
        <f>cs2.activo</f>
        <v>0</v>
      </c>
      <c r="K51" s="229">
        <f>cs3.activo</f>
        <v>0</v>
      </c>
      <c r="N51" s="151" t="s">
        <v>678</v>
      </c>
    </row>
    <row r="52" spans="1:22" x14ac:dyDescent="0.2">
      <c r="B52" s="155">
        <v>3</v>
      </c>
      <c r="C52" s="145" t="str">
        <f t="shared" ref="C52" si="25">INDEX(lista.activos,B52)</f>
        <v>Caseta (shelter) AEP</v>
      </c>
      <c r="D52" s="151"/>
      <c r="E52" s="151" t="s">
        <v>910</v>
      </c>
      <c r="H52" s="230">
        <f>IF(caseta.AEP.activo="Sí",1,0)</f>
        <v>0</v>
      </c>
      <c r="I52" s="230">
        <f>IF(comparticion.caseta.CS1="Caseta del AEP",1,0)*Control!I72</f>
        <v>0</v>
      </c>
      <c r="J52" s="230">
        <f>IF(comparticion.caseta.CS2="Caseta del AEP",1,0)*Control!I73*cs2.activo</f>
        <v>0</v>
      </c>
      <c r="K52" s="230">
        <f>IF(comparticion.caseta.CS3="Caseta del AEP",1,0)*Control!I74*cs3.activo</f>
        <v>0</v>
      </c>
      <c r="N52" s="151" t="s">
        <v>572</v>
      </c>
    </row>
    <row r="53" spans="1:22" x14ac:dyDescent="0.2">
      <c r="B53" s="155">
        <v>4</v>
      </c>
      <c r="C53" s="145" t="str">
        <f t="shared" ref="C53:C57" si="26">INDEX(lista.activos,B53)</f>
        <v>Caseta (shelter) CSs</v>
      </c>
      <c r="D53" s="151"/>
      <c r="E53" s="151" t="s">
        <v>910</v>
      </c>
      <c r="H53" s="231">
        <v>0</v>
      </c>
      <c r="I53" s="230">
        <f>IF(OR(comparticion.caseta.CS1="Caseta compartida CS",comparticion.caseta.CS1="Caseta independiente"),1,0)*Control!I72</f>
        <v>0</v>
      </c>
      <c r="J53" s="230">
        <f>IF(OR(comparticion.caseta.CS2="Caseta compartida CS",comparticion.caseta.CS2="Caseta independiente"),1,0)*Control!I73*cs2.activo</f>
        <v>0</v>
      </c>
      <c r="K53" s="230">
        <f>IF(OR(comparticion.caseta.CS3="Caseta compartida CS",comparticion.caseta.CS3="Caseta independiente"),1,0)*Control!I74*cs3.activo</f>
        <v>0</v>
      </c>
      <c r="N53" s="151" t="s">
        <v>573</v>
      </c>
    </row>
    <row r="54" spans="1:22" x14ac:dyDescent="0.2">
      <c r="B54" s="155">
        <v>5</v>
      </c>
      <c r="C54" s="145" t="str">
        <f t="shared" si="26"/>
        <v>Plancha de concreto - Equipos outdoor (BTS/BBS)</v>
      </c>
      <c r="D54" s="151"/>
      <c r="E54" s="151" t="s">
        <v>910</v>
      </c>
      <c r="H54" s="230">
        <f>IF(predio.activo="Sí",IF(caseta.AEP.activo="No",1,0),0)</f>
        <v>1</v>
      </c>
      <c r="I54" s="230">
        <f>IF(predio.activo="Sí",IF(indoor.outdoor.CS1.activo="Outdoor",1,0),0)</f>
        <v>1</v>
      </c>
      <c r="J54" s="230">
        <f>IF(predio.activo="Sí",IF(indoor.outdoor.CS2.activo="Outdoor",1,0)*cs2.activo,0)</f>
        <v>0</v>
      </c>
      <c r="K54" s="230">
        <f>IF(predio.activo="Sí",IF(indoor.outdoor.CS3.activo="Outdoor",1,0)*cs3.activo,0)</f>
        <v>0</v>
      </c>
      <c r="N54" s="151" t="s">
        <v>574</v>
      </c>
    </row>
    <row r="55" spans="1:22" s="151" customFormat="1" x14ac:dyDescent="0.2">
      <c r="B55" s="155">
        <v>6</v>
      </c>
      <c r="C55" s="145" t="str">
        <f t="shared" si="26"/>
        <v>Nicho de acometida - Panel de energia principal</v>
      </c>
      <c r="E55" s="151" t="s">
        <v>910</v>
      </c>
      <c r="H55" s="228">
        <v>1</v>
      </c>
      <c r="I55" s="305">
        <v>0</v>
      </c>
      <c r="J55" s="305">
        <v>0</v>
      </c>
      <c r="K55" s="305">
        <v>0</v>
      </c>
      <c r="N55" s="151" t="s">
        <v>1007</v>
      </c>
    </row>
    <row r="56" spans="1:22" x14ac:dyDescent="0.2">
      <c r="A56" s="151"/>
      <c r="B56" s="155">
        <v>7</v>
      </c>
      <c r="C56" s="145" t="str">
        <f t="shared" si="26"/>
        <v>Nicho de acometida - Panel de distribuición de energia</v>
      </c>
      <c r="D56" s="151"/>
      <c r="E56" s="151" t="s">
        <v>910</v>
      </c>
      <c r="H56" s="228">
        <v>1</v>
      </c>
      <c r="I56" s="305">
        <v>0</v>
      </c>
      <c r="J56" s="305">
        <v>0</v>
      </c>
      <c r="K56" s="305">
        <v>0</v>
      </c>
      <c r="N56" s="151" t="s">
        <v>1007</v>
      </c>
    </row>
    <row r="57" spans="1:22" x14ac:dyDescent="0.2">
      <c r="A57" s="151"/>
      <c r="B57" s="155">
        <v>8</v>
      </c>
      <c r="C57" s="145" t="str">
        <f t="shared" si="26"/>
        <v>Fuente de energía de respaldo</v>
      </c>
      <c r="D57" s="151"/>
      <c r="E57" s="151" t="s">
        <v>910</v>
      </c>
      <c r="H57" s="228">
        <v>1</v>
      </c>
      <c r="I57" s="229">
        <f>IF(utilizar.capacidad.CS1="Sí",1,0)</f>
        <v>0</v>
      </c>
      <c r="J57" s="229">
        <f>IF(utilizar.capacidad.CS2="Sí",1,0)</f>
        <v>0</v>
      </c>
      <c r="K57" s="229">
        <f>IF(utilizar.capacidad.CS3="Sí",1,0)</f>
        <v>0</v>
      </c>
      <c r="N57" s="126" t="s">
        <v>574</v>
      </c>
    </row>
    <row r="58" spans="1:22" x14ac:dyDescent="0.2">
      <c r="B58" s="155">
        <v>9</v>
      </c>
      <c r="C58" s="145" t="str">
        <f t="shared" ref="C58" si="27">INDEX(lista.activos,B58)</f>
        <v>Aire acondicionado</v>
      </c>
      <c r="D58" s="151"/>
      <c r="E58" s="151" t="s">
        <v>910</v>
      </c>
      <c r="H58" s="229">
        <f>aire.acondicionado.activo</f>
        <v>0</v>
      </c>
      <c r="I58" s="230">
        <f>IF(AND(indoor.outdoor.CS1.activo="Indoor",comparticion.caseta.CS1="Caseta del AEP",Control!E112=1),1,0)</f>
        <v>0</v>
      </c>
      <c r="J58" s="230">
        <f>IF(AND(indoor.outdoor.CS1.activo="Indoor",comparticion.caseta.CS1="Caseta del AEP",Control!E112=1),1,0)</f>
        <v>0</v>
      </c>
      <c r="K58" s="230">
        <f>IF(AND(indoor.outdoor.CS1.activo="Indoor",comparticion.caseta.CS1="Caseta del AEP",Control!E112=1),1,0)</f>
        <v>0</v>
      </c>
      <c r="N58" s="126" t="s">
        <v>679</v>
      </c>
    </row>
    <row r="59" spans="1:22" s="151" customFormat="1" x14ac:dyDescent="0.2"/>
    <row r="60" spans="1:22" s="151" customFormat="1" x14ac:dyDescent="0.2">
      <c r="B60" s="160" t="s">
        <v>894</v>
      </c>
      <c r="C60" s="160"/>
      <c r="D60" s="160"/>
      <c r="E60" s="160"/>
      <c r="F60" s="160"/>
      <c r="G60" s="160"/>
      <c r="H60" s="160"/>
      <c r="I60" s="160"/>
      <c r="J60" s="160"/>
      <c r="K60" s="160"/>
      <c r="L60" s="160"/>
      <c r="M60" s="160"/>
      <c r="N60" s="160"/>
      <c r="O60" s="160"/>
      <c r="P60" s="160"/>
      <c r="Q60" s="160"/>
      <c r="R60" s="160"/>
      <c r="S60" s="160"/>
      <c r="T60" s="160"/>
      <c r="U60" s="160"/>
      <c r="V60" s="160"/>
    </row>
    <row r="61" spans="1:22" s="151" customFormat="1" x14ac:dyDescent="0.2"/>
    <row r="62" spans="1:22" s="151" customFormat="1" x14ac:dyDescent="0.2">
      <c r="C62" s="105" t="s">
        <v>133</v>
      </c>
      <c r="D62" s="154" t="s">
        <v>880</v>
      </c>
      <c r="E62" s="154" t="s">
        <v>913</v>
      </c>
      <c r="G62" s="256" t="s">
        <v>914</v>
      </c>
      <c r="H62" s="257"/>
      <c r="I62" s="257"/>
      <c r="J62" s="257"/>
      <c r="K62" s="257"/>
    </row>
    <row r="63" spans="1:22" s="151" customFormat="1" x14ac:dyDescent="0.2">
      <c r="B63" s="155">
        <v>1</v>
      </c>
      <c r="C63" s="145" t="str">
        <f t="shared" ref="C63" si="28">INDEX(lista.activos,B63)</f>
        <v>Predio</v>
      </c>
      <c r="G63" s="154" t="s">
        <v>97</v>
      </c>
      <c r="H63" s="154" t="s">
        <v>318</v>
      </c>
      <c r="I63" s="154" t="s">
        <v>412</v>
      </c>
      <c r="J63" s="154" t="s">
        <v>414</v>
      </c>
      <c r="K63" s="154" t="s">
        <v>415</v>
      </c>
    </row>
    <row r="64" spans="1:22" s="151" customFormat="1" x14ac:dyDescent="0.2">
      <c r="C64" s="155">
        <v>1</v>
      </c>
      <c r="D64" s="145" t="str">
        <f t="shared" ref="D64:D70" si="29">INDEX(componentes.predio,C64)</f>
        <v>Torre</v>
      </c>
      <c r="E64" s="151" t="s">
        <v>881</v>
      </c>
      <c r="G64" s="236">
        <f>SUM(H64:K64)</f>
        <v>6</v>
      </c>
      <c r="H64" s="237">
        <f>espacio.vertical.AEP</f>
        <v>3</v>
      </c>
      <c r="I64" s="237">
        <f>espacio.vertical.CS1</f>
        <v>3</v>
      </c>
      <c r="J64" s="237">
        <f>espacio.vertical.CS2</f>
        <v>0</v>
      </c>
      <c r="K64" s="237">
        <f>espacio.vertical.CS3</f>
        <v>0</v>
      </c>
      <c r="L64" s="155" t="b">
        <f t="shared" ref="L64:L78" si="30">SUM(H64:K64)=G64</f>
        <v>1</v>
      </c>
    </row>
    <row r="65" spans="2:14" s="151" customFormat="1" x14ac:dyDescent="0.2">
      <c r="C65" s="155">
        <v>2</v>
      </c>
      <c r="D65" s="145" t="str">
        <f t="shared" si="29"/>
        <v>Caseta (shelter) AEP</v>
      </c>
      <c r="E65" s="151" t="s">
        <v>882</v>
      </c>
      <c r="G65" s="236">
        <f>SUM(H65:K65)</f>
        <v>0</v>
      </c>
      <c r="H65" s="237">
        <f>unidades.BTS.indoor.AEP.caseta.AEP+unidades.BBS.indoor.AEP.caseta.AEP</f>
        <v>0</v>
      </c>
      <c r="I65" s="237">
        <f>unidades.BTS.indoor.CS1.caseta.AEP+unidades.BBS.indoor.CS1.caseta.AEP</f>
        <v>0</v>
      </c>
      <c r="J65" s="237">
        <f>unidades.BTS.indoor.CS2.caseta.AEP+unidades.BBS.indoor.CS2.caseta.AEP</f>
        <v>0</v>
      </c>
      <c r="K65" s="237">
        <f>unidades.BTS.indoor.CS3.caseta.AEP+unidades.BBS.indoor.CS3.caseta.AEP</f>
        <v>0</v>
      </c>
      <c r="L65" s="155" t="b">
        <f t="shared" si="30"/>
        <v>1</v>
      </c>
    </row>
    <row r="66" spans="2:14" s="151" customFormat="1" x14ac:dyDescent="0.2">
      <c r="C66" s="155">
        <v>3</v>
      </c>
      <c r="D66" s="145" t="str">
        <f t="shared" si="29"/>
        <v>Caseta (shelter) CSs</v>
      </c>
      <c r="E66" s="151" t="s">
        <v>887</v>
      </c>
      <c r="G66" s="236">
        <f>SUM(H66:K66)</f>
        <v>0</v>
      </c>
      <c r="H66" s="238">
        <v>0</v>
      </c>
      <c r="I66" s="237">
        <f>'Cálculos secundarios'!I97/area.exterior.caseta</f>
        <v>0</v>
      </c>
      <c r="J66" s="237">
        <f>'Cálculos secundarios'!J97/area.exterior.caseta</f>
        <v>0</v>
      </c>
      <c r="K66" s="237">
        <f>'Cálculos secundarios'!K97/area.exterior.caseta</f>
        <v>0</v>
      </c>
      <c r="L66" s="155" t="b">
        <f t="shared" si="30"/>
        <v>1</v>
      </c>
      <c r="N66" s="151" t="s">
        <v>888</v>
      </c>
    </row>
    <row r="67" spans="2:14" s="151" customFormat="1" x14ac:dyDescent="0.2">
      <c r="C67" s="155">
        <v>4</v>
      </c>
      <c r="D67" s="145" t="str">
        <f t="shared" si="29"/>
        <v>Plancha de concreto - Equipos outdoor (BTS/BBS)</v>
      </c>
      <c r="E67" s="151" t="s">
        <v>883</v>
      </c>
      <c r="G67" s="236">
        <f>SUM(H67:K67)</f>
        <v>6</v>
      </c>
      <c r="H67" s="239">
        <f>unidades.BTS.outdoor.AEP+unidades.BBS.outdoor.AEP</f>
        <v>3</v>
      </c>
      <c r="I67" s="239">
        <f>unidades.BTS.outdoor.CS1+unidades.BBS.outdoor.CS1</f>
        <v>3</v>
      </c>
      <c r="J67" s="239">
        <f>unidades.BTS.outdoor.CS2+unidades.BBS.outdoor.CS2</f>
        <v>0</v>
      </c>
      <c r="K67" s="239">
        <f>unidades.BTS.outdoor.CS3+unidades.BBS.outdoor.CS3</f>
        <v>0</v>
      </c>
      <c r="L67" s="155" t="b">
        <f t="shared" si="30"/>
        <v>1</v>
      </c>
      <c r="N67" s="154"/>
    </row>
    <row r="68" spans="2:14" s="151" customFormat="1" ht="24" x14ac:dyDescent="0.2">
      <c r="C68" s="155">
        <v>5</v>
      </c>
      <c r="D68" s="145" t="str">
        <f t="shared" si="29"/>
        <v>Nicho de acometida - Panel de energia principal</v>
      </c>
      <c r="E68" s="177" t="s">
        <v>885</v>
      </c>
      <c r="G68" s="239">
        <f>unidades.outdoor.nicho.acometida.principal</f>
        <v>1</v>
      </c>
      <c r="H68" s="236">
        <f>1/SUM(cs1.activo,cs2.activo,cs3.activo,1)*$G$68</f>
        <v>0.5</v>
      </c>
      <c r="I68" s="236">
        <f>cs1.activo/SUM(cs1.activo,cs2.activo,cs3.activo,1)*$G$68</f>
        <v>0.5</v>
      </c>
      <c r="J68" s="236">
        <f>cs2.activo/SUM(cs1.activo,cs2.activo,cs3.activo,1)*$G$68</f>
        <v>0</v>
      </c>
      <c r="K68" s="236">
        <f>cs3.activo/SUM(cs1.activo,cs2.activo,cs3.activo,1)*$G$68</f>
        <v>0</v>
      </c>
      <c r="L68" s="155" t="b">
        <f t="shared" si="30"/>
        <v>1</v>
      </c>
    </row>
    <row r="69" spans="2:14" s="151" customFormat="1" x14ac:dyDescent="0.2">
      <c r="C69" s="207">
        <v>6</v>
      </c>
      <c r="D69" s="145" t="str">
        <f t="shared" si="29"/>
        <v>Nicho de acometida - Panel de distribuición de energia</v>
      </c>
      <c r="E69" s="151" t="s">
        <v>884</v>
      </c>
      <c r="G69" s="236">
        <f>SUM(H69:K69)</f>
        <v>2</v>
      </c>
      <c r="H69" s="239">
        <f>unidades.outdoor.nicho.acometida.secundaria.AEP</f>
        <v>1</v>
      </c>
      <c r="I69" s="239">
        <f>unidades.outdoor.nicho.acometida.secundaria.CS1</f>
        <v>1</v>
      </c>
      <c r="J69" s="239">
        <f>unidades.outdoor.nicho.acometida.secundaria.CS2</f>
        <v>0</v>
      </c>
      <c r="K69" s="239">
        <f>unidades.outdoor.nicho.acometida.secundaria.CS3</f>
        <v>0</v>
      </c>
      <c r="L69" s="155" t="b">
        <f t="shared" si="30"/>
        <v>1</v>
      </c>
    </row>
    <row r="70" spans="2:14" s="151" customFormat="1" x14ac:dyDescent="0.2">
      <c r="C70" s="207">
        <v>7</v>
      </c>
      <c r="D70" s="145" t="str">
        <f t="shared" si="29"/>
        <v>Área no construida / libre</v>
      </c>
      <c r="E70" s="177"/>
      <c r="G70" s="240"/>
      <c r="H70" s="240"/>
      <c r="I70" s="240"/>
      <c r="J70" s="240"/>
      <c r="K70" s="240"/>
      <c r="L70" s="155"/>
      <c r="N70" s="151" t="s">
        <v>898</v>
      </c>
    </row>
    <row r="71" spans="2:14" s="151" customFormat="1" x14ac:dyDescent="0.2">
      <c r="B71" s="155">
        <v>2</v>
      </c>
      <c r="C71" s="145" t="str">
        <f t="shared" ref="C71:C78" si="31">INDEX(lista.activos,B71)</f>
        <v>Torre</v>
      </c>
      <c r="E71" s="151" t="s">
        <v>881</v>
      </c>
      <c r="G71" s="236">
        <f>SUM(H71:K71)</f>
        <v>6</v>
      </c>
      <c r="H71" s="237">
        <f>espacio.vertical.AEP</f>
        <v>3</v>
      </c>
      <c r="I71" s="237">
        <f>espacio.vertical.CS1</f>
        <v>3</v>
      </c>
      <c r="J71" s="237">
        <f>espacio.vertical.CS2</f>
        <v>0</v>
      </c>
      <c r="K71" s="237">
        <f>espacio.vertical.CS3</f>
        <v>0</v>
      </c>
      <c r="L71" s="155" t="b">
        <f t="shared" si="30"/>
        <v>1</v>
      </c>
    </row>
    <row r="72" spans="2:14" s="151" customFormat="1" x14ac:dyDescent="0.2">
      <c r="B72" s="155">
        <v>3</v>
      </c>
      <c r="C72" s="145" t="str">
        <f t="shared" si="31"/>
        <v>Caseta (shelter) AEP</v>
      </c>
      <c r="E72" s="151" t="s">
        <v>887</v>
      </c>
      <c r="G72" s="236">
        <f>SUM(H72:K72)</f>
        <v>0</v>
      </c>
      <c r="H72" s="239">
        <f>'Cálculos secundarios'!H124</f>
        <v>0</v>
      </c>
      <c r="I72" s="239">
        <f>'Cálculos secundarios'!I124</f>
        <v>0</v>
      </c>
      <c r="J72" s="239">
        <f>'Cálculos secundarios'!J124</f>
        <v>0</v>
      </c>
      <c r="K72" s="239">
        <f>'Cálculos secundarios'!K124</f>
        <v>0</v>
      </c>
      <c r="L72" s="155" t="b">
        <f t="shared" si="30"/>
        <v>1</v>
      </c>
    </row>
    <row r="73" spans="2:14" s="151" customFormat="1" x14ac:dyDescent="0.2">
      <c r="B73" s="155">
        <v>4</v>
      </c>
      <c r="C73" s="145" t="str">
        <f t="shared" si="31"/>
        <v>Caseta (shelter) CSs</v>
      </c>
      <c r="E73" s="151" t="s">
        <v>887</v>
      </c>
      <c r="G73" s="236">
        <f>SUM(H73:K73)</f>
        <v>0</v>
      </c>
      <c r="H73" s="238">
        <v>0</v>
      </c>
      <c r="I73" s="237">
        <f>'Cálculos secundarios'!I97/area.exterior.caseta</f>
        <v>0</v>
      </c>
      <c r="J73" s="237">
        <f>'Cálculos secundarios'!J97/area.exterior.caseta</f>
        <v>0</v>
      </c>
      <c r="K73" s="237">
        <f>'Cálculos secundarios'!K97/area.exterior.caseta</f>
        <v>0</v>
      </c>
      <c r="L73" s="155" t="b">
        <f t="shared" si="30"/>
        <v>1</v>
      </c>
      <c r="N73" s="151" t="s">
        <v>888</v>
      </c>
    </row>
    <row r="74" spans="2:14" s="151" customFormat="1" x14ac:dyDescent="0.2">
      <c r="B74" s="155">
        <v>5</v>
      </c>
      <c r="C74" s="145" t="str">
        <f t="shared" si="31"/>
        <v>Plancha de concreto - Equipos outdoor (BTS/BBS)</v>
      </c>
      <c r="E74" s="151" t="s">
        <v>883</v>
      </c>
      <c r="G74" s="236">
        <f>SUM(H74:K74)</f>
        <v>6</v>
      </c>
      <c r="H74" s="239">
        <f>unidades.BTS.outdoor.AEP+unidades.BBS.outdoor.AEP</f>
        <v>3</v>
      </c>
      <c r="I74" s="239">
        <f>unidades.BTS.outdoor.CS1+unidades.BBS.outdoor.CS1</f>
        <v>3</v>
      </c>
      <c r="J74" s="239">
        <f>unidades.BTS.outdoor.CS2+unidades.BBS.outdoor.CS2</f>
        <v>0</v>
      </c>
      <c r="K74" s="239">
        <f>unidades.BTS.outdoor.CS3+unidades.BBS.outdoor.CS3</f>
        <v>0</v>
      </c>
      <c r="L74" s="155" t="b">
        <f t="shared" si="30"/>
        <v>1</v>
      </c>
    </row>
    <row r="75" spans="2:14" s="151" customFormat="1" x14ac:dyDescent="0.2">
      <c r="B75" s="155">
        <v>6</v>
      </c>
      <c r="C75" s="145" t="str">
        <f t="shared" si="31"/>
        <v>Nicho de acometida - Panel de energia principal</v>
      </c>
      <c r="E75" s="177" t="s">
        <v>889</v>
      </c>
      <c r="G75" s="228">
        <v>1</v>
      </c>
      <c r="H75" s="228">
        <v>1</v>
      </c>
      <c r="I75" s="305">
        <v>0</v>
      </c>
      <c r="J75" s="305">
        <v>0</v>
      </c>
      <c r="K75" s="305">
        <v>0</v>
      </c>
      <c r="L75" s="155" t="b">
        <f t="shared" si="30"/>
        <v>1</v>
      </c>
      <c r="N75" s="151" t="s">
        <v>1007</v>
      </c>
    </row>
    <row r="76" spans="2:14" s="151" customFormat="1" x14ac:dyDescent="0.2">
      <c r="B76" s="155">
        <v>7</v>
      </c>
      <c r="C76" s="145" t="str">
        <f t="shared" si="31"/>
        <v>Nicho de acometida - Panel de distribuición de energia</v>
      </c>
      <c r="E76" s="151" t="s">
        <v>890</v>
      </c>
      <c r="G76" s="228">
        <v>1</v>
      </c>
      <c r="H76" s="228">
        <v>1</v>
      </c>
      <c r="I76" s="305">
        <v>0</v>
      </c>
      <c r="J76" s="305">
        <v>0</v>
      </c>
      <c r="K76" s="305">
        <v>0</v>
      </c>
      <c r="L76" s="155" t="b">
        <f t="shared" si="30"/>
        <v>1</v>
      </c>
      <c r="N76" s="151" t="s">
        <v>1007</v>
      </c>
    </row>
    <row r="77" spans="2:14" s="151" customFormat="1" x14ac:dyDescent="0.2">
      <c r="B77" s="155">
        <v>8</v>
      </c>
      <c r="C77" s="145" t="str">
        <f t="shared" si="31"/>
        <v>Fuente de energía de respaldo</v>
      </c>
      <c r="E77" s="151" t="s">
        <v>892</v>
      </c>
      <c r="G77" s="239">
        <f>unidades.total.BBS.AEP</f>
        <v>0</v>
      </c>
      <c r="H77" s="239">
        <f>'Cálculos secundarios'!H104</f>
        <v>0</v>
      </c>
      <c r="I77" s="239">
        <f>'Cálculos secundarios'!I104</f>
        <v>0</v>
      </c>
      <c r="J77" s="239">
        <f>'Cálculos secundarios'!J104</f>
        <v>0</v>
      </c>
      <c r="K77" s="239">
        <f>'Cálculos secundarios'!K104</f>
        <v>0</v>
      </c>
      <c r="L77" s="155" t="b">
        <f t="shared" si="30"/>
        <v>1</v>
      </c>
      <c r="N77" s="151" t="s">
        <v>891</v>
      </c>
    </row>
    <row r="78" spans="2:14" s="151" customFormat="1" ht="24" x14ac:dyDescent="0.2">
      <c r="B78" s="155">
        <v>9</v>
      </c>
      <c r="C78" s="145" t="str">
        <f t="shared" si="31"/>
        <v>Aire acondicionado</v>
      </c>
      <c r="E78" s="177" t="s">
        <v>893</v>
      </c>
      <c r="G78" s="239">
        <f>aire.acondicionado.activo</f>
        <v>0</v>
      </c>
      <c r="H78" s="241">
        <f>IF($G$78=0,0,IF(AND(aire.acondicionado.activo="1",comparticion.aire.acondicionado.activo="No"),1,'Cálculos secundarios'!H118/'Cálculos secundarios'!$G$118*$G$78)*aire.acondicionado.activo)</f>
        <v>0</v>
      </c>
      <c r="I78" s="241">
        <f>IF($G$78=0,0,IF(AND(aire.acondicionado.activo="1",comparticion.aire.acondicionado.activo="No"),0,'Cálculos secundarios'!I118/'Cálculos secundarios'!$G$118*$G$78)*aire.acondicionado.activo)</f>
        <v>0</v>
      </c>
      <c r="J78" s="241">
        <f>IF($G$78=0,0,IF(AND(aire.acondicionado.activo="1",comparticion.aire.acondicionado.activo="No"),0,'Cálculos secundarios'!J118/'Cálculos secundarios'!$G$118*$G$78)*aire.acondicionado.activo)</f>
        <v>0</v>
      </c>
      <c r="K78" s="241">
        <f>IF($G$78=0,0,IF(AND(aire.acondicionado.activo="1",comparticion.aire.acondicionado.activo="No"),0,'Cálculos secundarios'!K118/'Cálculos secundarios'!$G$118*$G$78)*aire.acondicionado.activo)</f>
        <v>0</v>
      </c>
      <c r="L78" s="155" t="b">
        <f t="shared" si="30"/>
        <v>1</v>
      </c>
    </row>
    <row r="79" spans="2:14" s="151" customFormat="1" x14ac:dyDescent="0.2"/>
    <row r="80" spans="2:14" s="151" customFormat="1" x14ac:dyDescent="0.2"/>
    <row r="81" spans="2:22" s="151" customFormat="1" x14ac:dyDescent="0.2">
      <c r="B81" s="160" t="s">
        <v>886</v>
      </c>
      <c r="C81" s="160"/>
      <c r="D81" s="160"/>
      <c r="E81" s="160"/>
      <c r="F81" s="160"/>
      <c r="G81" s="160"/>
      <c r="H81" s="160"/>
      <c r="I81" s="160"/>
      <c r="J81" s="160"/>
      <c r="K81" s="160"/>
      <c r="L81" s="160"/>
      <c r="M81" s="160"/>
      <c r="N81" s="160"/>
      <c r="O81" s="160"/>
      <c r="P81" s="160"/>
      <c r="Q81" s="160"/>
      <c r="R81" s="160"/>
      <c r="S81" s="160"/>
      <c r="T81" s="160"/>
      <c r="U81" s="160"/>
      <c r="V81" s="160"/>
    </row>
    <row r="82" spans="2:22" s="151" customFormat="1" x14ac:dyDescent="0.2"/>
    <row r="83" spans="2:22" s="151" customFormat="1" x14ac:dyDescent="0.2">
      <c r="C83" s="105" t="s">
        <v>133</v>
      </c>
      <c r="E83" s="154" t="s">
        <v>134</v>
      </c>
      <c r="G83" s="154" t="s">
        <v>589</v>
      </c>
      <c r="H83" s="154" t="s">
        <v>318</v>
      </c>
      <c r="I83" s="154" t="s">
        <v>412</v>
      </c>
      <c r="J83" s="154" t="s">
        <v>414</v>
      </c>
      <c r="K83" s="154" t="s">
        <v>415</v>
      </c>
    </row>
    <row r="84" spans="2:22" s="151" customFormat="1" x14ac:dyDescent="0.2">
      <c r="B84" s="155">
        <v>1</v>
      </c>
      <c r="C84" s="145" t="str">
        <f t="shared" ref="C84" si="32">INDEX(lista.activos,B84)</f>
        <v>Predio</v>
      </c>
      <c r="G84" s="239">
        <f>area.total.predio</f>
        <v>67.26754768442305</v>
      </c>
      <c r="H84" s="236">
        <f>SUM(H85:H91)</f>
        <v>33.633773842211525</v>
      </c>
      <c r="I84" s="236">
        <f>SUM(I85:I91)</f>
        <v>33.633773842211525</v>
      </c>
      <c r="J84" s="236">
        <f>SUM(J85:J91)</f>
        <v>0</v>
      </c>
      <c r="K84" s="236">
        <f>SUM(K85:K91)</f>
        <v>0</v>
      </c>
      <c r="L84" s="155" t="b">
        <f>SUM(H84:K84)=G84</f>
        <v>1</v>
      </c>
      <c r="N84" s="151" t="s">
        <v>696</v>
      </c>
    </row>
    <row r="85" spans="2:22" s="151" customFormat="1" x14ac:dyDescent="0.2">
      <c r="C85" s="155">
        <v>1</v>
      </c>
      <c r="D85" s="145" t="str">
        <f t="shared" ref="D85:D91" si="33">INDEX(componentes.predio,C85)</f>
        <v>Torre</v>
      </c>
      <c r="E85" s="151" t="s">
        <v>227</v>
      </c>
      <c r="G85" s="239">
        <f>area.torre</f>
        <v>21.17810867376922</v>
      </c>
      <c r="H85" s="236">
        <f>H64/$G$64*$G$85</f>
        <v>10.58905433688461</v>
      </c>
      <c r="I85" s="236">
        <f t="shared" ref="I85:K85" si="34">I64/$G$64*$G$85</f>
        <v>10.58905433688461</v>
      </c>
      <c r="J85" s="236">
        <f t="shared" si="34"/>
        <v>0</v>
      </c>
      <c r="K85" s="236">
        <f t="shared" si="34"/>
        <v>0</v>
      </c>
      <c r="L85" s="155" t="b">
        <f t="shared" ref="L85:L95" si="35">SUM(H85:K85)=G85</f>
        <v>1</v>
      </c>
      <c r="N85" s="151" t="s">
        <v>695</v>
      </c>
    </row>
    <row r="86" spans="2:22" s="151" customFormat="1" x14ac:dyDescent="0.2">
      <c r="C86" s="155">
        <v>2</v>
      </c>
      <c r="D86" s="145" t="str">
        <f t="shared" si="33"/>
        <v>Caseta (shelter) AEP</v>
      </c>
      <c r="E86" s="151" t="s">
        <v>227</v>
      </c>
      <c r="G86" s="239">
        <f>area.outdoor.caseta.AEP</f>
        <v>0</v>
      </c>
      <c r="H86" s="236">
        <f>IF($G$65=0,0,H65/$G$65*$G$86)</f>
        <v>0</v>
      </c>
      <c r="I86" s="236">
        <f t="shared" ref="I86:K86" si="36">IF($G$65=0,0,I65/$G$65*$G$86)</f>
        <v>0</v>
      </c>
      <c r="J86" s="236">
        <f t="shared" si="36"/>
        <v>0</v>
      </c>
      <c r="K86" s="236">
        <f t="shared" si="36"/>
        <v>0</v>
      </c>
      <c r="L86" s="155" t="b">
        <f t="shared" si="35"/>
        <v>1</v>
      </c>
      <c r="N86" s="154"/>
    </row>
    <row r="87" spans="2:22" s="151" customFormat="1" x14ac:dyDescent="0.2">
      <c r="C87" s="155">
        <v>3</v>
      </c>
      <c r="D87" s="145" t="str">
        <f t="shared" si="33"/>
        <v>Caseta (shelter) CSs</v>
      </c>
      <c r="E87" s="151" t="s">
        <v>227</v>
      </c>
      <c r="G87" s="239">
        <f>area.outdoor.casetas.CS</f>
        <v>0</v>
      </c>
      <c r="H87" s="238">
        <v>0</v>
      </c>
      <c r="I87" s="236">
        <f>IF($G$66=0,0,I66/$G$66*$G$87)</f>
        <v>0</v>
      </c>
      <c r="J87" s="236">
        <f t="shared" ref="J87:K87" si="37">IF($G$66=0,0,J66/$G$66*$G$87)</f>
        <v>0</v>
      </c>
      <c r="K87" s="236">
        <f t="shared" si="37"/>
        <v>0</v>
      </c>
      <c r="L87" s="155" t="b">
        <f t="shared" si="35"/>
        <v>1</v>
      </c>
      <c r="N87" s="154"/>
    </row>
    <row r="88" spans="2:22" s="151" customFormat="1" x14ac:dyDescent="0.2">
      <c r="C88" s="155">
        <v>4</v>
      </c>
      <c r="D88" s="145" t="str">
        <f t="shared" si="33"/>
        <v>Plancha de concreto - Equipos outdoor (BTS/BBS)</v>
      </c>
      <c r="E88" s="151" t="s">
        <v>227</v>
      </c>
      <c r="G88" s="239">
        <f>area.BTS.outdoor.AEP+area.BTSs.outdoor.CSs+area.BBS.outdoor.AEP+area.BBS.outdoor.CS1+area.BBS.outdoor.CS2+area.BBS.outdoor.CS3</f>
        <v>8.8431840000000008</v>
      </c>
      <c r="H88" s="236">
        <f>IF($G$67=0,0,H67/$G$67*$G$88)</f>
        <v>4.4215920000000004</v>
      </c>
      <c r="I88" s="236">
        <f t="shared" ref="I88:K88" si="38">IF($G$67=0,0,I67/$G$67*$G$88)</f>
        <v>4.4215920000000004</v>
      </c>
      <c r="J88" s="236">
        <f t="shared" si="38"/>
        <v>0</v>
      </c>
      <c r="K88" s="236">
        <f t="shared" si="38"/>
        <v>0</v>
      </c>
      <c r="L88" s="155" t="b">
        <f t="shared" si="35"/>
        <v>1</v>
      </c>
      <c r="N88" s="151" t="s">
        <v>700</v>
      </c>
    </row>
    <row r="89" spans="2:22" s="151" customFormat="1" x14ac:dyDescent="0.2">
      <c r="C89" s="155">
        <v>5</v>
      </c>
      <c r="D89" s="145" t="str">
        <f t="shared" si="33"/>
        <v>Nicho de acometida - Panel de energia principal</v>
      </c>
      <c r="E89" s="151" t="s">
        <v>227</v>
      </c>
      <c r="G89" s="239">
        <f>area.outdoor.nicho.acometida.principal</f>
        <v>0.48</v>
      </c>
      <c r="H89" s="236">
        <f>IF($G$68=0,0,H68/$G$68*$G$89)</f>
        <v>0.24</v>
      </c>
      <c r="I89" s="236">
        <f t="shared" ref="I89:K89" si="39">IF($G$68=0,0,I68/$G$68*$G$89)</f>
        <v>0.24</v>
      </c>
      <c r="J89" s="236">
        <f t="shared" si="39"/>
        <v>0</v>
      </c>
      <c r="K89" s="236">
        <f t="shared" si="39"/>
        <v>0</v>
      </c>
      <c r="L89" s="155" t="b">
        <f t="shared" si="35"/>
        <v>1</v>
      </c>
      <c r="N89" s="151" t="s">
        <v>701</v>
      </c>
    </row>
    <row r="90" spans="2:22" s="151" customFormat="1" x14ac:dyDescent="0.2">
      <c r="C90" s="207">
        <v>6</v>
      </c>
      <c r="D90" s="145" t="str">
        <f t="shared" si="33"/>
        <v>Nicho de acometida - Panel de distribuición de energia</v>
      </c>
      <c r="E90" s="151" t="s">
        <v>227</v>
      </c>
      <c r="G90" s="239">
        <f>area.outdoor.nicho.acometida.secundaria.AEP+area.outdoor.nicho.acometida.secundaria.CS1+area.outdoor.nicho.acometida.secundaria.CS2+area.outdoor.nicho.acometida.secundaria.CS3</f>
        <v>0.22500000000000001</v>
      </c>
      <c r="H90" s="236">
        <f>IF($G$69=0,0,H69/$G$69*$G$90)</f>
        <v>0.1125</v>
      </c>
      <c r="I90" s="236">
        <f t="shared" ref="I90:K90" si="40">IF($G$69=0,0,I69/$G$69*$G$90)</f>
        <v>0.1125</v>
      </c>
      <c r="J90" s="236">
        <f t="shared" si="40"/>
        <v>0</v>
      </c>
      <c r="K90" s="236">
        <f t="shared" si="40"/>
        <v>0</v>
      </c>
      <c r="L90" s="155" t="b">
        <f t="shared" si="35"/>
        <v>1</v>
      </c>
    </row>
    <row r="91" spans="2:22" s="151" customFormat="1" x14ac:dyDescent="0.2">
      <c r="C91" s="207">
        <v>7</v>
      </c>
      <c r="D91" s="145" t="str">
        <f t="shared" si="33"/>
        <v>Área no construida / libre</v>
      </c>
      <c r="E91" s="151" t="s">
        <v>227</v>
      </c>
      <c r="G91" s="239">
        <f>area.total.predio-area.ocupada.predio</f>
        <v>36.541255010653828</v>
      </c>
      <c r="H91" s="236">
        <f>SUM(H85:H90)/SUM($G$85:$G$90)*$G$91</f>
        <v>18.270627505326914</v>
      </c>
      <c r="I91" s="236">
        <f t="shared" ref="I91:K91" si="41">SUM(I85:I90)/SUM($G$85:$G$90)*$G$91</f>
        <v>18.270627505326914</v>
      </c>
      <c r="J91" s="236">
        <f t="shared" si="41"/>
        <v>0</v>
      </c>
      <c r="K91" s="236">
        <f t="shared" si="41"/>
        <v>0</v>
      </c>
      <c r="L91" s="155" t="b">
        <f>SUM(H91:K91)=G91</f>
        <v>1</v>
      </c>
      <c r="N91" s="154"/>
    </row>
    <row r="92" spans="2:22" s="151" customFormat="1" x14ac:dyDescent="0.2">
      <c r="B92" s="155">
        <v>2</v>
      </c>
      <c r="C92" s="145" t="str">
        <f t="shared" ref="C92:C94" si="42">INDEX(lista.activos,B92)</f>
        <v>Torre</v>
      </c>
      <c r="E92" s="151" t="s">
        <v>150</v>
      </c>
      <c r="G92" s="242">
        <v>1</v>
      </c>
      <c r="H92" s="236">
        <f>H71/$G$71*$G$92</f>
        <v>0.5</v>
      </c>
      <c r="I92" s="236">
        <f t="shared" ref="I92:K92" si="43">I71/$G$71*$G$92</f>
        <v>0.5</v>
      </c>
      <c r="J92" s="236">
        <f t="shared" si="43"/>
        <v>0</v>
      </c>
      <c r="K92" s="236">
        <f t="shared" si="43"/>
        <v>0</v>
      </c>
      <c r="L92" s="155" t="b">
        <f t="shared" si="35"/>
        <v>1</v>
      </c>
    </row>
    <row r="93" spans="2:22" s="151" customFormat="1" x14ac:dyDescent="0.2">
      <c r="B93" s="155">
        <v>3</v>
      </c>
      <c r="C93" s="145" t="str">
        <f t="shared" si="42"/>
        <v>Caseta (shelter) AEP</v>
      </c>
      <c r="E93" s="151" t="s">
        <v>150</v>
      </c>
      <c r="G93" s="239">
        <f>G72</f>
        <v>0</v>
      </c>
      <c r="H93" s="237">
        <f t="shared" ref="H93:K93" si="44">H72</f>
        <v>0</v>
      </c>
      <c r="I93" s="237">
        <f t="shared" si="44"/>
        <v>0</v>
      </c>
      <c r="J93" s="237">
        <f t="shared" si="44"/>
        <v>0</v>
      </c>
      <c r="K93" s="237">
        <f t="shared" si="44"/>
        <v>0</v>
      </c>
      <c r="L93" s="155" t="b">
        <f t="shared" si="35"/>
        <v>1</v>
      </c>
    </row>
    <row r="94" spans="2:22" s="151" customFormat="1" x14ac:dyDescent="0.2">
      <c r="B94" s="155">
        <v>4</v>
      </c>
      <c r="C94" s="145" t="str">
        <f t="shared" si="42"/>
        <v>Caseta (shelter) CSs</v>
      </c>
      <c r="E94" s="151" t="s">
        <v>150</v>
      </c>
      <c r="G94" s="239">
        <f t="shared" ref="G94:K94" si="45">G73</f>
        <v>0</v>
      </c>
      <c r="H94" s="239">
        <f t="shared" si="45"/>
        <v>0</v>
      </c>
      <c r="I94" s="239">
        <f t="shared" si="45"/>
        <v>0</v>
      </c>
      <c r="J94" s="239">
        <f t="shared" si="45"/>
        <v>0</v>
      </c>
      <c r="K94" s="239">
        <f t="shared" si="45"/>
        <v>0</v>
      </c>
      <c r="L94" s="155" t="b">
        <f t="shared" si="35"/>
        <v>1</v>
      </c>
    </row>
    <row r="95" spans="2:22" s="151" customFormat="1" x14ac:dyDescent="0.2">
      <c r="B95" s="155">
        <v>5</v>
      </c>
      <c r="C95" s="145" t="str">
        <f>INDEX(lista.activos,B95)</f>
        <v>Plancha de concreto - Equipos outdoor (BTS/BBS)</v>
      </c>
      <c r="E95" s="151" t="s">
        <v>150</v>
      </c>
      <c r="G95" s="239">
        <f t="shared" ref="G95:K95" si="46">G74</f>
        <v>6</v>
      </c>
      <c r="H95" s="239">
        <f t="shared" si="46"/>
        <v>3</v>
      </c>
      <c r="I95" s="239">
        <f t="shared" si="46"/>
        <v>3</v>
      </c>
      <c r="J95" s="239">
        <f t="shared" si="46"/>
        <v>0</v>
      </c>
      <c r="K95" s="239">
        <f t="shared" si="46"/>
        <v>0</v>
      </c>
      <c r="L95" s="155" t="b">
        <f t="shared" si="35"/>
        <v>1</v>
      </c>
    </row>
    <row r="96" spans="2:22" s="151" customFormat="1" x14ac:dyDescent="0.2">
      <c r="B96" s="155">
        <v>6</v>
      </c>
      <c r="C96" s="145" t="str">
        <f>INDEX(lista.activos,B96)</f>
        <v>Nicho de acometida - Panel de energia principal</v>
      </c>
      <c r="E96" s="151" t="s">
        <v>150</v>
      </c>
      <c r="G96" s="239">
        <f t="shared" ref="G96:K96" si="47">G75</f>
        <v>1</v>
      </c>
      <c r="H96" s="239">
        <f t="shared" si="47"/>
        <v>1</v>
      </c>
      <c r="I96" s="239">
        <f t="shared" si="47"/>
        <v>0</v>
      </c>
      <c r="J96" s="239">
        <f t="shared" si="47"/>
        <v>0</v>
      </c>
      <c r="K96" s="239">
        <f t="shared" si="47"/>
        <v>0</v>
      </c>
      <c r="L96" s="155" t="b">
        <f>SUM(H96:K96)=G96</f>
        <v>1</v>
      </c>
    </row>
    <row r="97" spans="2:22" s="151" customFormat="1" x14ac:dyDescent="0.2">
      <c r="B97" s="155">
        <v>7</v>
      </c>
      <c r="C97" s="145" t="str">
        <f>INDEX(lista.activos,B97)</f>
        <v>Nicho de acometida - Panel de distribuición de energia</v>
      </c>
      <c r="E97" s="151" t="s">
        <v>150</v>
      </c>
      <c r="G97" s="239">
        <f t="shared" ref="G97:K97" si="48">G76</f>
        <v>1</v>
      </c>
      <c r="H97" s="239">
        <f t="shared" si="48"/>
        <v>1</v>
      </c>
      <c r="I97" s="239">
        <f t="shared" si="48"/>
        <v>0</v>
      </c>
      <c r="J97" s="239">
        <f t="shared" si="48"/>
        <v>0</v>
      </c>
      <c r="K97" s="239">
        <f t="shared" si="48"/>
        <v>0</v>
      </c>
      <c r="L97" s="155" t="b">
        <f>SUM(H97:K97)=G97</f>
        <v>1</v>
      </c>
    </row>
    <row r="98" spans="2:22" s="151" customFormat="1" x14ac:dyDescent="0.2">
      <c r="B98" s="155">
        <v>8</v>
      </c>
      <c r="C98" s="145" t="str">
        <f>INDEX(lista.activos,B98)</f>
        <v>Fuente de energía de respaldo</v>
      </c>
      <c r="E98" s="151" t="s">
        <v>895</v>
      </c>
      <c r="G98" s="239">
        <f>capacidad.total.BBS.AEP</f>
        <v>0</v>
      </c>
      <c r="H98" s="236">
        <f>IF($G$77=0,0,H77/$G$77*$G$98)</f>
        <v>0</v>
      </c>
      <c r="I98" s="236">
        <f t="shared" ref="I98:K98" si="49">IF($G$77=0,0,I77/$G$77*$G$98)</f>
        <v>0</v>
      </c>
      <c r="J98" s="236">
        <f t="shared" si="49"/>
        <v>0</v>
      </c>
      <c r="K98" s="236">
        <f t="shared" si="49"/>
        <v>0</v>
      </c>
      <c r="L98" s="155" t="b">
        <f>SUM(H98:K98)=G98</f>
        <v>1</v>
      </c>
      <c r="N98" s="154"/>
    </row>
    <row r="99" spans="2:22" s="151" customFormat="1" x14ac:dyDescent="0.2">
      <c r="B99" s="155">
        <v>9</v>
      </c>
      <c r="C99" s="145" t="str">
        <f>INDEX(lista.activos,B99)</f>
        <v>Aire acondicionado</v>
      </c>
      <c r="E99" s="151" t="s">
        <v>286</v>
      </c>
      <c r="G99" s="239">
        <f>capacidad.aire.acondicionado.utilizada</f>
        <v>0</v>
      </c>
      <c r="H99" s="236">
        <f>IF($G$78=0,0,H78/$G$78*$G$99)</f>
        <v>0</v>
      </c>
      <c r="I99" s="236">
        <f t="shared" ref="I99:K99" si="50">IF($G$78=0,0,I78/$G$78*$G$99)</f>
        <v>0</v>
      </c>
      <c r="J99" s="236">
        <f t="shared" si="50"/>
        <v>0</v>
      </c>
      <c r="K99" s="236">
        <f t="shared" si="50"/>
        <v>0</v>
      </c>
      <c r="L99" s="155" t="b">
        <f>SUM(H99:K99)=G99</f>
        <v>1</v>
      </c>
    </row>
    <row r="100" spans="2:22" s="151" customFormat="1" x14ac:dyDescent="0.2"/>
    <row r="101" spans="2:22" s="151" customFormat="1" x14ac:dyDescent="0.2">
      <c r="B101" s="160" t="s">
        <v>590</v>
      </c>
      <c r="C101" s="160"/>
      <c r="D101" s="160"/>
      <c r="E101" s="160"/>
      <c r="F101" s="160"/>
      <c r="G101" s="160"/>
      <c r="H101" s="160"/>
      <c r="I101" s="160"/>
      <c r="J101" s="160"/>
      <c r="K101" s="160"/>
      <c r="L101" s="160"/>
      <c r="M101" s="160"/>
      <c r="N101" s="160"/>
      <c r="O101" s="160"/>
      <c r="P101" s="160"/>
      <c r="Q101" s="160"/>
      <c r="R101" s="160"/>
      <c r="S101" s="160"/>
      <c r="T101" s="160"/>
      <c r="U101" s="160"/>
      <c r="V101" s="160"/>
    </row>
    <row r="102" spans="2:22" s="151" customFormat="1" x14ac:dyDescent="0.2"/>
    <row r="103" spans="2:22" s="151" customFormat="1" x14ac:dyDescent="0.2">
      <c r="C103" s="105" t="s">
        <v>133</v>
      </c>
      <c r="E103" s="154" t="s">
        <v>134</v>
      </c>
      <c r="G103" s="154" t="s">
        <v>589</v>
      </c>
      <c r="H103" s="154" t="s">
        <v>318</v>
      </c>
      <c r="I103" s="154" t="s">
        <v>412</v>
      </c>
      <c r="J103" s="154" t="s">
        <v>414</v>
      </c>
      <c r="K103" s="154" t="s">
        <v>415</v>
      </c>
      <c r="N103" s="154"/>
    </row>
    <row r="104" spans="2:22" s="151" customFormat="1" x14ac:dyDescent="0.2">
      <c r="B104" s="155">
        <v>1</v>
      </c>
      <c r="C104" s="145" t="str">
        <f t="shared" ref="C104" si="51">INDEX(lista.activos,B104)</f>
        <v>Predio</v>
      </c>
      <c r="G104" s="239">
        <f>G84</f>
        <v>67.26754768442305</v>
      </c>
      <c r="H104" s="241">
        <f>IF($G104=0,0,H84/$G84)</f>
        <v>0.5</v>
      </c>
      <c r="I104" s="241">
        <f t="shared" ref="I104:K104" si="52">IF($G104=0,0,I84/$G84)</f>
        <v>0.5</v>
      </c>
      <c r="J104" s="241">
        <f t="shared" si="52"/>
        <v>0</v>
      </c>
      <c r="K104" s="241">
        <f t="shared" si="52"/>
        <v>0</v>
      </c>
      <c r="L104" s="155" t="b">
        <f>IF(G104=0,SUM(H104:K104)=0,SUM(H104:K104)=1)</f>
        <v>1</v>
      </c>
    </row>
    <row r="105" spans="2:22" s="151" customFormat="1" x14ac:dyDescent="0.2">
      <c r="C105" s="155">
        <v>1</v>
      </c>
      <c r="D105" s="145" t="str">
        <f t="shared" ref="D105:D111" si="53">INDEX(componentes.predio,C105)</f>
        <v>Torre</v>
      </c>
      <c r="E105" s="151" t="s">
        <v>227</v>
      </c>
      <c r="G105" s="240">
        <f t="shared" ref="G105:G119" si="54">G85</f>
        <v>21.17810867376922</v>
      </c>
      <c r="H105" s="243">
        <f t="shared" ref="H105:K105" si="55">IF($G105=0,0,H85/$G85)</f>
        <v>0.5</v>
      </c>
      <c r="I105" s="243">
        <f t="shared" si="55"/>
        <v>0.5</v>
      </c>
      <c r="J105" s="243">
        <f t="shared" si="55"/>
        <v>0</v>
      </c>
      <c r="K105" s="243">
        <f t="shared" si="55"/>
        <v>0</v>
      </c>
      <c r="L105" s="155" t="b">
        <f t="shared" ref="L105:L119" si="56">IF(G105=0,SUM(H105:K105)=0,SUM(H105:K105)=1)</f>
        <v>1</v>
      </c>
    </row>
    <row r="106" spans="2:22" s="151" customFormat="1" x14ac:dyDescent="0.2">
      <c r="C106" s="155">
        <v>2</v>
      </c>
      <c r="D106" s="145" t="str">
        <f t="shared" si="53"/>
        <v>Caseta (shelter) AEP</v>
      </c>
      <c r="E106" s="151" t="s">
        <v>227</v>
      </c>
      <c r="G106" s="240">
        <f t="shared" si="54"/>
        <v>0</v>
      </c>
      <c r="H106" s="243">
        <f t="shared" ref="H106:K106" si="57">IF($G106=0,0,H86/$G86)</f>
        <v>0</v>
      </c>
      <c r="I106" s="243">
        <f t="shared" si="57"/>
        <v>0</v>
      </c>
      <c r="J106" s="243">
        <f t="shared" si="57"/>
        <v>0</v>
      </c>
      <c r="K106" s="243">
        <f t="shared" si="57"/>
        <v>0</v>
      </c>
      <c r="L106" s="155" t="b">
        <f t="shared" si="56"/>
        <v>1</v>
      </c>
    </row>
    <row r="107" spans="2:22" s="151" customFormat="1" x14ac:dyDescent="0.2">
      <c r="C107" s="155">
        <v>3</v>
      </c>
      <c r="D107" s="145" t="str">
        <f t="shared" si="53"/>
        <v>Caseta (shelter) CSs</v>
      </c>
      <c r="E107" s="151" t="s">
        <v>227</v>
      </c>
      <c r="G107" s="240">
        <f t="shared" si="54"/>
        <v>0</v>
      </c>
      <c r="H107" s="243">
        <f t="shared" ref="H107:K107" si="58">IF($G107=0,0,H87/$G87)</f>
        <v>0</v>
      </c>
      <c r="I107" s="243">
        <f t="shared" si="58"/>
        <v>0</v>
      </c>
      <c r="J107" s="243">
        <f t="shared" si="58"/>
        <v>0</v>
      </c>
      <c r="K107" s="243">
        <f t="shared" si="58"/>
        <v>0</v>
      </c>
      <c r="L107" s="155" t="b">
        <f t="shared" si="56"/>
        <v>1</v>
      </c>
    </row>
    <row r="108" spans="2:22" s="151" customFormat="1" x14ac:dyDescent="0.2">
      <c r="C108" s="155">
        <v>4</v>
      </c>
      <c r="D108" s="145" t="str">
        <f t="shared" si="53"/>
        <v>Plancha de concreto - Equipos outdoor (BTS/BBS)</v>
      </c>
      <c r="E108" s="151" t="s">
        <v>227</v>
      </c>
      <c r="G108" s="240">
        <f t="shared" si="54"/>
        <v>8.8431840000000008</v>
      </c>
      <c r="H108" s="243">
        <f t="shared" ref="H108:K108" si="59">IF($G108=0,0,H88/$G88)</f>
        <v>0.5</v>
      </c>
      <c r="I108" s="243">
        <f t="shared" si="59"/>
        <v>0.5</v>
      </c>
      <c r="J108" s="243">
        <f t="shared" si="59"/>
        <v>0</v>
      </c>
      <c r="K108" s="243">
        <f t="shared" si="59"/>
        <v>0</v>
      </c>
      <c r="L108" s="155" t="b">
        <f t="shared" si="56"/>
        <v>1</v>
      </c>
    </row>
    <row r="109" spans="2:22" s="151" customFormat="1" x14ac:dyDescent="0.2">
      <c r="C109" s="155">
        <v>5</v>
      </c>
      <c r="D109" s="145" t="str">
        <f t="shared" si="53"/>
        <v>Nicho de acometida - Panel de energia principal</v>
      </c>
      <c r="E109" s="151" t="s">
        <v>227</v>
      </c>
      <c r="G109" s="240">
        <f t="shared" si="54"/>
        <v>0.48</v>
      </c>
      <c r="H109" s="243">
        <f t="shared" ref="H109:K109" si="60">IF($G109=0,0,H89/$G89)</f>
        <v>0.5</v>
      </c>
      <c r="I109" s="243">
        <f t="shared" si="60"/>
        <v>0.5</v>
      </c>
      <c r="J109" s="243">
        <f t="shared" si="60"/>
        <v>0</v>
      </c>
      <c r="K109" s="243">
        <f t="shared" si="60"/>
        <v>0</v>
      </c>
      <c r="L109" s="155" t="b">
        <f t="shared" si="56"/>
        <v>1</v>
      </c>
    </row>
    <row r="110" spans="2:22" s="151" customFormat="1" x14ac:dyDescent="0.2">
      <c r="C110" s="207">
        <v>6</v>
      </c>
      <c r="D110" s="145" t="str">
        <f t="shared" si="53"/>
        <v>Nicho de acometida - Panel de distribuición de energia</v>
      </c>
      <c r="E110" s="151" t="s">
        <v>227</v>
      </c>
      <c r="G110" s="240">
        <f t="shared" si="54"/>
        <v>0.22500000000000001</v>
      </c>
      <c r="H110" s="243">
        <f t="shared" ref="H110:K110" si="61">IF($G110=0,0,H90/$G90)</f>
        <v>0.5</v>
      </c>
      <c r="I110" s="243">
        <f t="shared" si="61"/>
        <v>0.5</v>
      </c>
      <c r="J110" s="243">
        <f t="shared" si="61"/>
        <v>0</v>
      </c>
      <c r="K110" s="243">
        <f t="shared" si="61"/>
        <v>0</v>
      </c>
      <c r="L110" s="155" t="b">
        <f t="shared" si="56"/>
        <v>1</v>
      </c>
    </row>
    <row r="111" spans="2:22" s="151" customFormat="1" x14ac:dyDescent="0.2">
      <c r="C111" s="207">
        <v>7</v>
      </c>
      <c r="D111" s="145" t="str">
        <f t="shared" si="53"/>
        <v>Área no construida / libre</v>
      </c>
      <c r="E111" s="151" t="s">
        <v>227</v>
      </c>
      <c r="G111" s="240">
        <f t="shared" si="54"/>
        <v>36.541255010653828</v>
      </c>
      <c r="H111" s="243">
        <f t="shared" ref="H111:K111" si="62">IF($G111=0,0,H91/$G91)</f>
        <v>0.5</v>
      </c>
      <c r="I111" s="243">
        <f t="shared" si="62"/>
        <v>0.5</v>
      </c>
      <c r="J111" s="243">
        <f t="shared" si="62"/>
        <v>0</v>
      </c>
      <c r="K111" s="243">
        <f t="shared" si="62"/>
        <v>0</v>
      </c>
      <c r="L111" s="155" t="b">
        <f t="shared" si="56"/>
        <v>1</v>
      </c>
    </row>
    <row r="112" spans="2:22" s="151" customFormat="1" x14ac:dyDescent="0.2">
      <c r="B112" s="155">
        <v>2</v>
      </c>
      <c r="C112" s="145" t="str">
        <f t="shared" ref="C112:C114" si="63">INDEX(lista.activos,B112)</f>
        <v>Torre</v>
      </c>
      <c r="E112" s="151" t="s">
        <v>150</v>
      </c>
      <c r="G112" s="239">
        <f t="shared" si="54"/>
        <v>1</v>
      </c>
      <c r="H112" s="241">
        <f t="shared" ref="H112:K112" si="64">IF($G112=0,0,H92/$G92)</f>
        <v>0.5</v>
      </c>
      <c r="I112" s="241">
        <f t="shared" si="64"/>
        <v>0.5</v>
      </c>
      <c r="J112" s="241">
        <f t="shared" si="64"/>
        <v>0</v>
      </c>
      <c r="K112" s="241">
        <f t="shared" si="64"/>
        <v>0</v>
      </c>
      <c r="L112" s="155" t="b">
        <f t="shared" si="56"/>
        <v>1</v>
      </c>
    </row>
    <row r="113" spans="2:22" s="151" customFormat="1" x14ac:dyDescent="0.2">
      <c r="B113" s="155">
        <v>3</v>
      </c>
      <c r="C113" s="145" t="str">
        <f t="shared" si="63"/>
        <v>Caseta (shelter) AEP</v>
      </c>
      <c r="E113" s="151" t="s">
        <v>150</v>
      </c>
      <c r="G113" s="239">
        <f t="shared" si="54"/>
        <v>0</v>
      </c>
      <c r="H113" s="241">
        <f t="shared" ref="H113:K113" si="65">IF($G113=0,0,H93/$G93)</f>
        <v>0</v>
      </c>
      <c r="I113" s="241">
        <f t="shared" si="65"/>
        <v>0</v>
      </c>
      <c r="J113" s="241">
        <f t="shared" si="65"/>
        <v>0</v>
      </c>
      <c r="K113" s="241">
        <f t="shared" si="65"/>
        <v>0</v>
      </c>
      <c r="L113" s="155" t="b">
        <f t="shared" si="56"/>
        <v>1</v>
      </c>
    </row>
    <row r="114" spans="2:22" s="151" customFormat="1" x14ac:dyDescent="0.2">
      <c r="B114" s="155">
        <v>4</v>
      </c>
      <c r="C114" s="145" t="str">
        <f t="shared" si="63"/>
        <v>Caseta (shelter) CSs</v>
      </c>
      <c r="E114" s="151" t="s">
        <v>150</v>
      </c>
      <c r="G114" s="239">
        <f t="shared" si="54"/>
        <v>0</v>
      </c>
      <c r="H114" s="241">
        <f t="shared" ref="H114:K114" si="66">IF($G114=0,0,H94/$G94)</f>
        <v>0</v>
      </c>
      <c r="I114" s="241">
        <f t="shared" si="66"/>
        <v>0</v>
      </c>
      <c r="J114" s="241">
        <f t="shared" si="66"/>
        <v>0</v>
      </c>
      <c r="K114" s="241">
        <f t="shared" si="66"/>
        <v>0</v>
      </c>
      <c r="L114" s="155" t="b">
        <f t="shared" si="56"/>
        <v>1</v>
      </c>
    </row>
    <row r="115" spans="2:22" s="151" customFormat="1" x14ac:dyDescent="0.2">
      <c r="B115" s="155">
        <v>5</v>
      </c>
      <c r="C115" s="145" t="str">
        <f>INDEX(lista.activos,B115)</f>
        <v>Plancha de concreto - Equipos outdoor (BTS/BBS)</v>
      </c>
      <c r="E115" s="151" t="s">
        <v>150</v>
      </c>
      <c r="G115" s="239">
        <f t="shared" si="54"/>
        <v>6</v>
      </c>
      <c r="H115" s="241">
        <f t="shared" ref="H115:K115" si="67">IF($G115=0,0,H95/$G95)</f>
        <v>0.5</v>
      </c>
      <c r="I115" s="241">
        <f t="shared" si="67"/>
        <v>0.5</v>
      </c>
      <c r="J115" s="241">
        <f t="shared" si="67"/>
        <v>0</v>
      </c>
      <c r="K115" s="241">
        <f t="shared" si="67"/>
        <v>0</v>
      </c>
      <c r="L115" s="155" t="b">
        <f t="shared" si="56"/>
        <v>1</v>
      </c>
    </row>
    <row r="116" spans="2:22" s="151" customFormat="1" x14ac:dyDescent="0.2">
      <c r="B116" s="155">
        <v>6</v>
      </c>
      <c r="C116" s="145" t="str">
        <f>INDEX(lista.activos,B116)</f>
        <v>Nicho de acometida - Panel de energia principal</v>
      </c>
      <c r="E116" s="151" t="s">
        <v>150</v>
      </c>
      <c r="G116" s="239">
        <f t="shared" si="54"/>
        <v>1</v>
      </c>
      <c r="H116" s="241">
        <f t="shared" ref="H116:K116" si="68">IF($G116=0,0,H96/$G96)</f>
        <v>1</v>
      </c>
      <c r="I116" s="241">
        <f t="shared" si="68"/>
        <v>0</v>
      </c>
      <c r="J116" s="241">
        <f t="shared" si="68"/>
        <v>0</v>
      </c>
      <c r="K116" s="241">
        <f t="shared" si="68"/>
        <v>0</v>
      </c>
      <c r="L116" s="155" t="b">
        <f t="shared" si="56"/>
        <v>1</v>
      </c>
    </row>
    <row r="117" spans="2:22" s="151" customFormat="1" x14ac:dyDescent="0.2">
      <c r="B117" s="155">
        <v>7</v>
      </c>
      <c r="C117" s="145" t="str">
        <f>INDEX(lista.activos,B117)</f>
        <v>Nicho de acometida - Panel de distribuición de energia</v>
      </c>
      <c r="E117" s="151" t="s">
        <v>150</v>
      </c>
      <c r="G117" s="239">
        <f t="shared" si="54"/>
        <v>1</v>
      </c>
      <c r="H117" s="241">
        <f t="shared" ref="H117:K117" si="69">IF($G117=0,0,H97/$G97)</f>
        <v>1</v>
      </c>
      <c r="I117" s="241">
        <f t="shared" si="69"/>
        <v>0</v>
      </c>
      <c r="J117" s="241">
        <f t="shared" si="69"/>
        <v>0</v>
      </c>
      <c r="K117" s="241">
        <f t="shared" si="69"/>
        <v>0</v>
      </c>
      <c r="L117" s="155" t="b">
        <f t="shared" si="56"/>
        <v>1</v>
      </c>
    </row>
    <row r="118" spans="2:22" s="151" customFormat="1" x14ac:dyDescent="0.2">
      <c r="B118" s="155">
        <v>8</v>
      </c>
      <c r="C118" s="145" t="str">
        <f>INDEX(lista.activos,B118)</f>
        <v>Fuente de energía de respaldo</v>
      </c>
      <c r="E118" s="151" t="s">
        <v>895</v>
      </c>
      <c r="G118" s="239">
        <f t="shared" si="54"/>
        <v>0</v>
      </c>
      <c r="H118" s="241">
        <f t="shared" ref="H118:K118" si="70">IF($G118=0,0,H98/$G98)</f>
        <v>0</v>
      </c>
      <c r="I118" s="241">
        <f t="shared" si="70"/>
        <v>0</v>
      </c>
      <c r="J118" s="241">
        <f t="shared" si="70"/>
        <v>0</v>
      </c>
      <c r="K118" s="241">
        <f t="shared" si="70"/>
        <v>0</v>
      </c>
      <c r="L118" s="155" t="b">
        <f t="shared" si="56"/>
        <v>1</v>
      </c>
    </row>
    <row r="119" spans="2:22" s="151" customFormat="1" x14ac:dyDescent="0.2">
      <c r="B119" s="155">
        <v>9</v>
      </c>
      <c r="C119" s="145" t="str">
        <f>INDEX(lista.activos,B119)</f>
        <v>Aire acondicionado</v>
      </c>
      <c r="E119" s="151" t="s">
        <v>286</v>
      </c>
      <c r="G119" s="239">
        <f t="shared" si="54"/>
        <v>0</v>
      </c>
      <c r="H119" s="241">
        <f t="shared" ref="H119:K119" si="71">IF($G119=0,0,H99/$G99)</f>
        <v>0</v>
      </c>
      <c r="I119" s="241">
        <f t="shared" si="71"/>
        <v>0</v>
      </c>
      <c r="J119" s="241">
        <f t="shared" si="71"/>
        <v>0</v>
      </c>
      <c r="K119" s="241">
        <f t="shared" si="71"/>
        <v>0</v>
      </c>
      <c r="L119" s="155" t="b">
        <f t="shared" si="56"/>
        <v>1</v>
      </c>
    </row>
    <row r="120" spans="2:22" s="151" customFormat="1" x14ac:dyDescent="0.2"/>
    <row r="121" spans="2:22" x14ac:dyDescent="0.2">
      <c r="B121" s="160" t="s">
        <v>585</v>
      </c>
      <c r="C121" s="160"/>
      <c r="D121" s="160"/>
      <c r="E121" s="160"/>
      <c r="F121" s="160"/>
      <c r="G121" s="160"/>
      <c r="H121" s="160"/>
      <c r="I121" s="160"/>
      <c r="J121" s="160"/>
      <c r="K121" s="160"/>
      <c r="L121" s="160"/>
      <c r="M121" s="160"/>
      <c r="N121" s="160"/>
      <c r="O121" s="160"/>
      <c r="P121" s="160"/>
      <c r="Q121" s="160"/>
      <c r="R121" s="160"/>
      <c r="S121" s="160"/>
      <c r="T121" s="160"/>
      <c r="U121" s="160"/>
      <c r="V121" s="160"/>
    </row>
    <row r="122" spans="2:22" x14ac:dyDescent="0.2">
      <c r="G122" s="170" t="s">
        <v>262</v>
      </c>
      <c r="H122" s="170" t="s">
        <v>534</v>
      </c>
      <c r="I122" s="105" t="s">
        <v>535</v>
      </c>
      <c r="J122" s="203" t="b">
        <f>ROUND(G123,2)=ROUND(SUM(G136,G155,G174,G193),2)</f>
        <v>1</v>
      </c>
      <c r="K122" s="203" t="b">
        <f t="shared" ref="K122:L122" si="72">ROUND(H123,2)=ROUND(SUM(H136,H155,H174,H193),2)</f>
        <v>1</v>
      </c>
      <c r="L122" s="203" t="b">
        <f t="shared" si="72"/>
        <v>1</v>
      </c>
      <c r="M122" s="154"/>
      <c r="N122" s="154"/>
      <c r="O122" s="154"/>
      <c r="P122" s="154"/>
      <c r="Q122" s="170"/>
      <c r="R122" s="170"/>
      <c r="S122" s="105"/>
      <c r="T122" s="203"/>
    </row>
    <row r="123" spans="2:22" x14ac:dyDescent="0.2">
      <c r="B123" s="151"/>
      <c r="C123" s="105" t="s">
        <v>133</v>
      </c>
      <c r="D123" s="105"/>
      <c r="E123" s="204" t="s">
        <v>271</v>
      </c>
      <c r="G123" s="221">
        <f t="shared" ref="G123:G132" si="73">Q21</f>
        <v>252514.55584796725</v>
      </c>
      <c r="H123" s="221">
        <f t="shared" ref="H123:H132" si="74">R21</f>
        <v>81714.482288894447</v>
      </c>
      <c r="I123" s="221">
        <f t="shared" ref="I123:I132" si="75">S21</f>
        <v>334229.03813686169</v>
      </c>
    </row>
    <row r="124" spans="2:22" x14ac:dyDescent="0.2">
      <c r="B124" s="155">
        <v>1</v>
      </c>
      <c r="C124" s="145" t="str">
        <f t="shared" ref="C124:C132" si="76">INDEX(lista.activos,B124)</f>
        <v>Predio</v>
      </c>
      <c r="D124" s="151"/>
      <c r="E124" s="145" t="str">
        <f>$E$21</f>
        <v>MXN/año</v>
      </c>
      <c r="G124" s="176">
        <f t="shared" si="73"/>
        <v>0</v>
      </c>
      <c r="H124" s="176">
        <f t="shared" si="74"/>
        <v>15350.788912680002</v>
      </c>
      <c r="I124" s="176">
        <f t="shared" si="75"/>
        <v>15350.788912680002</v>
      </c>
    </row>
    <row r="125" spans="2:22" x14ac:dyDescent="0.2">
      <c r="B125" s="155">
        <v>2</v>
      </c>
      <c r="C125" s="145" t="str">
        <f t="shared" si="76"/>
        <v>Torre</v>
      </c>
      <c r="D125" s="151"/>
      <c r="E125" s="145" t="str">
        <f t="shared" ref="E125:E132" si="77">$E$21</f>
        <v>MXN/año</v>
      </c>
      <c r="G125" s="176">
        <f t="shared" si="73"/>
        <v>249130.10194903053</v>
      </c>
      <c r="H125" s="176">
        <f t="shared" si="74"/>
        <v>66149.408878800052</v>
      </c>
      <c r="I125" s="176">
        <f t="shared" si="75"/>
        <v>315279.51082783059</v>
      </c>
    </row>
    <row r="126" spans="2:22" x14ac:dyDescent="0.2">
      <c r="B126" s="155">
        <v>3</v>
      </c>
      <c r="C126" s="145" t="str">
        <f t="shared" si="76"/>
        <v>Caseta (shelter) AEP</v>
      </c>
      <c r="D126" s="151"/>
      <c r="E126" s="145" t="str">
        <f t="shared" si="77"/>
        <v>MXN/año</v>
      </c>
      <c r="G126" s="176">
        <f t="shared" si="73"/>
        <v>0</v>
      </c>
      <c r="H126" s="176">
        <f t="shared" si="74"/>
        <v>0</v>
      </c>
      <c r="I126" s="176">
        <f t="shared" si="75"/>
        <v>0</v>
      </c>
      <c r="M126" s="222"/>
    </row>
    <row r="127" spans="2:22" x14ac:dyDescent="0.2">
      <c r="B127" s="155">
        <v>4</v>
      </c>
      <c r="C127" s="145" t="str">
        <f t="shared" si="76"/>
        <v>Caseta (shelter) CSs</v>
      </c>
      <c r="D127" s="151"/>
      <c r="E127" s="145" t="str">
        <f t="shared" si="77"/>
        <v>MXN/año</v>
      </c>
      <c r="G127" s="176">
        <f t="shared" si="73"/>
        <v>0</v>
      </c>
      <c r="H127" s="176">
        <f t="shared" si="74"/>
        <v>0</v>
      </c>
      <c r="I127" s="176">
        <f t="shared" si="75"/>
        <v>0</v>
      </c>
    </row>
    <row r="128" spans="2:22" x14ac:dyDescent="0.2">
      <c r="B128" s="155">
        <v>5</v>
      </c>
      <c r="C128" s="145" t="str">
        <f t="shared" si="76"/>
        <v>Plancha de concreto - Equipos outdoor (BTS/BBS)</v>
      </c>
      <c r="D128" s="151"/>
      <c r="E128" s="145" t="str">
        <f t="shared" si="77"/>
        <v>MXN/año</v>
      </c>
      <c r="G128" s="176">
        <f t="shared" si="73"/>
        <v>3384.4538989367115</v>
      </c>
      <c r="H128" s="176">
        <f t="shared" si="74"/>
        <v>214.28449741440002</v>
      </c>
      <c r="I128" s="176">
        <f t="shared" si="75"/>
        <v>3598.7383963511115</v>
      </c>
    </row>
    <row r="129" spans="2:22" x14ac:dyDescent="0.2">
      <c r="B129" s="155">
        <v>6</v>
      </c>
      <c r="C129" s="145" t="str">
        <f t="shared" si="76"/>
        <v>Nicho de acometida - Panel de energia principal</v>
      </c>
      <c r="D129" s="151"/>
      <c r="E129" s="145" t="str">
        <f t="shared" si="77"/>
        <v>MXN/año</v>
      </c>
      <c r="G129" s="176">
        <f t="shared" si="73"/>
        <v>0</v>
      </c>
      <c r="H129" s="176">
        <f t="shared" si="74"/>
        <v>0</v>
      </c>
      <c r="I129" s="176">
        <f t="shared" si="75"/>
        <v>0</v>
      </c>
    </row>
    <row r="130" spans="2:22" x14ac:dyDescent="0.2">
      <c r="B130" s="155">
        <v>7</v>
      </c>
      <c r="C130" s="145" t="str">
        <f t="shared" si="76"/>
        <v>Nicho de acometida - Panel de distribuición de energia</v>
      </c>
      <c r="D130" s="151"/>
      <c r="E130" s="145" t="str">
        <f t="shared" si="77"/>
        <v>MXN/año</v>
      </c>
      <c r="G130" s="176">
        <f t="shared" si="73"/>
        <v>0</v>
      </c>
      <c r="H130" s="176">
        <f t="shared" si="74"/>
        <v>0</v>
      </c>
      <c r="I130" s="176">
        <f t="shared" si="75"/>
        <v>0</v>
      </c>
    </row>
    <row r="131" spans="2:22" x14ac:dyDescent="0.2">
      <c r="B131" s="155">
        <v>8</v>
      </c>
      <c r="C131" s="145" t="str">
        <f t="shared" si="76"/>
        <v>Fuente de energía de respaldo</v>
      </c>
      <c r="D131" s="151"/>
      <c r="E131" s="145" t="str">
        <f t="shared" si="77"/>
        <v>MXN/año</v>
      </c>
      <c r="G131" s="176">
        <f t="shared" si="73"/>
        <v>0</v>
      </c>
      <c r="H131" s="176">
        <f t="shared" si="74"/>
        <v>0</v>
      </c>
      <c r="I131" s="176">
        <f t="shared" si="75"/>
        <v>0</v>
      </c>
    </row>
    <row r="132" spans="2:22" x14ac:dyDescent="0.2">
      <c r="B132" s="155">
        <v>9</v>
      </c>
      <c r="C132" s="145" t="str">
        <f t="shared" si="76"/>
        <v>Aire acondicionado</v>
      </c>
      <c r="E132" s="145" t="str">
        <f t="shared" si="77"/>
        <v>MXN/año</v>
      </c>
      <c r="G132" s="176">
        <f t="shared" si="73"/>
        <v>0</v>
      </c>
      <c r="H132" s="176">
        <f t="shared" si="74"/>
        <v>0</v>
      </c>
      <c r="I132" s="176">
        <f t="shared" si="75"/>
        <v>0</v>
      </c>
    </row>
    <row r="133" spans="2:22" s="151" customFormat="1" x14ac:dyDescent="0.2"/>
    <row r="134" spans="2:22" x14ac:dyDescent="0.2">
      <c r="C134" s="159" t="s">
        <v>318</v>
      </c>
      <c r="D134" s="159"/>
      <c r="E134" s="159"/>
      <c r="F134" s="159"/>
      <c r="G134" s="159"/>
      <c r="H134" s="159"/>
      <c r="I134" s="159"/>
      <c r="J134" s="159"/>
      <c r="K134" s="159"/>
      <c r="L134" s="159"/>
      <c r="M134" s="159"/>
      <c r="N134" s="159"/>
      <c r="O134" s="159"/>
      <c r="P134" s="159"/>
      <c r="Q134" s="159"/>
      <c r="R134" s="159"/>
      <c r="S134" s="159"/>
      <c r="T134" s="159"/>
      <c r="U134" s="159"/>
      <c r="V134" s="159"/>
    </row>
    <row r="135" spans="2:22" s="151" customFormat="1" x14ac:dyDescent="0.2">
      <c r="G135" s="170" t="s">
        <v>262</v>
      </c>
      <c r="H135" s="170" t="s">
        <v>534</v>
      </c>
      <c r="I135" s="105" t="s">
        <v>535</v>
      </c>
    </row>
    <row r="136" spans="2:22" s="151" customFormat="1" x14ac:dyDescent="0.2">
      <c r="C136" s="105" t="s">
        <v>97</v>
      </c>
      <c r="E136" s="204" t="str">
        <f>$E$123</f>
        <v>MXN/año</v>
      </c>
      <c r="G136" s="223">
        <f>SUM(G137:G145)</f>
        <v>126257.27792398362</v>
      </c>
      <c r="H136" s="223">
        <f t="shared" ref="H136:I136" si="78">SUM(H137:H145)</f>
        <v>40857.241144447224</v>
      </c>
      <c r="I136" s="223">
        <f t="shared" si="78"/>
        <v>167114.51906843085</v>
      </c>
    </row>
    <row r="137" spans="2:22" s="151" customFormat="1" x14ac:dyDescent="0.2">
      <c r="B137" s="155">
        <v>1</v>
      </c>
      <c r="C137" s="145" t="str">
        <f t="shared" ref="C137:C145" si="79">INDEX(lista.activos,B137)</f>
        <v>Predio</v>
      </c>
      <c r="E137" s="145" t="str">
        <f>$E$123</f>
        <v>MXN/año</v>
      </c>
      <c r="G137" s="235">
        <f>$H104*G124</f>
        <v>0</v>
      </c>
      <c r="H137" s="235">
        <f t="shared" ref="H137:I137" si="80">$H104*H124</f>
        <v>7675.3944563400009</v>
      </c>
      <c r="I137" s="235">
        <f t="shared" si="80"/>
        <v>7675.3944563400009</v>
      </c>
    </row>
    <row r="138" spans="2:22" s="151" customFormat="1" x14ac:dyDescent="0.2">
      <c r="B138" s="155">
        <v>2</v>
      </c>
      <c r="C138" s="145" t="str">
        <f t="shared" si="79"/>
        <v>Torre</v>
      </c>
      <c r="E138" s="145" t="str">
        <f t="shared" ref="E138:E145" si="81">$E$123</f>
        <v>MXN/año</v>
      </c>
      <c r="G138" s="235">
        <f>$H112*G125</f>
        <v>124565.05097451527</v>
      </c>
      <c r="H138" s="235">
        <f t="shared" ref="H138:I138" si="82">$H112*H125</f>
        <v>33074.704439400026</v>
      </c>
      <c r="I138" s="235">
        <f t="shared" si="82"/>
        <v>157639.75541391529</v>
      </c>
    </row>
    <row r="139" spans="2:22" s="151" customFormat="1" x14ac:dyDescent="0.2">
      <c r="B139" s="155">
        <v>3</v>
      </c>
      <c r="C139" s="145" t="str">
        <f t="shared" si="79"/>
        <v>Caseta (shelter) AEP</v>
      </c>
      <c r="E139" s="145" t="str">
        <f t="shared" si="81"/>
        <v>MXN/año</v>
      </c>
      <c r="G139" s="235">
        <f t="shared" ref="G139:I139" si="83">$H113*G126</f>
        <v>0</v>
      </c>
      <c r="H139" s="235">
        <f t="shared" si="83"/>
        <v>0</v>
      </c>
      <c r="I139" s="235">
        <f t="shared" si="83"/>
        <v>0</v>
      </c>
    </row>
    <row r="140" spans="2:22" s="151" customFormat="1" x14ac:dyDescent="0.2">
      <c r="B140" s="155">
        <v>4</v>
      </c>
      <c r="C140" s="145" t="str">
        <f t="shared" si="79"/>
        <v>Caseta (shelter) CSs</v>
      </c>
      <c r="E140" s="145" t="str">
        <f t="shared" si="81"/>
        <v>MXN/año</v>
      </c>
      <c r="G140" s="235">
        <f t="shared" ref="G140:I140" si="84">$H114*G127</f>
        <v>0</v>
      </c>
      <c r="H140" s="235">
        <f t="shared" si="84"/>
        <v>0</v>
      </c>
      <c r="I140" s="235">
        <f t="shared" si="84"/>
        <v>0</v>
      </c>
    </row>
    <row r="141" spans="2:22" s="151" customFormat="1" x14ac:dyDescent="0.2">
      <c r="B141" s="155">
        <v>5</v>
      </c>
      <c r="C141" s="145" t="str">
        <f t="shared" si="79"/>
        <v>Plancha de concreto - Equipos outdoor (BTS/BBS)</v>
      </c>
      <c r="E141" s="145" t="str">
        <f t="shared" si="81"/>
        <v>MXN/año</v>
      </c>
      <c r="G141" s="235">
        <f t="shared" ref="G141:I141" si="85">$H115*G128</f>
        <v>1692.2269494683558</v>
      </c>
      <c r="H141" s="235">
        <f t="shared" si="85"/>
        <v>107.14224870720001</v>
      </c>
      <c r="I141" s="235">
        <f t="shared" si="85"/>
        <v>1799.3691981755558</v>
      </c>
    </row>
    <row r="142" spans="2:22" s="151" customFormat="1" x14ac:dyDescent="0.2">
      <c r="B142" s="155">
        <v>6</v>
      </c>
      <c r="C142" s="145" t="str">
        <f t="shared" si="79"/>
        <v>Nicho de acometida - Panel de energia principal</v>
      </c>
      <c r="E142" s="145" t="str">
        <f t="shared" si="81"/>
        <v>MXN/año</v>
      </c>
      <c r="G142" s="235">
        <f t="shared" ref="G142:I142" si="86">$H116*G129</f>
        <v>0</v>
      </c>
      <c r="H142" s="235">
        <f t="shared" si="86"/>
        <v>0</v>
      </c>
      <c r="I142" s="235">
        <f t="shared" si="86"/>
        <v>0</v>
      </c>
    </row>
    <row r="143" spans="2:22" s="151" customFormat="1" x14ac:dyDescent="0.2">
      <c r="B143" s="155">
        <v>7</v>
      </c>
      <c r="C143" s="145" t="str">
        <f t="shared" si="79"/>
        <v>Nicho de acometida - Panel de distribuición de energia</v>
      </c>
      <c r="E143" s="145" t="str">
        <f t="shared" si="81"/>
        <v>MXN/año</v>
      </c>
      <c r="G143" s="235">
        <f t="shared" ref="G143:I143" si="87">$H117*G130</f>
        <v>0</v>
      </c>
      <c r="H143" s="235">
        <f t="shared" si="87"/>
        <v>0</v>
      </c>
      <c r="I143" s="235">
        <f t="shared" si="87"/>
        <v>0</v>
      </c>
    </row>
    <row r="144" spans="2:22" s="151" customFormat="1" x14ac:dyDescent="0.2">
      <c r="B144" s="155">
        <v>8</v>
      </c>
      <c r="C144" s="145" t="str">
        <f t="shared" si="79"/>
        <v>Fuente de energía de respaldo</v>
      </c>
      <c r="E144" s="145" t="str">
        <f t="shared" si="81"/>
        <v>MXN/año</v>
      </c>
      <c r="G144" s="235">
        <f t="shared" ref="G144:I144" si="88">$H118*G131</f>
        <v>0</v>
      </c>
      <c r="H144" s="235">
        <f t="shared" si="88"/>
        <v>0</v>
      </c>
      <c r="I144" s="235">
        <f t="shared" si="88"/>
        <v>0</v>
      </c>
    </row>
    <row r="145" spans="2:22" s="151" customFormat="1" x14ac:dyDescent="0.2">
      <c r="B145" s="155">
        <v>9</v>
      </c>
      <c r="C145" s="145" t="str">
        <f t="shared" si="79"/>
        <v>Aire acondicionado</v>
      </c>
      <c r="E145" s="145" t="str">
        <f t="shared" si="81"/>
        <v>MXN/año</v>
      </c>
      <c r="G145" s="235">
        <f t="shared" ref="G145:I145" si="89">$H119*G132</f>
        <v>0</v>
      </c>
      <c r="H145" s="235">
        <f t="shared" si="89"/>
        <v>0</v>
      </c>
      <c r="I145" s="235">
        <f t="shared" si="89"/>
        <v>0</v>
      </c>
    </row>
    <row r="146" spans="2:22" s="151" customFormat="1" x14ac:dyDescent="0.2"/>
    <row r="147" spans="2:22" s="151" customFormat="1" x14ac:dyDescent="0.2">
      <c r="C147" s="105" t="s">
        <v>599</v>
      </c>
    </row>
    <row r="148" spans="2:22" s="151" customFormat="1" x14ac:dyDescent="0.2">
      <c r="C148" s="145" t="str">
        <f t="array" ref="C148:C151">servicios</f>
        <v>Espacio en piso</v>
      </c>
      <c r="E148" s="145" t="str">
        <f t="shared" ref="E148:E151" si="90">$E$123</f>
        <v>MXN/año</v>
      </c>
      <c r="G148" s="244">
        <f>SUM(G137,G139:G143)</f>
        <v>1692.2269494683558</v>
      </c>
      <c r="H148" s="244">
        <f t="shared" ref="H148:I148" si="91">SUM(H137,H139:H143)</f>
        <v>7782.5367050472014</v>
      </c>
      <c r="I148" s="244">
        <f t="shared" si="91"/>
        <v>9474.7636545155565</v>
      </c>
    </row>
    <row r="149" spans="2:22" s="151" customFormat="1" x14ac:dyDescent="0.2">
      <c r="C149" s="145" t="str">
        <v>Espacio en torre</v>
      </c>
      <c r="E149" s="145" t="str">
        <f t="shared" si="90"/>
        <v>MXN/año</v>
      </c>
      <c r="G149" s="244">
        <f>G138</f>
        <v>124565.05097451527</v>
      </c>
      <c r="H149" s="244">
        <f t="shared" ref="H149:I149" si="92">H138</f>
        <v>33074.704439400026</v>
      </c>
      <c r="I149" s="244">
        <f t="shared" si="92"/>
        <v>157639.75541391529</v>
      </c>
    </row>
    <row r="150" spans="2:22" s="151" customFormat="1" x14ac:dyDescent="0.2">
      <c r="C150" s="145" t="str">
        <v>Fuente de energia de respaldo</v>
      </c>
      <c r="E150" s="145" t="str">
        <f t="shared" si="90"/>
        <v>MXN/año</v>
      </c>
      <c r="G150" s="244">
        <f>G144</f>
        <v>0</v>
      </c>
      <c r="H150" s="244">
        <f t="shared" ref="H150:I150" si="93">H144</f>
        <v>0</v>
      </c>
      <c r="I150" s="244">
        <f t="shared" si="93"/>
        <v>0</v>
      </c>
    </row>
    <row r="151" spans="2:22" s="151" customFormat="1" x14ac:dyDescent="0.2">
      <c r="C151" s="145" t="str">
        <v>Aire acondicionado</v>
      </c>
      <c r="E151" s="145" t="str">
        <f t="shared" si="90"/>
        <v>MXN/año</v>
      </c>
      <c r="G151" s="244">
        <f>G145</f>
        <v>0</v>
      </c>
      <c r="H151" s="244">
        <f t="shared" ref="H151:I151" si="94">H145</f>
        <v>0</v>
      </c>
      <c r="I151" s="244">
        <f t="shared" si="94"/>
        <v>0</v>
      </c>
    </row>
    <row r="152" spans="2:22" s="151" customFormat="1" x14ac:dyDescent="0.2"/>
    <row r="153" spans="2:22" s="151" customFormat="1" x14ac:dyDescent="0.2">
      <c r="C153" s="159" t="s">
        <v>412</v>
      </c>
      <c r="D153" s="159"/>
      <c r="E153" s="159"/>
      <c r="F153" s="159"/>
      <c r="G153" s="159"/>
      <c r="H153" s="159"/>
      <c r="I153" s="159"/>
      <c r="J153" s="159"/>
      <c r="K153" s="159"/>
      <c r="L153" s="159"/>
      <c r="M153" s="159"/>
      <c r="N153" s="159"/>
      <c r="O153" s="159"/>
      <c r="P153" s="159"/>
      <c r="Q153" s="159"/>
      <c r="R153" s="159"/>
      <c r="S153" s="159"/>
      <c r="T153" s="159"/>
      <c r="U153" s="159"/>
      <c r="V153" s="159"/>
    </row>
    <row r="154" spans="2:22" s="151" customFormat="1" x14ac:dyDescent="0.2">
      <c r="G154" s="170" t="s">
        <v>262</v>
      </c>
      <c r="H154" s="170" t="s">
        <v>534</v>
      </c>
      <c r="I154" s="105" t="s">
        <v>535</v>
      </c>
    </row>
    <row r="155" spans="2:22" s="151" customFormat="1" x14ac:dyDescent="0.2">
      <c r="C155" s="105" t="s">
        <v>97</v>
      </c>
      <c r="E155" s="204" t="str">
        <f>$E$123</f>
        <v>MXN/año</v>
      </c>
      <c r="G155" s="223">
        <f>SUM(G156:G164)</f>
        <v>126257.27792398362</v>
      </c>
      <c r="H155" s="223">
        <f t="shared" ref="H155" si="95">SUM(H156:H164)</f>
        <v>40857.241144447224</v>
      </c>
      <c r="I155" s="223">
        <f t="shared" ref="I155" si="96">SUM(I156:I164)</f>
        <v>167114.51906843085</v>
      </c>
    </row>
    <row r="156" spans="2:22" s="151" customFormat="1" x14ac:dyDescent="0.2">
      <c r="B156" s="155">
        <v>1</v>
      </c>
      <c r="C156" s="145" t="str">
        <f t="shared" ref="C156:C164" si="97">INDEX(lista.activos,B156)</f>
        <v>Predio</v>
      </c>
      <c r="E156" s="145" t="str">
        <f>$E$123</f>
        <v>MXN/año</v>
      </c>
      <c r="G156" s="235">
        <f>$I104*G124</f>
        <v>0</v>
      </c>
      <c r="H156" s="235">
        <f t="shared" ref="H156:I156" si="98">$I104*H124</f>
        <v>7675.3944563400009</v>
      </c>
      <c r="I156" s="235">
        <f t="shared" si="98"/>
        <v>7675.3944563400009</v>
      </c>
    </row>
    <row r="157" spans="2:22" s="151" customFormat="1" x14ac:dyDescent="0.2">
      <c r="B157" s="155">
        <v>2</v>
      </c>
      <c r="C157" s="145" t="str">
        <f t="shared" si="97"/>
        <v>Torre</v>
      </c>
      <c r="E157" s="145" t="str">
        <f t="shared" ref="E157:E164" si="99">$E$123</f>
        <v>MXN/año</v>
      </c>
      <c r="G157" s="235">
        <f>$I112*G125</f>
        <v>124565.05097451527</v>
      </c>
      <c r="H157" s="235">
        <f t="shared" ref="H157:I157" si="100">$I112*H125</f>
        <v>33074.704439400026</v>
      </c>
      <c r="I157" s="235">
        <f t="shared" si="100"/>
        <v>157639.75541391529</v>
      </c>
    </row>
    <row r="158" spans="2:22" s="151" customFormat="1" x14ac:dyDescent="0.2">
      <c r="B158" s="155">
        <v>3</v>
      </c>
      <c r="C158" s="145" t="str">
        <f t="shared" si="97"/>
        <v>Caseta (shelter) AEP</v>
      </c>
      <c r="E158" s="145" t="str">
        <f t="shared" si="99"/>
        <v>MXN/año</v>
      </c>
      <c r="G158" s="235">
        <f t="shared" ref="G158:I158" si="101">$I113*G126</f>
        <v>0</v>
      </c>
      <c r="H158" s="235">
        <f t="shared" si="101"/>
        <v>0</v>
      </c>
      <c r="I158" s="235">
        <f t="shared" si="101"/>
        <v>0</v>
      </c>
    </row>
    <row r="159" spans="2:22" s="151" customFormat="1" x14ac:dyDescent="0.2">
      <c r="B159" s="155">
        <v>4</v>
      </c>
      <c r="C159" s="145" t="str">
        <f t="shared" si="97"/>
        <v>Caseta (shelter) CSs</v>
      </c>
      <c r="E159" s="145" t="str">
        <f t="shared" si="99"/>
        <v>MXN/año</v>
      </c>
      <c r="G159" s="235">
        <f t="shared" ref="G159:I159" si="102">$I114*G127</f>
        <v>0</v>
      </c>
      <c r="H159" s="235">
        <f t="shared" si="102"/>
        <v>0</v>
      </c>
      <c r="I159" s="235">
        <f t="shared" si="102"/>
        <v>0</v>
      </c>
    </row>
    <row r="160" spans="2:22" s="151" customFormat="1" x14ac:dyDescent="0.2">
      <c r="B160" s="155">
        <v>5</v>
      </c>
      <c r="C160" s="145" t="str">
        <f t="shared" si="97"/>
        <v>Plancha de concreto - Equipos outdoor (BTS/BBS)</v>
      </c>
      <c r="E160" s="145" t="str">
        <f t="shared" si="99"/>
        <v>MXN/año</v>
      </c>
      <c r="G160" s="235">
        <f t="shared" ref="G160:I160" si="103">$I115*G128</f>
        <v>1692.2269494683558</v>
      </c>
      <c r="H160" s="235">
        <f t="shared" si="103"/>
        <v>107.14224870720001</v>
      </c>
      <c r="I160" s="235">
        <f t="shared" si="103"/>
        <v>1799.3691981755558</v>
      </c>
    </row>
    <row r="161" spans="2:22" s="151" customFormat="1" x14ac:dyDescent="0.2">
      <c r="B161" s="155">
        <v>6</v>
      </c>
      <c r="C161" s="145" t="str">
        <f t="shared" si="97"/>
        <v>Nicho de acometida - Panel de energia principal</v>
      </c>
      <c r="E161" s="145" t="str">
        <f t="shared" si="99"/>
        <v>MXN/año</v>
      </c>
      <c r="G161" s="235">
        <f t="shared" ref="G161:I161" si="104">$I116*G129</f>
        <v>0</v>
      </c>
      <c r="H161" s="235">
        <f t="shared" si="104"/>
        <v>0</v>
      </c>
      <c r="I161" s="235">
        <f t="shared" si="104"/>
        <v>0</v>
      </c>
    </row>
    <row r="162" spans="2:22" s="151" customFormat="1" x14ac:dyDescent="0.2">
      <c r="B162" s="155">
        <v>7</v>
      </c>
      <c r="C162" s="145" t="str">
        <f t="shared" si="97"/>
        <v>Nicho de acometida - Panel de distribuición de energia</v>
      </c>
      <c r="E162" s="145" t="str">
        <f t="shared" si="99"/>
        <v>MXN/año</v>
      </c>
      <c r="G162" s="235">
        <f t="shared" ref="G162:I162" si="105">$I117*G130</f>
        <v>0</v>
      </c>
      <c r="H162" s="235">
        <f t="shared" si="105"/>
        <v>0</v>
      </c>
      <c r="I162" s="235">
        <f t="shared" si="105"/>
        <v>0</v>
      </c>
    </row>
    <row r="163" spans="2:22" s="151" customFormat="1" x14ac:dyDescent="0.2">
      <c r="B163" s="155">
        <v>8</v>
      </c>
      <c r="C163" s="145" t="str">
        <f t="shared" si="97"/>
        <v>Fuente de energía de respaldo</v>
      </c>
      <c r="E163" s="145" t="str">
        <f t="shared" si="99"/>
        <v>MXN/año</v>
      </c>
      <c r="G163" s="235">
        <f t="shared" ref="G163:I163" si="106">$I118*G131</f>
        <v>0</v>
      </c>
      <c r="H163" s="235">
        <f t="shared" si="106"/>
        <v>0</v>
      </c>
      <c r="I163" s="235">
        <f t="shared" si="106"/>
        <v>0</v>
      </c>
    </row>
    <row r="164" spans="2:22" s="151" customFormat="1" x14ac:dyDescent="0.2">
      <c r="B164" s="155">
        <v>9</v>
      </c>
      <c r="C164" s="145" t="str">
        <f t="shared" si="97"/>
        <v>Aire acondicionado</v>
      </c>
      <c r="E164" s="145" t="str">
        <f t="shared" si="99"/>
        <v>MXN/año</v>
      </c>
      <c r="G164" s="235">
        <f t="shared" ref="G164:I164" si="107">$I119*G132</f>
        <v>0</v>
      </c>
      <c r="H164" s="235">
        <f t="shared" si="107"/>
        <v>0</v>
      </c>
      <c r="I164" s="235">
        <f t="shared" si="107"/>
        <v>0</v>
      </c>
    </row>
    <row r="165" spans="2:22" s="151" customFormat="1" x14ac:dyDescent="0.2">
      <c r="G165" s="3"/>
      <c r="H165" s="3"/>
      <c r="I165" s="3"/>
    </row>
    <row r="166" spans="2:22" s="151" customFormat="1" x14ac:dyDescent="0.2">
      <c r="C166" s="105" t="s">
        <v>599</v>
      </c>
      <c r="G166" s="3"/>
      <c r="H166" s="3"/>
      <c r="I166" s="3"/>
    </row>
    <row r="167" spans="2:22" s="151" customFormat="1" x14ac:dyDescent="0.2">
      <c r="C167" s="145" t="str">
        <f t="array" ref="C167:C170">servicios</f>
        <v>Espacio en piso</v>
      </c>
      <c r="E167" s="145" t="str">
        <f t="shared" ref="E167:E170" si="108">$E$123</f>
        <v>MXN/año</v>
      </c>
      <c r="G167" s="244">
        <f>SUM(G156,G158:G162)</f>
        <v>1692.2269494683558</v>
      </c>
      <c r="H167" s="244">
        <f t="shared" ref="H167:I167" si="109">SUM(H156,H158:H162)</f>
        <v>7782.5367050472014</v>
      </c>
      <c r="I167" s="244">
        <f t="shared" si="109"/>
        <v>9474.7636545155565</v>
      </c>
    </row>
    <row r="168" spans="2:22" s="151" customFormat="1" x14ac:dyDescent="0.2">
      <c r="C168" s="145" t="str">
        <v>Espacio en torre</v>
      </c>
      <c r="E168" s="145" t="str">
        <f t="shared" si="108"/>
        <v>MXN/año</v>
      </c>
      <c r="G168" s="244">
        <f>G157</f>
        <v>124565.05097451527</v>
      </c>
      <c r="H168" s="244">
        <f t="shared" ref="H168:I168" si="110">H157</f>
        <v>33074.704439400026</v>
      </c>
      <c r="I168" s="244">
        <f t="shared" si="110"/>
        <v>157639.75541391529</v>
      </c>
    </row>
    <row r="169" spans="2:22" s="151" customFormat="1" x14ac:dyDescent="0.2">
      <c r="C169" s="145" t="str">
        <v>Fuente de energia de respaldo</v>
      </c>
      <c r="E169" s="145" t="str">
        <f t="shared" si="108"/>
        <v>MXN/año</v>
      </c>
      <c r="G169" s="244">
        <f>G163</f>
        <v>0</v>
      </c>
      <c r="H169" s="244">
        <f t="shared" ref="H169:I169" si="111">H163</f>
        <v>0</v>
      </c>
      <c r="I169" s="244">
        <f t="shared" si="111"/>
        <v>0</v>
      </c>
    </row>
    <row r="170" spans="2:22" s="151" customFormat="1" x14ac:dyDescent="0.2">
      <c r="C170" s="145" t="str">
        <v>Aire acondicionado</v>
      </c>
      <c r="E170" s="145" t="str">
        <f t="shared" si="108"/>
        <v>MXN/año</v>
      </c>
      <c r="G170" s="244">
        <f>G164</f>
        <v>0</v>
      </c>
      <c r="H170" s="244">
        <f t="shared" ref="H170:I170" si="112">H164</f>
        <v>0</v>
      </c>
      <c r="I170" s="244">
        <f t="shared" si="112"/>
        <v>0</v>
      </c>
    </row>
    <row r="171" spans="2:22" s="151" customFormat="1" x14ac:dyDescent="0.2">
      <c r="G171" s="3"/>
      <c r="H171" s="3"/>
      <c r="I171" s="3"/>
    </row>
    <row r="172" spans="2:22" s="151" customFormat="1" x14ac:dyDescent="0.2">
      <c r="C172" s="159" t="s">
        <v>414</v>
      </c>
      <c r="D172" s="159"/>
      <c r="E172" s="159"/>
      <c r="F172" s="159"/>
      <c r="G172" s="245"/>
      <c r="H172" s="245"/>
      <c r="I172" s="245"/>
      <c r="J172" s="159"/>
      <c r="K172" s="159"/>
      <c r="L172" s="159"/>
      <c r="M172" s="159"/>
      <c r="N172" s="159"/>
      <c r="O172" s="159"/>
      <c r="P172" s="159"/>
      <c r="Q172" s="159"/>
      <c r="R172" s="159"/>
      <c r="S172" s="159"/>
      <c r="T172" s="159"/>
      <c r="U172" s="159"/>
      <c r="V172" s="159"/>
    </row>
    <row r="173" spans="2:22" s="151" customFormat="1" x14ac:dyDescent="0.2">
      <c r="G173" s="246" t="s">
        <v>262</v>
      </c>
      <c r="H173" s="246" t="s">
        <v>534</v>
      </c>
      <c r="I173" s="247" t="s">
        <v>535</v>
      </c>
    </row>
    <row r="174" spans="2:22" s="151" customFormat="1" x14ac:dyDescent="0.2">
      <c r="C174" s="105" t="s">
        <v>97</v>
      </c>
      <c r="E174" s="204" t="str">
        <f>$E$123</f>
        <v>MXN/año</v>
      </c>
      <c r="G174" s="247">
        <f>SUM(G175:G183)</f>
        <v>0</v>
      </c>
      <c r="H174" s="247">
        <f t="shared" ref="H174" si="113">SUM(H175:H183)</f>
        <v>0</v>
      </c>
      <c r="I174" s="247">
        <f t="shared" ref="I174" si="114">SUM(I175:I183)</f>
        <v>0</v>
      </c>
    </row>
    <row r="175" spans="2:22" s="151" customFormat="1" x14ac:dyDescent="0.2">
      <c r="B175" s="155">
        <v>1</v>
      </c>
      <c r="C175" s="145" t="str">
        <f t="shared" ref="C175:C183" si="115">INDEX(lista.activos,B175)</f>
        <v>Predio</v>
      </c>
      <c r="E175" s="145" t="str">
        <f>$E$123</f>
        <v>MXN/año</v>
      </c>
      <c r="G175" s="235">
        <f>$J104*G124</f>
        <v>0</v>
      </c>
      <c r="H175" s="235">
        <f t="shared" ref="H175:I175" si="116">$J104*H124</f>
        <v>0</v>
      </c>
      <c r="I175" s="235">
        <f t="shared" si="116"/>
        <v>0</v>
      </c>
    </row>
    <row r="176" spans="2:22" s="151" customFormat="1" x14ac:dyDescent="0.2">
      <c r="B176" s="155">
        <v>2</v>
      </c>
      <c r="C176" s="145" t="str">
        <f t="shared" si="115"/>
        <v>Torre</v>
      </c>
      <c r="E176" s="145" t="str">
        <f t="shared" ref="E176:E183" si="117">$E$123</f>
        <v>MXN/año</v>
      </c>
      <c r="G176" s="235">
        <f>$J112*G125</f>
        <v>0</v>
      </c>
      <c r="H176" s="235">
        <f t="shared" ref="H176:I176" si="118">$J112*H125</f>
        <v>0</v>
      </c>
      <c r="I176" s="235">
        <f t="shared" si="118"/>
        <v>0</v>
      </c>
    </row>
    <row r="177" spans="2:22" s="151" customFormat="1" x14ac:dyDescent="0.2">
      <c r="B177" s="155">
        <v>3</v>
      </c>
      <c r="C177" s="145" t="str">
        <f t="shared" si="115"/>
        <v>Caseta (shelter) AEP</v>
      </c>
      <c r="E177" s="145" t="str">
        <f t="shared" si="117"/>
        <v>MXN/año</v>
      </c>
      <c r="G177" s="235">
        <f t="shared" ref="G177:I177" si="119">$J113*G126</f>
        <v>0</v>
      </c>
      <c r="H177" s="235">
        <f t="shared" si="119"/>
        <v>0</v>
      </c>
      <c r="I177" s="235">
        <f t="shared" si="119"/>
        <v>0</v>
      </c>
    </row>
    <row r="178" spans="2:22" s="151" customFormat="1" x14ac:dyDescent="0.2">
      <c r="B178" s="155">
        <v>4</v>
      </c>
      <c r="C178" s="145" t="str">
        <f t="shared" si="115"/>
        <v>Caseta (shelter) CSs</v>
      </c>
      <c r="E178" s="145" t="str">
        <f t="shared" si="117"/>
        <v>MXN/año</v>
      </c>
      <c r="G178" s="235">
        <f t="shared" ref="G178:I178" si="120">$J114*G127</f>
        <v>0</v>
      </c>
      <c r="H178" s="235">
        <f t="shared" si="120"/>
        <v>0</v>
      </c>
      <c r="I178" s="235">
        <f t="shared" si="120"/>
        <v>0</v>
      </c>
    </row>
    <row r="179" spans="2:22" s="151" customFormat="1" x14ac:dyDescent="0.2">
      <c r="B179" s="155">
        <v>5</v>
      </c>
      <c r="C179" s="145" t="str">
        <f t="shared" si="115"/>
        <v>Plancha de concreto - Equipos outdoor (BTS/BBS)</v>
      </c>
      <c r="E179" s="145" t="str">
        <f t="shared" si="117"/>
        <v>MXN/año</v>
      </c>
      <c r="G179" s="235">
        <f t="shared" ref="G179:I179" si="121">$J115*G128</f>
        <v>0</v>
      </c>
      <c r="H179" s="235">
        <f t="shared" si="121"/>
        <v>0</v>
      </c>
      <c r="I179" s="235">
        <f t="shared" si="121"/>
        <v>0</v>
      </c>
    </row>
    <row r="180" spans="2:22" s="151" customFormat="1" x14ac:dyDescent="0.2">
      <c r="B180" s="155">
        <v>6</v>
      </c>
      <c r="C180" s="145" t="str">
        <f t="shared" si="115"/>
        <v>Nicho de acometida - Panel de energia principal</v>
      </c>
      <c r="E180" s="145" t="str">
        <f t="shared" si="117"/>
        <v>MXN/año</v>
      </c>
      <c r="G180" s="235">
        <f t="shared" ref="G180:I180" si="122">$J116*G129</f>
        <v>0</v>
      </c>
      <c r="H180" s="235">
        <f t="shared" si="122"/>
        <v>0</v>
      </c>
      <c r="I180" s="235">
        <f t="shared" si="122"/>
        <v>0</v>
      </c>
    </row>
    <row r="181" spans="2:22" s="151" customFormat="1" x14ac:dyDescent="0.2">
      <c r="B181" s="155">
        <v>7</v>
      </c>
      <c r="C181" s="145" t="str">
        <f t="shared" si="115"/>
        <v>Nicho de acometida - Panel de distribuición de energia</v>
      </c>
      <c r="E181" s="145" t="str">
        <f t="shared" si="117"/>
        <v>MXN/año</v>
      </c>
      <c r="G181" s="235">
        <f t="shared" ref="G181:I181" si="123">$J117*G130</f>
        <v>0</v>
      </c>
      <c r="H181" s="235">
        <f t="shared" si="123"/>
        <v>0</v>
      </c>
      <c r="I181" s="235">
        <f t="shared" si="123"/>
        <v>0</v>
      </c>
    </row>
    <row r="182" spans="2:22" s="151" customFormat="1" x14ac:dyDescent="0.2">
      <c r="B182" s="155">
        <v>8</v>
      </c>
      <c r="C182" s="145" t="str">
        <f t="shared" si="115"/>
        <v>Fuente de energía de respaldo</v>
      </c>
      <c r="E182" s="145" t="str">
        <f t="shared" si="117"/>
        <v>MXN/año</v>
      </c>
      <c r="G182" s="235">
        <f t="shared" ref="G182:I182" si="124">$J118*G131</f>
        <v>0</v>
      </c>
      <c r="H182" s="235">
        <f t="shared" si="124"/>
        <v>0</v>
      </c>
      <c r="I182" s="235">
        <f t="shared" si="124"/>
        <v>0</v>
      </c>
    </row>
    <row r="183" spans="2:22" s="151" customFormat="1" x14ac:dyDescent="0.2">
      <c r="B183" s="155">
        <v>9</v>
      </c>
      <c r="C183" s="145" t="str">
        <f t="shared" si="115"/>
        <v>Aire acondicionado</v>
      </c>
      <c r="E183" s="145" t="str">
        <f t="shared" si="117"/>
        <v>MXN/año</v>
      </c>
      <c r="G183" s="235">
        <f t="shared" ref="G183:I183" si="125">$J119*G132</f>
        <v>0</v>
      </c>
      <c r="H183" s="235">
        <f t="shared" si="125"/>
        <v>0</v>
      </c>
      <c r="I183" s="235">
        <f t="shared" si="125"/>
        <v>0</v>
      </c>
    </row>
    <row r="184" spans="2:22" s="151" customFormat="1" x14ac:dyDescent="0.2">
      <c r="G184" s="3"/>
      <c r="H184" s="3"/>
      <c r="I184" s="3"/>
    </row>
    <row r="185" spans="2:22" s="151" customFormat="1" x14ac:dyDescent="0.2">
      <c r="C185" s="105" t="s">
        <v>599</v>
      </c>
      <c r="G185" s="3"/>
      <c r="H185" s="3"/>
      <c r="I185" s="3"/>
    </row>
    <row r="186" spans="2:22" s="151" customFormat="1" x14ac:dyDescent="0.2">
      <c r="C186" s="145" t="str">
        <f t="array" ref="C186:C189">servicios</f>
        <v>Espacio en piso</v>
      </c>
      <c r="E186" s="145" t="str">
        <f t="shared" ref="E186:E189" si="126">$E$123</f>
        <v>MXN/año</v>
      </c>
      <c r="G186" s="244">
        <f>SUM(G175,G177:G181)</f>
        <v>0</v>
      </c>
      <c r="H186" s="244">
        <f t="shared" ref="H186:I186" si="127">SUM(H175,H177:H181)</f>
        <v>0</v>
      </c>
      <c r="I186" s="244">
        <f t="shared" si="127"/>
        <v>0</v>
      </c>
    </row>
    <row r="187" spans="2:22" s="151" customFormat="1" x14ac:dyDescent="0.2">
      <c r="C187" s="145" t="str">
        <v>Espacio en torre</v>
      </c>
      <c r="E187" s="145" t="str">
        <f t="shared" si="126"/>
        <v>MXN/año</v>
      </c>
      <c r="G187" s="244">
        <f>G176</f>
        <v>0</v>
      </c>
      <c r="H187" s="244">
        <f t="shared" ref="H187:I187" si="128">H176</f>
        <v>0</v>
      </c>
      <c r="I187" s="244">
        <f t="shared" si="128"/>
        <v>0</v>
      </c>
    </row>
    <row r="188" spans="2:22" s="151" customFormat="1" x14ac:dyDescent="0.2">
      <c r="C188" s="145" t="str">
        <v>Fuente de energia de respaldo</v>
      </c>
      <c r="E188" s="145" t="str">
        <f t="shared" si="126"/>
        <v>MXN/año</v>
      </c>
      <c r="G188" s="244">
        <f>G182</f>
        <v>0</v>
      </c>
      <c r="H188" s="244">
        <f t="shared" ref="H188:I188" si="129">H182</f>
        <v>0</v>
      </c>
      <c r="I188" s="244">
        <f t="shared" si="129"/>
        <v>0</v>
      </c>
    </row>
    <row r="189" spans="2:22" s="151" customFormat="1" x14ac:dyDescent="0.2">
      <c r="C189" s="145" t="str">
        <v>Aire acondicionado</v>
      </c>
      <c r="E189" s="145" t="str">
        <f t="shared" si="126"/>
        <v>MXN/año</v>
      </c>
      <c r="G189" s="244">
        <f>G183</f>
        <v>0</v>
      </c>
      <c r="H189" s="244">
        <f t="shared" ref="H189:I189" si="130">H183</f>
        <v>0</v>
      </c>
      <c r="I189" s="244">
        <f t="shared" si="130"/>
        <v>0</v>
      </c>
    </row>
    <row r="190" spans="2:22" s="151" customFormat="1" x14ac:dyDescent="0.2">
      <c r="G190" s="3"/>
      <c r="H190" s="3"/>
      <c r="I190" s="3"/>
    </row>
    <row r="191" spans="2:22" s="151" customFormat="1" x14ac:dyDescent="0.2">
      <c r="C191" s="159" t="s">
        <v>415</v>
      </c>
      <c r="D191" s="159"/>
      <c r="E191" s="159"/>
      <c r="F191" s="159"/>
      <c r="G191" s="245"/>
      <c r="H191" s="245"/>
      <c r="I191" s="245"/>
      <c r="J191" s="159"/>
      <c r="K191" s="159"/>
      <c r="L191" s="159"/>
      <c r="M191" s="159"/>
      <c r="N191" s="159"/>
      <c r="O191" s="159"/>
      <c r="P191" s="159"/>
      <c r="Q191" s="159"/>
      <c r="R191" s="159"/>
      <c r="S191" s="159"/>
      <c r="T191" s="159"/>
      <c r="U191" s="159"/>
      <c r="V191" s="159"/>
    </row>
    <row r="192" spans="2:22" s="151" customFormat="1" x14ac:dyDescent="0.2">
      <c r="G192" s="246" t="s">
        <v>262</v>
      </c>
      <c r="H192" s="246" t="s">
        <v>534</v>
      </c>
      <c r="I192" s="247" t="s">
        <v>535</v>
      </c>
    </row>
    <row r="193" spans="2:9" s="151" customFormat="1" x14ac:dyDescent="0.2">
      <c r="C193" s="105" t="s">
        <v>97</v>
      </c>
      <c r="E193" s="204" t="str">
        <f>$E$123</f>
        <v>MXN/año</v>
      </c>
      <c r="G193" s="247">
        <f>SUM(G194:G202)</f>
        <v>0</v>
      </c>
      <c r="H193" s="247">
        <f t="shared" ref="H193" si="131">SUM(H194:H202)</f>
        <v>0</v>
      </c>
      <c r="I193" s="247">
        <f t="shared" ref="I193" si="132">SUM(I194:I202)</f>
        <v>0</v>
      </c>
    </row>
    <row r="194" spans="2:9" s="151" customFormat="1" x14ac:dyDescent="0.2">
      <c r="B194" s="155">
        <v>1</v>
      </c>
      <c r="C194" s="145" t="str">
        <f t="shared" ref="C194:C202" si="133">INDEX(lista.activos,B194)</f>
        <v>Predio</v>
      </c>
      <c r="E194" s="145" t="str">
        <f>$E$123</f>
        <v>MXN/año</v>
      </c>
      <c r="G194" s="235">
        <f>$K104*G124</f>
        <v>0</v>
      </c>
      <c r="H194" s="235">
        <f t="shared" ref="H194:I194" si="134">$K104*H124</f>
        <v>0</v>
      </c>
      <c r="I194" s="235">
        <f t="shared" si="134"/>
        <v>0</v>
      </c>
    </row>
    <row r="195" spans="2:9" s="151" customFormat="1" x14ac:dyDescent="0.2">
      <c r="B195" s="155">
        <v>2</v>
      </c>
      <c r="C195" s="145" t="str">
        <f t="shared" si="133"/>
        <v>Torre</v>
      </c>
      <c r="E195" s="145" t="str">
        <f t="shared" ref="E195:E202" si="135">$E$123</f>
        <v>MXN/año</v>
      </c>
      <c r="G195" s="235">
        <f>$K112*G125</f>
        <v>0</v>
      </c>
      <c r="H195" s="235">
        <f t="shared" ref="H195:I195" si="136">$K112*H125</f>
        <v>0</v>
      </c>
      <c r="I195" s="235">
        <f t="shared" si="136"/>
        <v>0</v>
      </c>
    </row>
    <row r="196" spans="2:9" s="151" customFormat="1" x14ac:dyDescent="0.2">
      <c r="B196" s="155">
        <v>3</v>
      </c>
      <c r="C196" s="145" t="str">
        <f t="shared" si="133"/>
        <v>Caseta (shelter) AEP</v>
      </c>
      <c r="E196" s="145" t="str">
        <f t="shared" si="135"/>
        <v>MXN/año</v>
      </c>
      <c r="G196" s="235">
        <f t="shared" ref="G196:I196" si="137">$K113*G126</f>
        <v>0</v>
      </c>
      <c r="H196" s="235">
        <f t="shared" si="137"/>
        <v>0</v>
      </c>
      <c r="I196" s="235">
        <f t="shared" si="137"/>
        <v>0</v>
      </c>
    </row>
    <row r="197" spans="2:9" s="151" customFormat="1" x14ac:dyDescent="0.2">
      <c r="B197" s="155">
        <v>4</v>
      </c>
      <c r="C197" s="145" t="str">
        <f t="shared" si="133"/>
        <v>Caseta (shelter) CSs</v>
      </c>
      <c r="E197" s="145" t="str">
        <f t="shared" si="135"/>
        <v>MXN/año</v>
      </c>
      <c r="G197" s="235">
        <f t="shared" ref="G197:I197" si="138">$K114*G127</f>
        <v>0</v>
      </c>
      <c r="H197" s="235">
        <f t="shared" si="138"/>
        <v>0</v>
      </c>
      <c r="I197" s="235">
        <f t="shared" si="138"/>
        <v>0</v>
      </c>
    </row>
    <row r="198" spans="2:9" s="151" customFormat="1" x14ac:dyDescent="0.2">
      <c r="B198" s="155">
        <v>5</v>
      </c>
      <c r="C198" s="145" t="str">
        <f t="shared" si="133"/>
        <v>Plancha de concreto - Equipos outdoor (BTS/BBS)</v>
      </c>
      <c r="E198" s="145" t="str">
        <f t="shared" si="135"/>
        <v>MXN/año</v>
      </c>
      <c r="G198" s="235">
        <f t="shared" ref="G198:I198" si="139">$K115*G128</f>
        <v>0</v>
      </c>
      <c r="H198" s="235">
        <f t="shared" si="139"/>
        <v>0</v>
      </c>
      <c r="I198" s="235">
        <f t="shared" si="139"/>
        <v>0</v>
      </c>
    </row>
    <row r="199" spans="2:9" s="151" customFormat="1" x14ac:dyDescent="0.2">
      <c r="B199" s="155">
        <v>6</v>
      </c>
      <c r="C199" s="145" t="str">
        <f t="shared" si="133"/>
        <v>Nicho de acometida - Panel de energia principal</v>
      </c>
      <c r="E199" s="145" t="str">
        <f t="shared" si="135"/>
        <v>MXN/año</v>
      </c>
      <c r="G199" s="235">
        <f t="shared" ref="G199:I199" si="140">$K116*G129</f>
        <v>0</v>
      </c>
      <c r="H199" s="235">
        <f t="shared" si="140"/>
        <v>0</v>
      </c>
      <c r="I199" s="235">
        <f t="shared" si="140"/>
        <v>0</v>
      </c>
    </row>
    <row r="200" spans="2:9" s="151" customFormat="1" x14ac:dyDescent="0.2">
      <c r="B200" s="155">
        <v>7</v>
      </c>
      <c r="C200" s="145" t="str">
        <f t="shared" si="133"/>
        <v>Nicho de acometida - Panel de distribuición de energia</v>
      </c>
      <c r="E200" s="145" t="str">
        <f t="shared" si="135"/>
        <v>MXN/año</v>
      </c>
      <c r="G200" s="235">
        <f t="shared" ref="G200:I200" si="141">$K117*G130</f>
        <v>0</v>
      </c>
      <c r="H200" s="235">
        <f t="shared" si="141"/>
        <v>0</v>
      </c>
      <c r="I200" s="235">
        <f t="shared" si="141"/>
        <v>0</v>
      </c>
    </row>
    <row r="201" spans="2:9" s="151" customFormat="1" x14ac:dyDescent="0.2">
      <c r="B201" s="155">
        <v>8</v>
      </c>
      <c r="C201" s="145" t="str">
        <f t="shared" si="133"/>
        <v>Fuente de energía de respaldo</v>
      </c>
      <c r="E201" s="145" t="str">
        <f t="shared" si="135"/>
        <v>MXN/año</v>
      </c>
      <c r="G201" s="235">
        <f t="shared" ref="G201:I201" si="142">$K118*G131</f>
        <v>0</v>
      </c>
      <c r="H201" s="235">
        <f t="shared" si="142"/>
        <v>0</v>
      </c>
      <c r="I201" s="235">
        <f t="shared" si="142"/>
        <v>0</v>
      </c>
    </row>
    <row r="202" spans="2:9" s="151" customFormat="1" x14ac:dyDescent="0.2">
      <c r="B202" s="155">
        <v>9</v>
      </c>
      <c r="C202" s="145" t="str">
        <f t="shared" si="133"/>
        <v>Aire acondicionado</v>
      </c>
      <c r="E202" s="145" t="str">
        <f t="shared" si="135"/>
        <v>MXN/año</v>
      </c>
      <c r="G202" s="235">
        <f t="shared" ref="G202:I202" si="143">$K119*G132</f>
        <v>0</v>
      </c>
      <c r="H202" s="235">
        <f t="shared" si="143"/>
        <v>0</v>
      </c>
      <c r="I202" s="235">
        <f t="shared" si="143"/>
        <v>0</v>
      </c>
    </row>
    <row r="203" spans="2:9" s="151" customFormat="1" x14ac:dyDescent="0.2">
      <c r="G203" s="3"/>
      <c r="H203" s="3"/>
      <c r="I203" s="3"/>
    </row>
    <row r="204" spans="2:9" s="151" customFormat="1" x14ac:dyDescent="0.2">
      <c r="C204" s="105" t="s">
        <v>599</v>
      </c>
      <c r="G204" s="3"/>
      <c r="H204" s="3"/>
      <c r="I204" s="3"/>
    </row>
    <row r="205" spans="2:9" s="151" customFormat="1" x14ac:dyDescent="0.2">
      <c r="C205" s="145" t="str">
        <f t="array" ref="C205:C208">servicios</f>
        <v>Espacio en piso</v>
      </c>
      <c r="E205" s="145" t="str">
        <f t="shared" ref="E205:E208" si="144">$E$123</f>
        <v>MXN/año</v>
      </c>
      <c r="G205" s="244">
        <f>SUM(G194,G196:G200)</f>
        <v>0</v>
      </c>
      <c r="H205" s="244">
        <f t="shared" ref="H205:I205" si="145">SUM(H194,H196:H200)</f>
        <v>0</v>
      </c>
      <c r="I205" s="244">
        <f t="shared" si="145"/>
        <v>0</v>
      </c>
    </row>
    <row r="206" spans="2:9" s="151" customFormat="1" x14ac:dyDescent="0.2">
      <c r="C206" s="145" t="str">
        <v>Espacio en torre</v>
      </c>
      <c r="E206" s="145" t="str">
        <f t="shared" si="144"/>
        <v>MXN/año</v>
      </c>
      <c r="G206" s="244">
        <f>G195</f>
        <v>0</v>
      </c>
      <c r="H206" s="244">
        <f t="shared" ref="H206:I206" si="146">H195</f>
        <v>0</v>
      </c>
      <c r="I206" s="244">
        <f t="shared" si="146"/>
        <v>0</v>
      </c>
    </row>
    <row r="207" spans="2:9" s="151" customFormat="1" x14ac:dyDescent="0.2">
      <c r="C207" s="145" t="str">
        <v>Fuente de energia de respaldo</v>
      </c>
      <c r="E207" s="145" t="str">
        <f t="shared" si="144"/>
        <v>MXN/año</v>
      </c>
      <c r="G207" s="244">
        <f>G201</f>
        <v>0</v>
      </c>
      <c r="H207" s="244">
        <f t="shared" ref="H207:I207" si="147">H201</f>
        <v>0</v>
      </c>
      <c r="I207" s="244">
        <f t="shared" si="147"/>
        <v>0</v>
      </c>
    </row>
    <row r="208" spans="2:9" s="151" customFormat="1" x14ac:dyDescent="0.2">
      <c r="C208" s="145" t="str">
        <v>Aire acondicionado</v>
      </c>
      <c r="E208" s="145" t="str">
        <f t="shared" si="144"/>
        <v>MXN/año</v>
      </c>
      <c r="G208" s="244">
        <f>G202</f>
        <v>0</v>
      </c>
      <c r="H208" s="244">
        <f t="shared" ref="H208:I208" si="148">H202</f>
        <v>0</v>
      </c>
      <c r="I208" s="244">
        <f t="shared" si="148"/>
        <v>0</v>
      </c>
    </row>
    <row r="209" spans="1:22" s="151" customFormat="1" x14ac:dyDescent="0.2">
      <c r="G209" s="3"/>
      <c r="H209" s="3"/>
      <c r="I209" s="3"/>
    </row>
    <row r="210" spans="1:22" s="151" customFormat="1" x14ac:dyDescent="0.2">
      <c r="A210" s="156" t="s">
        <v>583</v>
      </c>
      <c r="B210" s="143"/>
      <c r="C210" s="143"/>
      <c r="D210" s="143"/>
      <c r="E210" s="143"/>
      <c r="F210" s="143"/>
      <c r="G210" s="248"/>
      <c r="H210" s="248"/>
      <c r="I210" s="249"/>
      <c r="J210" s="143"/>
      <c r="K210" s="143"/>
      <c r="L210" s="143"/>
      <c r="M210" s="143"/>
      <c r="N210" s="143"/>
      <c r="O210" s="143"/>
      <c r="P210" s="143"/>
      <c r="Q210" s="143"/>
      <c r="R210" s="143"/>
      <c r="S210" s="143"/>
      <c r="T210" s="143"/>
      <c r="U210" s="143"/>
      <c r="V210" s="143"/>
    </row>
    <row r="211" spans="1:22" x14ac:dyDescent="0.2">
      <c r="B211" s="160" t="s">
        <v>584</v>
      </c>
      <c r="C211" s="160"/>
      <c r="D211" s="160"/>
      <c r="E211" s="160"/>
      <c r="F211" s="160"/>
      <c r="G211" s="250"/>
      <c r="H211" s="250"/>
      <c r="I211" s="250"/>
      <c r="J211" s="160"/>
      <c r="K211" s="160"/>
      <c r="L211" s="160"/>
      <c r="M211" s="160"/>
      <c r="N211" s="160"/>
      <c r="O211" s="160"/>
      <c r="P211" s="160"/>
      <c r="Q211" s="160"/>
      <c r="R211" s="160"/>
      <c r="S211" s="160"/>
      <c r="T211" s="160"/>
      <c r="U211" s="160"/>
      <c r="V211" s="160"/>
    </row>
    <row r="212" spans="1:22" x14ac:dyDescent="0.2">
      <c r="B212" s="151"/>
      <c r="C212" s="105" t="s">
        <v>97</v>
      </c>
      <c r="D212" s="151"/>
      <c r="E212" s="204" t="s">
        <v>271</v>
      </c>
      <c r="F212" s="151"/>
      <c r="G212" s="246" t="s">
        <v>262</v>
      </c>
      <c r="H212" s="246" t="s">
        <v>534</v>
      </c>
      <c r="I212" s="247" t="s">
        <v>535</v>
      </c>
    </row>
    <row r="213" spans="1:22" x14ac:dyDescent="0.2">
      <c r="B213" s="155">
        <v>1</v>
      </c>
      <c r="C213" s="145" t="str">
        <f t="shared" ref="C213:C221" si="149">INDEX(lista.activos,B213)</f>
        <v>Predio</v>
      </c>
      <c r="D213" s="151"/>
      <c r="E213" s="151" t="s">
        <v>227</v>
      </c>
      <c r="F213" s="151"/>
      <c r="G213" s="230">
        <f>IF($G104=0,0,G124/$G104)</f>
        <v>0</v>
      </c>
      <c r="H213" s="230">
        <f t="shared" ref="H213:I213" si="150">IF($G104=0,0,H124/$G104)</f>
        <v>228.20497314241678</v>
      </c>
      <c r="I213" s="230">
        <f t="shared" si="150"/>
        <v>228.20497314241678</v>
      </c>
    </row>
    <row r="214" spans="1:22" x14ac:dyDescent="0.2">
      <c r="B214" s="155">
        <v>2</v>
      </c>
      <c r="C214" s="145" t="str">
        <f t="shared" si="149"/>
        <v>Torre</v>
      </c>
      <c r="D214" s="151"/>
      <c r="E214" s="151" t="s">
        <v>150</v>
      </c>
      <c r="F214" s="151"/>
      <c r="G214" s="230">
        <f>IF($G112=0,0,G125/$G112)</f>
        <v>249130.10194903053</v>
      </c>
      <c r="H214" s="230">
        <f t="shared" ref="H214:I214" si="151">IF($G112=0,0,H125/$G112)</f>
        <v>66149.408878800052</v>
      </c>
      <c r="I214" s="230">
        <f t="shared" si="151"/>
        <v>315279.51082783059</v>
      </c>
    </row>
    <row r="215" spans="1:22" x14ac:dyDescent="0.2">
      <c r="B215" s="155">
        <v>3</v>
      </c>
      <c r="C215" s="145" t="str">
        <f t="shared" si="149"/>
        <v>Caseta (shelter) AEP</v>
      </c>
      <c r="D215" s="151"/>
      <c r="E215" s="151" t="s">
        <v>150</v>
      </c>
      <c r="F215" s="151"/>
      <c r="G215" s="230">
        <f t="shared" ref="G215:I215" si="152">IF($G113=0,0,G126/$G113)</f>
        <v>0</v>
      </c>
      <c r="H215" s="230">
        <f t="shared" si="152"/>
        <v>0</v>
      </c>
      <c r="I215" s="230">
        <f t="shared" si="152"/>
        <v>0</v>
      </c>
    </row>
    <row r="216" spans="1:22" x14ac:dyDescent="0.2">
      <c r="B216" s="155">
        <v>4</v>
      </c>
      <c r="C216" s="145" t="str">
        <f t="shared" si="149"/>
        <v>Caseta (shelter) CSs</v>
      </c>
      <c r="D216" s="151"/>
      <c r="E216" s="151" t="s">
        <v>150</v>
      </c>
      <c r="F216" s="151"/>
      <c r="G216" s="230">
        <f t="shared" ref="G216:I216" si="153">IF($G114=0,0,G127/$G114)</f>
        <v>0</v>
      </c>
      <c r="H216" s="230">
        <f t="shared" si="153"/>
        <v>0</v>
      </c>
      <c r="I216" s="230">
        <f t="shared" si="153"/>
        <v>0</v>
      </c>
    </row>
    <row r="217" spans="1:22" x14ac:dyDescent="0.2">
      <c r="B217" s="155">
        <v>5</v>
      </c>
      <c r="C217" s="145" t="str">
        <f t="shared" si="149"/>
        <v>Plancha de concreto - Equipos outdoor (BTS/BBS)</v>
      </c>
      <c r="D217" s="151"/>
      <c r="E217" s="151" t="s">
        <v>150</v>
      </c>
      <c r="F217" s="151"/>
      <c r="G217" s="230">
        <f t="shared" ref="G217:I217" si="154">IF($G115=0,0,G128/$G115)</f>
        <v>564.07564982278529</v>
      </c>
      <c r="H217" s="230">
        <f t="shared" si="154"/>
        <v>35.714082902400001</v>
      </c>
      <c r="I217" s="230">
        <f t="shared" si="154"/>
        <v>599.78973272518522</v>
      </c>
    </row>
    <row r="218" spans="1:22" x14ac:dyDescent="0.2">
      <c r="B218" s="155">
        <v>6</v>
      </c>
      <c r="C218" s="145" t="str">
        <f t="shared" si="149"/>
        <v>Nicho de acometida - Panel de energia principal</v>
      </c>
      <c r="D218" s="151"/>
      <c r="E218" s="151" t="s">
        <v>150</v>
      </c>
      <c r="F218" s="151"/>
      <c r="G218" s="230">
        <f t="shared" ref="G218:I218" si="155">IF($G116=0,0,G129/$G116)</f>
        <v>0</v>
      </c>
      <c r="H218" s="230">
        <f t="shared" si="155"/>
        <v>0</v>
      </c>
      <c r="I218" s="230">
        <f t="shared" si="155"/>
        <v>0</v>
      </c>
    </row>
    <row r="219" spans="1:22" x14ac:dyDescent="0.2">
      <c r="B219" s="155">
        <v>7</v>
      </c>
      <c r="C219" s="145" t="str">
        <f t="shared" si="149"/>
        <v>Nicho de acometida - Panel de distribuición de energia</v>
      </c>
      <c r="D219" s="151"/>
      <c r="E219" s="151" t="s">
        <v>150</v>
      </c>
      <c r="F219" s="151"/>
      <c r="G219" s="230">
        <f t="shared" ref="G219:I219" si="156">IF($G117=0,0,G130/$G117)</f>
        <v>0</v>
      </c>
      <c r="H219" s="230">
        <f t="shared" si="156"/>
        <v>0</v>
      </c>
      <c r="I219" s="230">
        <f t="shared" si="156"/>
        <v>0</v>
      </c>
    </row>
    <row r="220" spans="1:22" x14ac:dyDescent="0.2">
      <c r="B220" s="155">
        <v>8</v>
      </c>
      <c r="C220" s="145" t="str">
        <f t="shared" si="149"/>
        <v>Fuente de energía de respaldo</v>
      </c>
      <c r="D220" s="151"/>
      <c r="E220" s="126" t="s">
        <v>895</v>
      </c>
      <c r="F220" s="151"/>
      <c r="G220" s="230">
        <f t="shared" ref="G220:I220" si="157">IF($G118=0,0,G131/$G118)</f>
        <v>0</v>
      </c>
      <c r="H220" s="230">
        <f t="shared" si="157"/>
        <v>0</v>
      </c>
      <c r="I220" s="230">
        <f t="shared" si="157"/>
        <v>0</v>
      </c>
    </row>
    <row r="221" spans="1:22" s="151" customFormat="1" x14ac:dyDescent="0.2">
      <c r="B221" s="155">
        <v>9</v>
      </c>
      <c r="C221" s="145" t="str">
        <f t="shared" si="149"/>
        <v>Aire acondicionado</v>
      </c>
      <c r="E221" s="151" t="s">
        <v>286</v>
      </c>
      <c r="G221" s="230">
        <f t="shared" ref="G221:I221" si="158">IF($G119=0,0,G132/$G119)</f>
        <v>0</v>
      </c>
      <c r="H221" s="230">
        <f t="shared" si="158"/>
        <v>0</v>
      </c>
      <c r="I221" s="230">
        <f t="shared" si="158"/>
        <v>0</v>
      </c>
    </row>
    <row r="222" spans="1:22" x14ac:dyDescent="0.2">
      <c r="G222" s="3"/>
      <c r="H222" s="3"/>
      <c r="I222" s="3"/>
    </row>
    <row r="223" spans="1:22" x14ac:dyDescent="0.2">
      <c r="C223" s="105" t="s">
        <v>599</v>
      </c>
      <c r="D223" s="151"/>
      <c r="E223" s="151"/>
      <c r="F223" s="151"/>
      <c r="G223" s="3"/>
      <c r="H223" s="3"/>
      <c r="I223" s="3"/>
    </row>
    <row r="224" spans="1:22" x14ac:dyDescent="0.2">
      <c r="C224" s="151" t="str">
        <f t="array" ref="C224:C227">servicios</f>
        <v>Espacio en piso</v>
      </c>
      <c r="D224" s="151"/>
      <c r="E224" s="151" t="s">
        <v>602</v>
      </c>
      <c r="F224" s="151"/>
      <c r="G224" s="244">
        <f>SUM(G213,G215:G219)</f>
        <v>564.07564982278529</v>
      </c>
      <c r="H224" s="244">
        <f t="shared" ref="H224:I224" si="159">SUM(H213,H215:H219)</f>
        <v>263.91905604481678</v>
      </c>
      <c r="I224" s="244">
        <f t="shared" si="159"/>
        <v>827.99470586760197</v>
      </c>
    </row>
    <row r="225" spans="3:10" x14ac:dyDescent="0.2">
      <c r="C225" s="151" t="str">
        <v>Espacio en torre</v>
      </c>
      <c r="D225" s="151"/>
      <c r="E225" s="151" t="s">
        <v>604</v>
      </c>
      <c r="F225" s="151"/>
      <c r="G225" s="244">
        <f>G214</f>
        <v>249130.10194903053</v>
      </c>
      <c r="H225" s="244">
        <f t="shared" ref="H225:I225" si="160">H214</f>
        <v>66149.408878800052</v>
      </c>
      <c r="I225" s="244">
        <f t="shared" si="160"/>
        <v>315279.51082783059</v>
      </c>
    </row>
    <row r="226" spans="3:10" x14ac:dyDescent="0.2">
      <c r="C226" s="151" t="str">
        <v>Fuente de energia de respaldo</v>
      </c>
      <c r="D226" s="151"/>
      <c r="E226" s="151" t="s">
        <v>897</v>
      </c>
      <c r="F226" s="151"/>
      <c r="G226" s="244">
        <f>G220</f>
        <v>0</v>
      </c>
      <c r="H226" s="244">
        <f t="shared" ref="H226:I226" si="161">H220</f>
        <v>0</v>
      </c>
      <c r="I226" s="244">
        <f t="shared" si="161"/>
        <v>0</v>
      </c>
    </row>
    <row r="227" spans="3:10" x14ac:dyDescent="0.2">
      <c r="C227" s="151" t="str">
        <v>Aire acondicionado</v>
      </c>
      <c r="D227" s="151"/>
      <c r="E227" s="151" t="s">
        <v>603</v>
      </c>
      <c r="F227" s="151"/>
      <c r="G227" s="244">
        <f>G221</f>
        <v>0</v>
      </c>
      <c r="H227" s="244">
        <f t="shared" ref="H227:I227" si="162">H221</f>
        <v>0</v>
      </c>
      <c r="I227" s="244">
        <f t="shared" si="162"/>
        <v>0</v>
      </c>
    </row>
    <row r="228" spans="3:10" x14ac:dyDescent="0.2">
      <c r="C228" s="151"/>
      <c r="D228" s="151"/>
      <c r="E228" s="151"/>
      <c r="F228" s="151"/>
      <c r="G228" s="151"/>
      <c r="I228" s="151"/>
      <c r="J228" s="151"/>
    </row>
  </sheetData>
  <dataValidations disablePrompts="1" count="1">
    <dataValidation type="list" allowBlank="1" showInputMessage="1" showErrorMessage="1" sqref="K22:K30">
      <formula1>inclusion</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ignoredErrors>
    <ignoredError sqref="G6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150"/>
  <sheetViews>
    <sheetView showGridLines="0" defaultGridColor="0" colorId="22" zoomScale="80" zoomScaleNormal="80" workbookViewId="0">
      <pane ySplit="1" topLeftCell="A2" activePane="bottomLeft" state="frozen"/>
      <selection pane="bottomLeft" activeCell="A115" sqref="A115"/>
    </sheetView>
  </sheetViews>
  <sheetFormatPr baseColWidth="10" defaultColWidth="12.7109375" defaultRowHeight="12" x14ac:dyDescent="0.2"/>
  <cols>
    <col min="1" max="1" width="6.7109375" style="151" customWidth="1"/>
    <col min="2" max="2" width="6.28515625" style="151" customWidth="1"/>
    <col min="3" max="3" width="16.7109375" style="151" customWidth="1"/>
    <col min="4" max="8" width="12.7109375" style="151"/>
    <col min="9" max="9" width="28.28515625" style="151" customWidth="1"/>
    <col min="10" max="16384" width="12.7109375" style="151"/>
  </cols>
  <sheetData>
    <row r="1" spans="1:18" s="130" customFormat="1" ht="33.75" customHeight="1" x14ac:dyDescent="0.2">
      <c r="D1" s="127" t="s">
        <v>324</v>
      </c>
      <c r="L1" s="130" t="s">
        <v>114</v>
      </c>
    </row>
    <row r="3" spans="1:18" x14ac:dyDescent="0.2">
      <c r="A3" s="146" t="s">
        <v>323</v>
      </c>
      <c r="B3" s="143"/>
      <c r="C3" s="143"/>
      <c r="D3" s="143"/>
      <c r="E3" s="143"/>
      <c r="F3" s="143"/>
      <c r="G3" s="143"/>
      <c r="H3" s="143"/>
      <c r="I3" s="143"/>
      <c r="J3" s="143"/>
      <c r="K3" s="143"/>
      <c r="L3" s="143"/>
      <c r="M3" s="143"/>
      <c r="N3" s="143"/>
      <c r="O3" s="143"/>
      <c r="P3" s="143"/>
      <c r="Q3" s="143"/>
      <c r="R3" s="143"/>
    </row>
    <row r="4" spans="1:18" x14ac:dyDescent="0.2">
      <c r="B4" s="160" t="s">
        <v>326</v>
      </c>
      <c r="C4" s="160"/>
      <c r="D4" s="160"/>
      <c r="E4" s="160"/>
      <c r="F4" s="160"/>
      <c r="G4" s="160"/>
      <c r="H4" s="160"/>
      <c r="I4" s="160"/>
      <c r="J4" s="160"/>
      <c r="K4" s="160"/>
      <c r="L4" s="160"/>
      <c r="M4" s="160"/>
      <c r="N4" s="160"/>
      <c r="O4" s="160"/>
      <c r="P4" s="160"/>
      <c r="Q4" s="160"/>
      <c r="R4" s="160"/>
    </row>
    <row r="5" spans="1:18" x14ac:dyDescent="0.2">
      <c r="C5" s="159" t="s">
        <v>296</v>
      </c>
      <c r="D5" s="159"/>
      <c r="E5" s="159"/>
      <c r="F5" s="159"/>
      <c r="G5" s="159"/>
      <c r="H5" s="159"/>
      <c r="I5" s="159"/>
      <c r="J5" s="159"/>
      <c r="K5" s="159"/>
      <c r="L5" s="159"/>
      <c r="M5" s="159"/>
      <c r="N5" s="159"/>
      <c r="O5" s="159"/>
      <c r="P5" s="159"/>
      <c r="Q5" s="159"/>
      <c r="R5" s="159"/>
    </row>
    <row r="7" spans="1:18" x14ac:dyDescent="0.2">
      <c r="F7" s="179" t="s">
        <v>257</v>
      </c>
      <c r="G7" s="179" t="s">
        <v>134</v>
      </c>
      <c r="H7" s="179" t="s">
        <v>261</v>
      </c>
      <c r="I7" s="179" t="s">
        <v>322</v>
      </c>
      <c r="J7" s="179" t="s">
        <v>137</v>
      </c>
    </row>
    <row r="8" spans="1:18" x14ac:dyDescent="0.2">
      <c r="C8" s="162" t="s">
        <v>389</v>
      </c>
      <c r="G8" s="154" t="s">
        <v>259</v>
      </c>
      <c r="H8" s="154" t="s">
        <v>1036</v>
      </c>
      <c r="I8" s="154"/>
    </row>
    <row r="9" spans="1:18" x14ac:dyDescent="0.2">
      <c r="C9" s="163" t="s">
        <v>151</v>
      </c>
      <c r="F9" s="153">
        <f>1435+50</f>
        <v>1485</v>
      </c>
    </row>
    <row r="10" spans="1:18" x14ac:dyDescent="0.2">
      <c r="C10" s="163" t="s">
        <v>260</v>
      </c>
      <c r="F10" s="153">
        <v>600</v>
      </c>
    </row>
    <row r="11" spans="1:18" x14ac:dyDescent="0.2">
      <c r="C11" s="163" t="s">
        <v>258</v>
      </c>
      <c r="F11" s="153">
        <v>483</v>
      </c>
    </row>
    <row r="13" spans="1:18" x14ac:dyDescent="0.2">
      <c r="C13" s="162" t="s">
        <v>327</v>
      </c>
    </row>
    <row r="14" spans="1:18" x14ac:dyDescent="0.2">
      <c r="C14" s="163" t="s">
        <v>151</v>
      </c>
      <c r="F14" s="104">
        <f>F9+300</f>
        <v>1785</v>
      </c>
      <c r="J14" s="151" t="s">
        <v>333</v>
      </c>
    </row>
    <row r="15" spans="1:18" x14ac:dyDescent="0.2">
      <c r="C15" s="163" t="s">
        <v>260</v>
      </c>
      <c r="F15" s="104">
        <f>F10+150+150</f>
        <v>900</v>
      </c>
      <c r="J15" s="151" t="s">
        <v>334</v>
      </c>
    </row>
    <row r="16" spans="1:18" x14ac:dyDescent="0.2">
      <c r="C16" s="163" t="s">
        <v>258</v>
      </c>
      <c r="F16" s="104">
        <f>F11+1000+100</f>
        <v>1583</v>
      </c>
      <c r="J16" s="151" t="s">
        <v>330</v>
      </c>
    </row>
    <row r="17" spans="3:18" x14ac:dyDescent="0.2">
      <c r="C17" s="163"/>
    </row>
    <row r="18" spans="3:18" x14ac:dyDescent="0.2">
      <c r="C18" s="162" t="s">
        <v>390</v>
      </c>
    </row>
    <row r="19" spans="3:18" x14ac:dyDescent="0.2">
      <c r="C19" s="163" t="s">
        <v>260</v>
      </c>
      <c r="F19" s="153">
        <v>750</v>
      </c>
      <c r="G19" s="151" t="s">
        <v>259</v>
      </c>
    </row>
    <row r="20" spans="3:18" x14ac:dyDescent="0.2">
      <c r="C20" s="163" t="s">
        <v>258</v>
      </c>
      <c r="F20" s="153">
        <v>1250</v>
      </c>
      <c r="G20" s="151" t="s">
        <v>259</v>
      </c>
    </row>
    <row r="21" spans="3:18" x14ac:dyDescent="0.2">
      <c r="C21" s="178" t="s">
        <v>391</v>
      </c>
      <c r="E21" s="152" t="s">
        <v>422</v>
      </c>
      <c r="F21" s="173">
        <f>F19*F20/million</f>
        <v>0.9375</v>
      </c>
      <c r="G21" s="151" t="s">
        <v>227</v>
      </c>
    </row>
    <row r="23" spans="3:18" x14ac:dyDescent="0.2">
      <c r="C23" s="159" t="s">
        <v>297</v>
      </c>
      <c r="D23" s="159"/>
      <c r="E23" s="159"/>
      <c r="F23" s="159"/>
      <c r="G23" s="159"/>
      <c r="H23" s="159"/>
      <c r="I23" s="159"/>
      <c r="J23" s="159"/>
      <c r="K23" s="159"/>
      <c r="L23" s="159"/>
      <c r="M23" s="159"/>
      <c r="N23" s="159"/>
      <c r="O23" s="159"/>
      <c r="P23" s="159"/>
      <c r="Q23" s="159"/>
      <c r="R23" s="159"/>
    </row>
    <row r="25" spans="3:18" x14ac:dyDescent="0.2">
      <c r="F25" s="179" t="s">
        <v>257</v>
      </c>
      <c r="G25" s="179" t="s">
        <v>134</v>
      </c>
      <c r="H25" s="179" t="s">
        <v>261</v>
      </c>
      <c r="I25" s="179" t="s">
        <v>322</v>
      </c>
      <c r="J25" s="179" t="s">
        <v>137</v>
      </c>
    </row>
    <row r="26" spans="3:18" x14ac:dyDescent="0.2">
      <c r="C26" s="162" t="s">
        <v>389</v>
      </c>
      <c r="G26" s="154" t="s">
        <v>259</v>
      </c>
      <c r="H26" s="154" t="s">
        <v>1036</v>
      </c>
      <c r="I26" s="154"/>
    </row>
    <row r="27" spans="3:18" x14ac:dyDescent="0.2">
      <c r="C27" s="163" t="s">
        <v>151</v>
      </c>
      <c r="F27" s="153">
        <v>1450</v>
      </c>
    </row>
    <row r="28" spans="3:18" x14ac:dyDescent="0.2">
      <c r="C28" s="163" t="s">
        <v>260</v>
      </c>
      <c r="F28" s="153">
        <v>700</v>
      </c>
    </row>
    <row r="29" spans="3:18" x14ac:dyDescent="0.2">
      <c r="C29" s="163" t="s">
        <v>258</v>
      </c>
      <c r="F29" s="153">
        <v>700</v>
      </c>
    </row>
    <row r="31" spans="3:18" x14ac:dyDescent="0.2">
      <c r="C31" s="162" t="s">
        <v>328</v>
      </c>
    </row>
    <row r="32" spans="3:18" x14ac:dyDescent="0.2">
      <c r="C32" s="163" t="s">
        <v>151</v>
      </c>
      <c r="F32" s="104">
        <f>F27+500</f>
        <v>1950</v>
      </c>
      <c r="J32" s="151" t="s">
        <v>332</v>
      </c>
    </row>
    <row r="33" spans="3:10" x14ac:dyDescent="0.2">
      <c r="C33" s="163" t="s">
        <v>260</v>
      </c>
      <c r="F33" s="104">
        <f>F28+150+150</f>
        <v>1000</v>
      </c>
      <c r="J33" s="151" t="s">
        <v>331</v>
      </c>
    </row>
    <row r="34" spans="3:10" x14ac:dyDescent="0.2">
      <c r="C34" s="163" t="s">
        <v>258</v>
      </c>
      <c r="F34" s="104">
        <f>F29+700+200</f>
        <v>1600</v>
      </c>
      <c r="J34" s="151" t="s">
        <v>329</v>
      </c>
    </row>
    <row r="35" spans="3:10" x14ac:dyDescent="0.2">
      <c r="C35" s="163"/>
    </row>
    <row r="36" spans="3:10" x14ac:dyDescent="0.2">
      <c r="C36" s="162" t="s">
        <v>390</v>
      </c>
    </row>
    <row r="37" spans="3:10" x14ac:dyDescent="0.2">
      <c r="C37" s="163" t="s">
        <v>260</v>
      </c>
      <c r="F37" s="153">
        <v>850</v>
      </c>
      <c r="G37" s="151" t="s">
        <v>259</v>
      </c>
    </row>
    <row r="38" spans="3:10" x14ac:dyDescent="0.2">
      <c r="C38" s="163" t="s">
        <v>258</v>
      </c>
      <c r="F38" s="153">
        <v>1600</v>
      </c>
      <c r="G38" s="151" t="s">
        <v>259</v>
      </c>
    </row>
    <row r="39" spans="3:10" x14ac:dyDescent="0.2">
      <c r="C39" s="178" t="s">
        <v>391</v>
      </c>
      <c r="E39" s="152" t="s">
        <v>982</v>
      </c>
      <c r="F39" s="173">
        <f>F37*F38/million</f>
        <v>1.36</v>
      </c>
      <c r="G39" s="151" t="s">
        <v>227</v>
      </c>
    </row>
    <row r="41" spans="3:10" x14ac:dyDescent="0.2">
      <c r="F41" s="179" t="s">
        <v>257</v>
      </c>
      <c r="G41" s="179" t="s">
        <v>134</v>
      </c>
      <c r="H41" s="179" t="s">
        <v>261</v>
      </c>
      <c r="I41" s="179" t="s">
        <v>322</v>
      </c>
      <c r="J41" s="179" t="s">
        <v>137</v>
      </c>
    </row>
    <row r="42" spans="3:10" x14ac:dyDescent="0.2">
      <c r="C42" s="162" t="s">
        <v>389</v>
      </c>
      <c r="G42" s="154" t="s">
        <v>259</v>
      </c>
      <c r="H42" s="154" t="s">
        <v>318</v>
      </c>
    </row>
    <row r="43" spans="3:10" x14ac:dyDescent="0.2">
      <c r="C43" s="163" t="s">
        <v>151</v>
      </c>
      <c r="F43" s="335">
        <v>1065.8</v>
      </c>
    </row>
    <row r="44" spans="3:10" x14ac:dyDescent="0.2">
      <c r="C44" s="163" t="s">
        <v>260</v>
      </c>
      <c r="F44" s="335">
        <v>594</v>
      </c>
    </row>
    <row r="45" spans="3:10" x14ac:dyDescent="0.2">
      <c r="C45" s="163" t="s">
        <v>258</v>
      </c>
      <c r="F45" s="335">
        <v>1081</v>
      </c>
    </row>
    <row r="47" spans="3:10" x14ac:dyDescent="0.2">
      <c r="C47" s="162" t="s">
        <v>328</v>
      </c>
    </row>
    <row r="48" spans="3:10" x14ac:dyDescent="0.2">
      <c r="C48" s="163" t="s">
        <v>151</v>
      </c>
      <c r="F48" s="104">
        <f>F43+500</f>
        <v>1565.8</v>
      </c>
      <c r="J48" s="151" t="s">
        <v>332</v>
      </c>
    </row>
    <row r="49" spans="2:18" x14ac:dyDescent="0.2">
      <c r="C49" s="163" t="s">
        <v>260</v>
      </c>
      <c r="F49" s="104">
        <f>F44+150+150</f>
        <v>894</v>
      </c>
      <c r="J49" s="151" t="s">
        <v>331</v>
      </c>
    </row>
    <row r="50" spans="2:18" x14ac:dyDescent="0.2">
      <c r="C50" s="163" t="s">
        <v>258</v>
      </c>
      <c r="F50" s="104">
        <f>F45+700+200</f>
        <v>1981</v>
      </c>
      <c r="J50" s="151" t="s">
        <v>329</v>
      </c>
    </row>
    <row r="51" spans="2:18" x14ac:dyDescent="0.2">
      <c r="C51" s="163"/>
    </row>
    <row r="52" spans="2:18" x14ac:dyDescent="0.2">
      <c r="C52" s="162" t="s">
        <v>390</v>
      </c>
    </row>
    <row r="53" spans="2:18" x14ac:dyDescent="0.2">
      <c r="C53" s="163" t="s">
        <v>260</v>
      </c>
      <c r="F53" s="153">
        <f>F49-150</f>
        <v>744</v>
      </c>
      <c r="G53" s="151" t="s">
        <v>259</v>
      </c>
    </row>
    <row r="54" spans="2:18" x14ac:dyDescent="0.2">
      <c r="C54" s="163" t="s">
        <v>258</v>
      </c>
      <c r="F54" s="153">
        <f>F50</f>
        <v>1981</v>
      </c>
      <c r="G54" s="151" t="s">
        <v>259</v>
      </c>
    </row>
    <row r="55" spans="2:18" x14ac:dyDescent="0.2">
      <c r="C55" s="178" t="s">
        <v>391</v>
      </c>
      <c r="E55" s="152" t="s">
        <v>686</v>
      </c>
      <c r="F55" s="173">
        <f>F53*F54/million</f>
        <v>1.4738640000000001</v>
      </c>
      <c r="G55" s="151" t="s">
        <v>227</v>
      </c>
    </row>
    <row r="58" spans="2:18" x14ac:dyDescent="0.2">
      <c r="C58" s="164" t="s">
        <v>984</v>
      </c>
      <c r="E58" s="152" t="s">
        <v>423</v>
      </c>
      <c r="F58" s="173">
        <f>IF(dimensiones.gabinete.activo=L!C248,'Caracteristicas tecnicas'!area.BTS.outdoor.AEP,area.BTS.outdoor.proveedor)</f>
        <v>1.4738640000000001</v>
      </c>
      <c r="G58" s="151" t="s">
        <v>227</v>
      </c>
    </row>
    <row r="62" spans="2:18" x14ac:dyDescent="0.2">
      <c r="B62" s="160" t="s">
        <v>272</v>
      </c>
      <c r="C62" s="160"/>
      <c r="D62" s="160"/>
      <c r="E62" s="160"/>
      <c r="F62" s="160"/>
      <c r="G62" s="160"/>
      <c r="H62" s="160"/>
      <c r="I62" s="160"/>
      <c r="J62" s="160"/>
      <c r="K62" s="160"/>
      <c r="L62" s="160"/>
      <c r="M62" s="160"/>
      <c r="N62" s="160"/>
      <c r="O62" s="160"/>
      <c r="P62" s="160"/>
      <c r="Q62" s="160"/>
      <c r="R62" s="160"/>
    </row>
    <row r="64" spans="2:18" x14ac:dyDescent="0.2">
      <c r="F64" s="159" t="s">
        <v>257</v>
      </c>
      <c r="G64" s="159" t="s">
        <v>134</v>
      </c>
      <c r="H64" s="159" t="s">
        <v>261</v>
      </c>
    </row>
    <row r="65" spans="3:8" x14ac:dyDescent="0.2">
      <c r="C65" s="162" t="s">
        <v>315</v>
      </c>
      <c r="H65" s="151" t="s">
        <v>1029</v>
      </c>
    </row>
    <row r="66" spans="3:8" x14ac:dyDescent="0.2">
      <c r="C66" s="163" t="s">
        <v>151</v>
      </c>
      <c r="F66" s="153">
        <v>3050</v>
      </c>
      <c r="G66" s="151" t="s">
        <v>259</v>
      </c>
    </row>
    <row r="67" spans="3:8" x14ac:dyDescent="0.2">
      <c r="C67" s="163" t="s">
        <v>260</v>
      </c>
      <c r="F67" s="153">
        <v>2500</v>
      </c>
      <c r="G67" s="151" t="s">
        <v>259</v>
      </c>
    </row>
    <row r="68" spans="3:8" x14ac:dyDescent="0.2">
      <c r="C68" s="163" t="s">
        <v>258</v>
      </c>
      <c r="F68" s="153">
        <v>6600</v>
      </c>
      <c r="G68" s="151" t="s">
        <v>259</v>
      </c>
    </row>
    <row r="70" spans="3:8" x14ac:dyDescent="0.2">
      <c r="C70" s="162" t="s">
        <v>317</v>
      </c>
      <c r="H70" s="151" t="s">
        <v>1029</v>
      </c>
    </row>
    <row r="71" spans="3:8" x14ac:dyDescent="0.2">
      <c r="C71" s="163" t="s">
        <v>151</v>
      </c>
      <c r="F71" s="153">
        <v>3350</v>
      </c>
      <c r="G71" s="151" t="s">
        <v>259</v>
      </c>
    </row>
    <row r="72" spans="3:8" x14ac:dyDescent="0.2">
      <c r="C72" s="163" t="s">
        <v>260</v>
      </c>
      <c r="F72" s="153">
        <v>2700</v>
      </c>
      <c r="G72" s="151" t="s">
        <v>259</v>
      </c>
    </row>
    <row r="73" spans="3:8" x14ac:dyDescent="0.2">
      <c r="C73" s="163" t="s">
        <v>258</v>
      </c>
      <c r="F73" s="153">
        <v>6800</v>
      </c>
      <c r="G73" s="151" t="s">
        <v>259</v>
      </c>
    </row>
    <row r="74" spans="3:8" x14ac:dyDescent="0.2">
      <c r="C74" s="163"/>
    </row>
    <row r="75" spans="3:8" x14ac:dyDescent="0.2">
      <c r="C75" s="162" t="s">
        <v>316</v>
      </c>
      <c r="H75" s="151" t="s">
        <v>1029</v>
      </c>
    </row>
    <row r="76" spans="3:8" x14ac:dyDescent="0.2">
      <c r="C76" s="163" t="s">
        <v>151</v>
      </c>
      <c r="F76" s="153"/>
      <c r="G76" s="151" t="s">
        <v>259</v>
      </c>
    </row>
    <row r="77" spans="3:8" x14ac:dyDescent="0.2">
      <c r="C77" s="163" t="s">
        <v>260</v>
      </c>
      <c r="F77" s="153">
        <v>2900</v>
      </c>
      <c r="G77" s="151" t="s">
        <v>259</v>
      </c>
    </row>
    <row r="78" spans="3:8" x14ac:dyDescent="0.2">
      <c r="C78" s="163" t="s">
        <v>258</v>
      </c>
      <c r="F78" s="153">
        <v>7000</v>
      </c>
      <c r="G78" s="151" t="s">
        <v>259</v>
      </c>
    </row>
    <row r="80" spans="3:8" x14ac:dyDescent="0.2">
      <c r="C80" s="162" t="s">
        <v>278</v>
      </c>
    </row>
    <row r="81" spans="2:18" x14ac:dyDescent="0.2">
      <c r="C81" s="163" t="s">
        <v>260</v>
      </c>
      <c r="F81" s="153">
        <v>400</v>
      </c>
      <c r="G81" s="151" t="s">
        <v>259</v>
      </c>
    </row>
    <row r="82" spans="2:18" x14ac:dyDescent="0.2">
      <c r="C82" s="163" t="s">
        <v>258</v>
      </c>
      <c r="F82" s="153">
        <v>1200</v>
      </c>
      <c r="G82" s="151" t="s">
        <v>259</v>
      </c>
    </row>
    <row r="83" spans="2:18" x14ac:dyDescent="0.2">
      <c r="C83" s="163"/>
      <c r="E83" s="152" t="s">
        <v>827</v>
      </c>
      <c r="F83" s="104">
        <f>F81*F82/million</f>
        <v>0.48</v>
      </c>
      <c r="G83" s="158" t="s">
        <v>227</v>
      </c>
    </row>
    <row r="85" spans="2:18" x14ac:dyDescent="0.2">
      <c r="C85" s="162" t="s">
        <v>280</v>
      </c>
    </row>
    <row r="86" spans="2:18" x14ac:dyDescent="0.2">
      <c r="C86" s="163" t="s">
        <v>260</v>
      </c>
      <c r="F86" s="153">
        <v>450</v>
      </c>
      <c r="G86" s="151" t="s">
        <v>259</v>
      </c>
    </row>
    <row r="87" spans="2:18" x14ac:dyDescent="0.2">
      <c r="C87" s="163" t="s">
        <v>258</v>
      </c>
      <c r="F87" s="153">
        <v>250</v>
      </c>
      <c r="G87" s="151" t="s">
        <v>259</v>
      </c>
    </row>
    <row r="88" spans="2:18" x14ac:dyDescent="0.2">
      <c r="C88" s="163"/>
      <c r="E88" s="152" t="s">
        <v>828</v>
      </c>
      <c r="F88" s="173">
        <f>F86*F87/million</f>
        <v>0.1125</v>
      </c>
      <c r="G88" s="158" t="s">
        <v>227</v>
      </c>
    </row>
    <row r="90" spans="2:18" x14ac:dyDescent="0.2">
      <c r="B90" s="160" t="s">
        <v>273</v>
      </c>
      <c r="C90" s="160"/>
      <c r="D90" s="160"/>
      <c r="E90" s="160"/>
      <c r="F90" s="160"/>
      <c r="G90" s="160"/>
      <c r="H90" s="160"/>
      <c r="I90" s="160"/>
      <c r="J90" s="160"/>
      <c r="K90" s="160"/>
      <c r="L90" s="160"/>
      <c r="M90" s="160"/>
      <c r="N90" s="160"/>
      <c r="O90" s="160"/>
      <c r="P90" s="160"/>
      <c r="Q90" s="160"/>
      <c r="R90" s="160"/>
    </row>
    <row r="92" spans="2:18" x14ac:dyDescent="0.2">
      <c r="C92" s="154" t="s">
        <v>274</v>
      </c>
    </row>
    <row r="93" spans="2:18" x14ac:dyDescent="0.2">
      <c r="C93" s="164" t="s">
        <v>153</v>
      </c>
    </row>
    <row r="94" spans="2:18" x14ac:dyDescent="0.2">
      <c r="D94" s="164" t="s">
        <v>275</v>
      </c>
    </row>
    <row r="95" spans="2:18" x14ac:dyDescent="0.2">
      <c r="D95" s="163" t="s">
        <v>260</v>
      </c>
      <c r="E95" s="171">
        <v>7</v>
      </c>
      <c r="F95" s="151" t="s">
        <v>239</v>
      </c>
    </row>
    <row r="96" spans="2:18" x14ac:dyDescent="0.2">
      <c r="D96" s="163" t="s">
        <v>258</v>
      </c>
      <c r="E96" s="171">
        <v>5</v>
      </c>
      <c r="F96" s="151" t="s">
        <v>239</v>
      </c>
    </row>
    <row r="98" spans="1:18" x14ac:dyDescent="0.2">
      <c r="D98" s="164" t="s">
        <v>276</v>
      </c>
    </row>
    <row r="99" spans="1:18" x14ac:dyDescent="0.2">
      <c r="D99" s="163" t="s">
        <v>260</v>
      </c>
      <c r="E99" s="171">
        <v>10</v>
      </c>
      <c r="F99" s="151" t="s">
        <v>239</v>
      </c>
    </row>
    <row r="100" spans="1:18" x14ac:dyDescent="0.2">
      <c r="D100" s="163" t="s">
        <v>258</v>
      </c>
      <c r="E100" s="171">
        <v>8</v>
      </c>
      <c r="F100" s="151" t="s">
        <v>239</v>
      </c>
    </row>
    <row r="102" spans="1:18" x14ac:dyDescent="0.2">
      <c r="C102" s="164" t="s">
        <v>277</v>
      </c>
    </row>
    <row r="103" spans="1:18" x14ac:dyDescent="0.2">
      <c r="D103" s="163" t="s">
        <v>260</v>
      </c>
      <c r="E103" s="171">
        <v>4</v>
      </c>
      <c r="F103" s="151" t="s">
        <v>239</v>
      </c>
    </row>
    <row r="104" spans="1:18" x14ac:dyDescent="0.2">
      <c r="D104" s="163" t="s">
        <v>258</v>
      </c>
      <c r="E104" s="171">
        <v>4</v>
      </c>
      <c r="F104" s="151" t="s">
        <v>239</v>
      </c>
    </row>
    <row r="107" spans="1:18" x14ac:dyDescent="0.2">
      <c r="A107" s="146" t="s">
        <v>478</v>
      </c>
      <c r="B107" s="143"/>
      <c r="C107" s="143"/>
      <c r="D107" s="143"/>
      <c r="E107" s="143"/>
      <c r="F107" s="143"/>
      <c r="G107" s="143"/>
      <c r="H107" s="143"/>
      <c r="I107" s="143"/>
      <c r="J107" s="143"/>
      <c r="K107" s="143"/>
      <c r="L107" s="143"/>
      <c r="M107" s="143"/>
      <c r="N107" s="143"/>
      <c r="O107" s="143"/>
      <c r="P107" s="143"/>
      <c r="Q107" s="143"/>
      <c r="R107" s="143"/>
    </row>
    <row r="109" spans="1:18" x14ac:dyDescent="0.2">
      <c r="F109" s="179" t="s">
        <v>257</v>
      </c>
      <c r="G109" s="179" t="s">
        <v>134</v>
      </c>
      <c r="H109" s="179" t="s">
        <v>261</v>
      </c>
      <c r="I109" s="179" t="s">
        <v>322</v>
      </c>
      <c r="J109" s="179" t="s">
        <v>137</v>
      </c>
    </row>
    <row r="110" spans="1:18" x14ac:dyDescent="0.2">
      <c r="C110" s="163" t="s">
        <v>151</v>
      </c>
      <c r="F110" s="153">
        <v>2000</v>
      </c>
      <c r="G110" s="174" t="s">
        <v>259</v>
      </c>
      <c r="H110" s="154"/>
      <c r="I110" s="154"/>
    </row>
    <row r="111" spans="1:18" x14ac:dyDescent="0.2">
      <c r="C111" s="163" t="s">
        <v>260</v>
      </c>
      <c r="F111" s="153">
        <v>300</v>
      </c>
      <c r="G111" s="151" t="s">
        <v>259</v>
      </c>
    </row>
    <row r="112" spans="1:18" x14ac:dyDescent="0.2">
      <c r="C112" s="178" t="s">
        <v>586</v>
      </c>
      <c r="E112" s="152" t="s">
        <v>587</v>
      </c>
      <c r="F112" s="104">
        <f>F110*F111/million</f>
        <v>0.6</v>
      </c>
      <c r="G112" s="151" t="s">
        <v>227</v>
      </c>
    </row>
    <row r="115" spans="1:18" x14ac:dyDescent="0.2">
      <c r="A115" s="146" t="s">
        <v>379</v>
      </c>
      <c r="B115" s="143"/>
      <c r="C115" s="143"/>
      <c r="D115" s="143"/>
      <c r="E115" s="143"/>
      <c r="F115" s="143"/>
      <c r="G115" s="143"/>
      <c r="H115" s="143"/>
      <c r="I115" s="143"/>
      <c r="J115" s="143"/>
      <c r="K115" s="143"/>
      <c r="L115" s="143"/>
      <c r="M115" s="143"/>
      <c r="N115" s="143"/>
      <c r="O115" s="143"/>
      <c r="P115" s="143"/>
      <c r="Q115" s="143"/>
      <c r="R115" s="143"/>
    </row>
    <row r="116" spans="1:18" x14ac:dyDescent="0.2">
      <c r="B116" s="160"/>
      <c r="C116" s="160"/>
      <c r="D116" s="160"/>
      <c r="E116" s="160"/>
      <c r="F116" s="160"/>
      <c r="G116" s="160"/>
      <c r="H116" s="160"/>
      <c r="I116" s="160"/>
      <c r="J116" s="160"/>
      <c r="K116" s="160"/>
      <c r="L116" s="160"/>
      <c r="M116" s="160"/>
      <c r="N116" s="160"/>
      <c r="O116" s="160"/>
      <c r="P116" s="160"/>
      <c r="Q116" s="160"/>
      <c r="R116" s="160"/>
    </row>
    <row r="117" spans="1:18" x14ac:dyDescent="0.2">
      <c r="C117" s="159" t="s">
        <v>335</v>
      </c>
      <c r="D117" s="159"/>
      <c r="E117" s="159"/>
      <c r="F117" s="159"/>
      <c r="G117" s="159"/>
      <c r="H117" s="159"/>
      <c r="I117" s="159"/>
      <c r="J117" s="159"/>
      <c r="K117" s="159"/>
      <c r="L117" s="159"/>
      <c r="M117" s="159"/>
      <c r="N117" s="159"/>
      <c r="O117" s="159"/>
      <c r="P117" s="159"/>
      <c r="Q117" s="159"/>
      <c r="R117" s="159"/>
    </row>
    <row r="118" spans="1:18" ht="24" x14ac:dyDescent="0.2">
      <c r="C118" s="161" t="s">
        <v>339</v>
      </c>
      <c r="D118" s="161" t="s">
        <v>338</v>
      </c>
      <c r="E118" s="161" t="s">
        <v>134</v>
      </c>
    </row>
    <row r="119" spans="1:18" ht="36" x14ac:dyDescent="0.2">
      <c r="C119" s="181" t="s">
        <v>336</v>
      </c>
      <c r="D119" s="177">
        <v>640</v>
      </c>
      <c r="E119" s="177" t="s">
        <v>337</v>
      </c>
      <c r="F119" s="151" t="s">
        <v>196</v>
      </c>
    </row>
    <row r="120" spans="1:18" ht="36" x14ac:dyDescent="0.2">
      <c r="C120" s="182" t="s">
        <v>340</v>
      </c>
      <c r="D120" s="177">
        <v>1100</v>
      </c>
      <c r="E120" s="177" t="s">
        <v>337</v>
      </c>
      <c r="F120" s="151" t="s">
        <v>195</v>
      </c>
    </row>
    <row r="122" spans="1:18" x14ac:dyDescent="0.2">
      <c r="C122" s="159" t="s">
        <v>341</v>
      </c>
      <c r="D122" s="159"/>
      <c r="E122" s="159"/>
      <c r="F122" s="159"/>
      <c r="G122" s="159"/>
      <c r="H122" s="159"/>
      <c r="I122" s="159"/>
      <c r="J122" s="159"/>
      <c r="K122" s="159"/>
      <c r="L122" s="159"/>
      <c r="M122" s="159"/>
      <c r="N122" s="159"/>
      <c r="O122" s="159"/>
      <c r="P122" s="159"/>
      <c r="Q122" s="159"/>
      <c r="R122" s="159"/>
    </row>
    <row r="123" spans="1:18" ht="26.25" customHeight="1" x14ac:dyDescent="0.2">
      <c r="C123" s="161" t="s">
        <v>339</v>
      </c>
      <c r="D123" s="161" t="s">
        <v>338</v>
      </c>
      <c r="E123" s="161" t="s">
        <v>134</v>
      </c>
    </row>
    <row r="124" spans="1:18" x14ac:dyDescent="0.2">
      <c r="C124" s="181" t="s">
        <v>342</v>
      </c>
      <c r="D124" s="177">
        <v>480</v>
      </c>
      <c r="E124" s="177" t="s">
        <v>337</v>
      </c>
    </row>
    <row r="125" spans="1:18" x14ac:dyDescent="0.2">
      <c r="C125" s="181" t="s">
        <v>343</v>
      </c>
      <c r="D125" s="177">
        <v>540</v>
      </c>
      <c r="E125" s="177" t="s">
        <v>337</v>
      </c>
    </row>
    <row r="126" spans="1:18" x14ac:dyDescent="0.2">
      <c r="C126" s="181" t="s">
        <v>344</v>
      </c>
      <c r="D126" s="177">
        <v>630</v>
      </c>
      <c r="E126" s="177" t="s">
        <v>337</v>
      </c>
    </row>
    <row r="127" spans="1:18" ht="24" x14ac:dyDescent="0.2">
      <c r="C127" s="181" t="s">
        <v>345</v>
      </c>
      <c r="D127" s="177">
        <v>320</v>
      </c>
      <c r="E127" s="177" t="s">
        <v>337</v>
      </c>
    </row>
    <row r="128" spans="1:18" x14ac:dyDescent="0.2">
      <c r="C128" s="182" t="s">
        <v>346</v>
      </c>
      <c r="D128" s="177">
        <v>910</v>
      </c>
      <c r="E128" s="177" t="s">
        <v>337</v>
      </c>
    </row>
    <row r="129" spans="1:18" x14ac:dyDescent="0.2">
      <c r="C129" s="182" t="s">
        <v>347</v>
      </c>
      <c r="D129" s="177">
        <v>1030</v>
      </c>
      <c r="E129" s="177" t="s">
        <v>337</v>
      </c>
    </row>
    <row r="130" spans="1:18" x14ac:dyDescent="0.2">
      <c r="C130" s="182" t="s">
        <v>348</v>
      </c>
      <c r="D130" s="177">
        <v>1210</v>
      </c>
      <c r="E130" s="177" t="s">
        <v>337</v>
      </c>
    </row>
    <row r="131" spans="1:18" x14ac:dyDescent="0.2">
      <c r="C131" s="182" t="s">
        <v>349</v>
      </c>
      <c r="D131" s="177">
        <v>570</v>
      </c>
      <c r="E131" s="177" t="s">
        <v>337</v>
      </c>
    </row>
    <row r="132" spans="1:18" x14ac:dyDescent="0.2">
      <c r="C132" s="182" t="s">
        <v>350</v>
      </c>
      <c r="D132" s="177">
        <v>620</v>
      </c>
      <c r="E132" s="177" t="s">
        <v>337</v>
      </c>
    </row>
    <row r="133" spans="1:18" x14ac:dyDescent="0.2">
      <c r="C133" s="182" t="s">
        <v>351</v>
      </c>
      <c r="D133" s="177">
        <v>730</v>
      </c>
      <c r="E133" s="177" t="s">
        <v>337</v>
      </c>
    </row>
    <row r="135" spans="1:18" x14ac:dyDescent="0.2">
      <c r="C135" s="159" t="s">
        <v>352</v>
      </c>
      <c r="D135" s="159"/>
      <c r="E135" s="159"/>
      <c r="F135" s="159"/>
      <c r="G135" s="159"/>
      <c r="H135" s="159"/>
      <c r="I135" s="159"/>
      <c r="J135" s="159"/>
      <c r="K135" s="159"/>
      <c r="L135" s="159"/>
      <c r="M135" s="159"/>
      <c r="N135" s="159"/>
      <c r="O135" s="159"/>
      <c r="P135" s="159"/>
      <c r="Q135" s="159"/>
      <c r="R135" s="159"/>
    </row>
    <row r="136" spans="1:18" ht="24" x14ac:dyDescent="0.2">
      <c r="C136" s="161" t="s">
        <v>339</v>
      </c>
      <c r="D136" s="161" t="s">
        <v>338</v>
      </c>
      <c r="E136" s="161" t="s">
        <v>134</v>
      </c>
    </row>
    <row r="137" spans="1:18" ht="24" x14ac:dyDescent="0.2">
      <c r="C137" s="182" t="s">
        <v>353</v>
      </c>
      <c r="D137" s="177">
        <v>750</v>
      </c>
      <c r="E137" s="177" t="s">
        <v>337</v>
      </c>
    </row>
    <row r="138" spans="1:18" ht="24" x14ac:dyDescent="0.2">
      <c r="C138" s="182" t="s">
        <v>354</v>
      </c>
      <c r="D138" s="177">
        <v>840</v>
      </c>
      <c r="E138" s="177" t="s">
        <v>337</v>
      </c>
    </row>
    <row r="139" spans="1:18" ht="24" x14ac:dyDescent="0.2">
      <c r="C139" s="182" t="s">
        <v>355</v>
      </c>
      <c r="D139" s="177">
        <v>980</v>
      </c>
      <c r="E139" s="177" t="s">
        <v>337</v>
      </c>
    </row>
    <row r="140" spans="1:18" ht="36" x14ac:dyDescent="0.2">
      <c r="C140" s="182" t="s">
        <v>356</v>
      </c>
      <c r="D140" s="177">
        <v>450</v>
      </c>
      <c r="E140" s="177" t="s">
        <v>337</v>
      </c>
    </row>
    <row r="141" spans="1:18" x14ac:dyDescent="0.2">
      <c r="C141" s="177"/>
      <c r="D141" s="177"/>
      <c r="E141" s="177"/>
    </row>
    <row r="142" spans="1:18" x14ac:dyDescent="0.2">
      <c r="A142" s="146" t="s">
        <v>244</v>
      </c>
      <c r="B142" s="143"/>
      <c r="C142" s="143"/>
      <c r="D142" s="143"/>
      <c r="E142" s="143"/>
      <c r="F142" s="143"/>
      <c r="G142" s="143"/>
      <c r="H142" s="143"/>
      <c r="I142" s="143"/>
      <c r="J142" s="143"/>
      <c r="K142" s="143"/>
      <c r="L142" s="143"/>
      <c r="M142" s="143"/>
      <c r="N142" s="143"/>
      <c r="O142" s="143"/>
      <c r="P142" s="143"/>
      <c r="Q142" s="143"/>
      <c r="R142" s="143"/>
    </row>
    <row r="143" spans="1:18" x14ac:dyDescent="0.2">
      <c r="B143" s="160" t="s">
        <v>380</v>
      </c>
      <c r="C143" s="160"/>
      <c r="D143" s="160"/>
      <c r="E143" s="160"/>
      <c r="F143" s="160"/>
      <c r="G143" s="160"/>
      <c r="H143" s="160"/>
      <c r="I143" s="160"/>
      <c r="J143" s="160"/>
      <c r="K143" s="160"/>
      <c r="L143" s="160"/>
      <c r="M143" s="160"/>
      <c r="N143" s="160"/>
      <c r="O143" s="160"/>
      <c r="P143" s="160"/>
      <c r="Q143" s="160"/>
      <c r="R143" s="160"/>
    </row>
    <row r="144" spans="1:18" x14ac:dyDescent="0.2">
      <c r="C144" s="177"/>
      <c r="D144" s="177"/>
      <c r="E144" s="177"/>
    </row>
    <row r="145" spans="2:18" x14ac:dyDescent="0.2">
      <c r="C145" s="161" t="s">
        <v>325</v>
      </c>
      <c r="E145" s="177"/>
    </row>
    <row r="146" spans="2:18" x14ac:dyDescent="0.2">
      <c r="C146" s="177"/>
      <c r="D146" s="177"/>
      <c r="E146" s="177"/>
    </row>
    <row r="148" spans="2:18" x14ac:dyDescent="0.2">
      <c r="B148" s="160" t="s">
        <v>381</v>
      </c>
      <c r="C148" s="160"/>
      <c r="D148" s="160"/>
      <c r="E148" s="160"/>
      <c r="F148" s="160"/>
      <c r="G148" s="160"/>
      <c r="H148" s="160"/>
      <c r="I148" s="160"/>
      <c r="J148" s="160"/>
      <c r="K148" s="160"/>
      <c r="L148" s="160"/>
      <c r="M148" s="160"/>
      <c r="N148" s="160"/>
      <c r="O148" s="160"/>
      <c r="P148" s="160"/>
      <c r="Q148" s="160"/>
      <c r="R148" s="160"/>
    </row>
    <row r="150" spans="2:18" x14ac:dyDescent="0.2">
      <c r="C150" s="161" t="s">
        <v>362</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ignoredErrors>
    <ignoredError sqref="F53:F5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124"/>
  <sheetViews>
    <sheetView showGridLines="0" defaultGridColor="0" colorId="22" zoomScale="80" zoomScaleNormal="80" workbookViewId="0">
      <pane ySplit="1" topLeftCell="A2" activePane="bottomLeft" state="frozen"/>
      <selection pane="bottomLeft"/>
    </sheetView>
  </sheetViews>
  <sheetFormatPr baseColWidth="10" defaultColWidth="12.7109375" defaultRowHeight="12" x14ac:dyDescent="0.2"/>
  <cols>
    <col min="1" max="1" width="6.7109375" style="151" customWidth="1"/>
    <col min="2" max="2" width="17.42578125" style="151" customWidth="1"/>
    <col min="3" max="3" width="19.5703125" style="151" customWidth="1"/>
    <col min="4" max="4" width="17.85546875" style="151" customWidth="1"/>
    <col min="5" max="16384" width="12.7109375" style="151"/>
  </cols>
  <sheetData>
    <row r="1" spans="1:18" s="130" customFormat="1" ht="33.75" customHeight="1" x14ac:dyDescent="0.2">
      <c r="D1" s="127" t="s">
        <v>240</v>
      </c>
      <c r="L1" s="130" t="s">
        <v>114</v>
      </c>
    </row>
    <row r="2" spans="1:18" x14ac:dyDescent="0.2">
      <c r="A2" s="89" t="s">
        <v>154</v>
      </c>
      <c r="B2" s="143"/>
      <c r="C2" s="143"/>
      <c r="D2" s="143"/>
      <c r="E2" s="143"/>
      <c r="F2" s="143"/>
      <c r="G2" s="143"/>
      <c r="H2" s="143"/>
      <c r="I2" s="143"/>
      <c r="J2" s="143"/>
      <c r="K2" s="143"/>
      <c r="L2" s="143"/>
      <c r="M2" s="143"/>
      <c r="N2" s="143"/>
      <c r="O2" s="143"/>
      <c r="P2" s="143"/>
      <c r="Q2" s="143"/>
      <c r="R2" s="143"/>
    </row>
    <row r="4" spans="1:18" x14ac:dyDescent="0.2">
      <c r="B4" s="154" t="s">
        <v>382</v>
      </c>
    </row>
    <row r="5" spans="1:18" x14ac:dyDescent="0.2">
      <c r="B5" s="163" t="s">
        <v>383</v>
      </c>
      <c r="C5" s="104">
        <f>(AVERAGE('Caracteristicas tecnicas'!D120)+AVERAGE('Caracteristicas tecnicas'!D128:D133))/thousand</f>
        <v>1.9450000000000001</v>
      </c>
      <c r="D5" s="152" t="s">
        <v>429</v>
      </c>
      <c r="F5" s="151" t="s">
        <v>444</v>
      </c>
    </row>
    <row r="6" spans="1:18" x14ac:dyDescent="0.2">
      <c r="B6" s="163" t="s">
        <v>352</v>
      </c>
      <c r="C6" s="226">
        <f>(AVERAGE('Caracteristicas tecnicas'!D137:D139))/thousand</f>
        <v>0.85666666666666658</v>
      </c>
      <c r="D6" s="152" t="s">
        <v>430</v>
      </c>
    </row>
    <row r="7" spans="1:18" x14ac:dyDescent="0.2">
      <c r="B7" s="163" t="s">
        <v>966</v>
      </c>
      <c r="C7" s="303">
        <f>(consumo.energia.2G.3G.urbano+consumo.energia.4G.urbano)/3</f>
        <v>0.93388888888888888</v>
      </c>
      <c r="D7" s="152" t="s">
        <v>967</v>
      </c>
    </row>
    <row r="9" spans="1:18" x14ac:dyDescent="0.2">
      <c r="B9" s="154" t="s">
        <v>384</v>
      </c>
    </row>
    <row r="10" spans="1:18" x14ac:dyDescent="0.2">
      <c r="B10" s="163" t="s">
        <v>383</v>
      </c>
      <c r="C10" s="220">
        <f>(AVERAGE('Caracteristicas tecnicas'!D119)+AVERAGE('Caracteristicas tecnicas'!D124:D127))/thousand</f>
        <v>1.1325000000000001</v>
      </c>
      <c r="D10" s="152" t="s">
        <v>431</v>
      </c>
      <c r="F10" s="151" t="s">
        <v>443</v>
      </c>
    </row>
    <row r="11" spans="1:18" x14ac:dyDescent="0.2">
      <c r="B11" s="163" t="s">
        <v>352</v>
      </c>
      <c r="C11" s="225">
        <f>(AVERAGE('Caracteristicas tecnicas'!D137:D139))/thousand</f>
        <v>0.85666666666666658</v>
      </c>
      <c r="D11" s="152" t="s">
        <v>432</v>
      </c>
    </row>
    <row r="12" spans="1:18" x14ac:dyDescent="0.2">
      <c r="B12" s="163" t="s">
        <v>966</v>
      </c>
      <c r="C12" s="303">
        <f>(consumo.energia.2G.3G.rural+consumo.energia.4G.rural)/3</f>
        <v>0.66305555555555562</v>
      </c>
      <c r="D12" s="152" t="s">
        <v>968</v>
      </c>
    </row>
    <row r="15" spans="1:18" x14ac:dyDescent="0.2">
      <c r="B15" s="154" t="s">
        <v>357</v>
      </c>
      <c r="C15" s="154" t="s">
        <v>358</v>
      </c>
      <c r="D15" s="154" t="s">
        <v>363</v>
      </c>
      <c r="E15" s="154" t="s">
        <v>359</v>
      </c>
    </row>
    <row r="16" spans="1:18" x14ac:dyDescent="0.2">
      <c r="B16" s="124">
        <v>190</v>
      </c>
      <c r="C16" s="124">
        <v>48</v>
      </c>
      <c r="D16" s="180">
        <v>1</v>
      </c>
      <c r="E16" s="183">
        <f>B16*C16*D16</f>
        <v>9120</v>
      </c>
    </row>
    <row r="19" spans="2:17" x14ac:dyDescent="0.2">
      <c r="C19" s="154" t="s">
        <v>364</v>
      </c>
      <c r="D19" s="154" t="s">
        <v>365</v>
      </c>
    </row>
    <row r="20" spans="2:17" x14ac:dyDescent="0.2">
      <c r="B20" s="151" t="s">
        <v>375</v>
      </c>
      <c r="C20" s="104">
        <f>1220/thousand</f>
        <v>1.22</v>
      </c>
      <c r="D20" s="153">
        <f>7.6*60</f>
        <v>456</v>
      </c>
      <c r="E20" s="151" t="s">
        <v>373</v>
      </c>
    </row>
    <row r="21" spans="2:17" x14ac:dyDescent="0.2">
      <c r="B21" s="151" t="s">
        <v>376</v>
      </c>
      <c r="C21" s="104">
        <f>1970/thousand</f>
        <v>1.97</v>
      </c>
      <c r="D21" s="153">
        <f>4.4*60</f>
        <v>264</v>
      </c>
      <c r="E21" s="151" t="s">
        <v>374</v>
      </c>
    </row>
    <row r="24" spans="2:17" x14ac:dyDescent="0.2">
      <c r="B24" s="154" t="s">
        <v>372</v>
      </c>
      <c r="C24" s="104">
        <f>(D20-D21)/(C20-C21)</f>
        <v>-256</v>
      </c>
    </row>
    <row r="25" spans="2:17" x14ac:dyDescent="0.2">
      <c r="B25" s="154" t="s">
        <v>377</v>
      </c>
      <c r="C25" s="104">
        <f>-((C24*C20)-D20)</f>
        <v>768.31999999999994</v>
      </c>
    </row>
    <row r="27" spans="2:17" x14ac:dyDescent="0.2">
      <c r="B27" s="159"/>
      <c r="C27" s="159"/>
      <c r="D27" s="159"/>
      <c r="E27" s="159"/>
      <c r="F27" s="159"/>
      <c r="G27" s="159"/>
      <c r="H27" s="159"/>
      <c r="I27" s="159"/>
      <c r="J27" s="159"/>
      <c r="K27" s="159"/>
      <c r="L27" s="159"/>
      <c r="M27" s="159"/>
      <c r="N27" s="159"/>
      <c r="O27" s="159"/>
      <c r="P27" s="159"/>
      <c r="Q27" s="159"/>
    </row>
    <row r="28" spans="2:17" x14ac:dyDescent="0.2">
      <c r="B28" s="154" t="s">
        <v>386</v>
      </c>
    </row>
    <row r="29" spans="2:17" x14ac:dyDescent="0.2">
      <c r="B29" s="174" t="s">
        <v>385</v>
      </c>
      <c r="C29" s="145">
        <f>C5</f>
        <v>1.9450000000000001</v>
      </c>
    </row>
    <row r="30" spans="2:17" x14ac:dyDescent="0.2">
      <c r="B30" s="184" t="s">
        <v>378</v>
      </c>
      <c r="C30" s="175">
        <f>((C29*C24)+C25)/60</f>
        <v>4.506666666666665</v>
      </c>
    </row>
    <row r="32" spans="2:17" x14ac:dyDescent="0.2">
      <c r="B32" s="154" t="s">
        <v>388</v>
      </c>
    </row>
    <row r="33" spans="2:4" x14ac:dyDescent="0.2">
      <c r="B33" s="174" t="s">
        <v>385</v>
      </c>
      <c r="C33" s="202">
        <f>C6</f>
        <v>0.85666666666666658</v>
      </c>
    </row>
    <row r="34" spans="2:4" x14ac:dyDescent="0.2">
      <c r="B34" s="184" t="s">
        <v>378</v>
      </c>
      <c r="C34" s="175">
        <f>((C33*C24)+C25)/60</f>
        <v>9.1502222222222223</v>
      </c>
    </row>
    <row r="35" spans="2:4" x14ac:dyDescent="0.2">
      <c r="B35" s="184"/>
    </row>
    <row r="36" spans="2:4" x14ac:dyDescent="0.2">
      <c r="B36" s="154" t="s">
        <v>969</v>
      </c>
    </row>
    <row r="37" spans="2:4" x14ac:dyDescent="0.2">
      <c r="B37" s="174" t="s">
        <v>385</v>
      </c>
      <c r="C37" s="202">
        <f>C7</f>
        <v>0.93388888888888888</v>
      </c>
    </row>
    <row r="38" spans="2:4" x14ac:dyDescent="0.2">
      <c r="B38" s="184" t="s">
        <v>378</v>
      </c>
      <c r="C38" s="175">
        <f>((C37*C24)+C25)/60</f>
        <v>8.8207407407407405</v>
      </c>
      <c r="D38" s="152" t="s">
        <v>970</v>
      </c>
    </row>
    <row r="39" spans="2:4" x14ac:dyDescent="0.2">
      <c r="B39" s="184"/>
    </row>
    <row r="40" spans="2:4" x14ac:dyDescent="0.2">
      <c r="B40" s="154" t="s">
        <v>434</v>
      </c>
    </row>
    <row r="41" spans="2:4" x14ac:dyDescent="0.2">
      <c r="B41" s="174" t="s">
        <v>385</v>
      </c>
      <c r="C41" s="219">
        <f>consumo.energia.2G.3G.rural</f>
        <v>1.1325000000000001</v>
      </c>
    </row>
    <row r="42" spans="2:4" x14ac:dyDescent="0.2">
      <c r="B42" s="184" t="s">
        <v>378</v>
      </c>
      <c r="C42" s="175">
        <f>((C41*C24)+C25)/60</f>
        <v>7.9733333333333318</v>
      </c>
    </row>
    <row r="44" spans="2:4" x14ac:dyDescent="0.2">
      <c r="B44" s="154" t="s">
        <v>435</v>
      </c>
    </row>
    <row r="45" spans="2:4" x14ac:dyDescent="0.2">
      <c r="B45" s="174" t="s">
        <v>385</v>
      </c>
      <c r="C45" s="219">
        <f>consumo.energia.4G.rural</f>
        <v>0.85666666666666658</v>
      </c>
    </row>
    <row r="46" spans="2:4" x14ac:dyDescent="0.2">
      <c r="B46" s="184" t="s">
        <v>378</v>
      </c>
      <c r="C46" s="175">
        <f>((C45*C24)+C25)/60</f>
        <v>9.1502222222222223</v>
      </c>
    </row>
    <row r="47" spans="2:4" x14ac:dyDescent="0.2">
      <c r="B47" s="184"/>
    </row>
    <row r="48" spans="2:4" x14ac:dyDescent="0.2">
      <c r="B48" s="154" t="s">
        <v>971</v>
      </c>
    </row>
    <row r="49" spans="2:4" x14ac:dyDescent="0.2">
      <c r="B49" s="174" t="s">
        <v>385</v>
      </c>
      <c r="C49" s="202">
        <f>consumo.energia.medio.rural</f>
        <v>0.66305555555555562</v>
      </c>
    </row>
    <row r="50" spans="2:4" x14ac:dyDescent="0.2">
      <c r="B50" s="184" t="s">
        <v>378</v>
      </c>
      <c r="C50" s="175">
        <f>((C49*C24)+C25)/60</f>
        <v>9.9762962962962938</v>
      </c>
      <c r="D50" s="152" t="s">
        <v>974</v>
      </c>
    </row>
    <row r="51" spans="2:4" x14ac:dyDescent="0.2">
      <c r="B51" s="184"/>
    </row>
    <row r="52" spans="2:4" x14ac:dyDescent="0.2">
      <c r="B52" s="154" t="s">
        <v>437</v>
      </c>
    </row>
    <row r="53" spans="2:4" x14ac:dyDescent="0.2">
      <c r="B53" s="174" t="s">
        <v>385</v>
      </c>
      <c r="C53" s="145">
        <f>consumo.energia.2G.3G.urbano</f>
        <v>1.9450000000000001</v>
      </c>
    </row>
    <row r="54" spans="2:4" x14ac:dyDescent="0.2">
      <c r="B54" s="184" t="s">
        <v>378</v>
      </c>
      <c r="C54" s="175">
        <f>((C53*$C$24)+$C$25)/60*(680/190)</f>
        <v>16.129122807017538</v>
      </c>
    </row>
    <row r="56" spans="2:4" x14ac:dyDescent="0.2">
      <c r="B56" s="154" t="s">
        <v>438</v>
      </c>
    </row>
    <row r="57" spans="2:4" x14ac:dyDescent="0.2">
      <c r="B57" s="174" t="s">
        <v>385</v>
      </c>
      <c r="C57" s="219">
        <f>consumo.energia.4G.urbano</f>
        <v>0.85666666666666658</v>
      </c>
    </row>
    <row r="58" spans="2:4" x14ac:dyDescent="0.2">
      <c r="B58" s="184" t="s">
        <v>378</v>
      </c>
      <c r="C58" s="175">
        <f>((C57*$C$24)+$C$25)/60*(680/190)</f>
        <v>32.74816374269006</v>
      </c>
    </row>
    <row r="59" spans="2:4" x14ac:dyDescent="0.2">
      <c r="B59" s="184"/>
    </row>
    <row r="60" spans="2:4" x14ac:dyDescent="0.2">
      <c r="B60" s="154" t="s">
        <v>387</v>
      </c>
    </row>
    <row r="61" spans="2:4" x14ac:dyDescent="0.2">
      <c r="B61" s="174" t="s">
        <v>385</v>
      </c>
      <c r="C61" s="219">
        <f>C10</f>
        <v>1.1325000000000001</v>
      </c>
    </row>
    <row r="62" spans="2:4" x14ac:dyDescent="0.2">
      <c r="B62" s="184" t="s">
        <v>378</v>
      </c>
      <c r="C62" s="175">
        <f>((C61*$C$24)+$C$25)/60*(680/190)</f>
        <v>28.536140350877186</v>
      </c>
    </row>
    <row r="64" spans="2:4" x14ac:dyDescent="0.2">
      <c r="B64" s="154" t="s">
        <v>428</v>
      </c>
    </row>
    <row r="65" spans="2:17" x14ac:dyDescent="0.2">
      <c r="B65" s="174" t="s">
        <v>385</v>
      </c>
      <c r="C65" s="219">
        <f>C11</f>
        <v>0.85666666666666658</v>
      </c>
    </row>
    <row r="66" spans="2:17" x14ac:dyDescent="0.2">
      <c r="B66" s="184" t="s">
        <v>378</v>
      </c>
      <c r="C66" s="175">
        <f>((C65*C24)+C25)/60*(680/190)</f>
        <v>32.74816374269006</v>
      </c>
    </row>
    <row r="68" spans="2:17" x14ac:dyDescent="0.2">
      <c r="B68" s="159"/>
      <c r="C68" s="159"/>
      <c r="D68" s="159"/>
      <c r="E68" s="159"/>
      <c r="F68" s="159"/>
      <c r="G68" s="159"/>
      <c r="H68" s="159"/>
      <c r="I68" s="159"/>
      <c r="J68" s="159"/>
      <c r="K68" s="159"/>
      <c r="L68" s="159"/>
      <c r="M68" s="159"/>
      <c r="N68" s="159"/>
      <c r="O68" s="159"/>
      <c r="P68" s="159"/>
      <c r="Q68" s="159"/>
    </row>
    <row r="70" spans="2:17" x14ac:dyDescent="0.2">
      <c r="B70" s="154" t="s">
        <v>386</v>
      </c>
    </row>
    <row r="71" spans="2:17" x14ac:dyDescent="0.2">
      <c r="B71" s="174" t="s">
        <v>385</v>
      </c>
      <c r="C71" s="173">
        <f>($C$25-C72*60)/-$C$24</f>
        <v>1.1262499999999998</v>
      </c>
    </row>
    <row r="72" spans="2:17" x14ac:dyDescent="0.2">
      <c r="B72" s="184" t="s">
        <v>378</v>
      </c>
      <c r="C72" s="189">
        <f>backup.minimo.urbano</f>
        <v>8</v>
      </c>
    </row>
    <row r="74" spans="2:17" x14ac:dyDescent="0.2">
      <c r="B74" s="154" t="s">
        <v>388</v>
      </c>
    </row>
    <row r="75" spans="2:17" x14ac:dyDescent="0.2">
      <c r="B75" s="174" t="s">
        <v>385</v>
      </c>
      <c r="C75" s="173">
        <f>($C$25-C76*60)/-$C$24</f>
        <v>1.1262499999999998</v>
      </c>
    </row>
    <row r="76" spans="2:17" x14ac:dyDescent="0.2">
      <c r="B76" s="184" t="s">
        <v>378</v>
      </c>
      <c r="C76" s="189">
        <f>backup.minimo.urbano</f>
        <v>8</v>
      </c>
    </row>
    <row r="77" spans="2:17" x14ac:dyDescent="0.2">
      <c r="B77" s="184"/>
    </row>
    <row r="78" spans="2:17" x14ac:dyDescent="0.2">
      <c r="B78" s="154" t="s">
        <v>434</v>
      </c>
    </row>
    <row r="79" spans="2:17" x14ac:dyDescent="0.2">
      <c r="B79" s="174" t="s">
        <v>385</v>
      </c>
      <c r="C79" s="173">
        <f>($C$25-C80*60)/-$C$24</f>
        <v>1.1262499999999998</v>
      </c>
    </row>
    <row r="80" spans="2:17" x14ac:dyDescent="0.2">
      <c r="B80" s="184" t="s">
        <v>378</v>
      </c>
      <c r="C80" s="189">
        <f>backup.minimo.rural</f>
        <v>8</v>
      </c>
    </row>
    <row r="82" spans="1:18" x14ac:dyDescent="0.2">
      <c r="B82" s="154" t="s">
        <v>439</v>
      </c>
    </row>
    <row r="83" spans="1:18" x14ac:dyDescent="0.2">
      <c r="B83" s="174" t="s">
        <v>385</v>
      </c>
      <c r="C83" s="173">
        <f>($C$25-C84*60)/-$C$24</f>
        <v>1.1262499999999998</v>
      </c>
    </row>
    <row r="84" spans="1:18" x14ac:dyDescent="0.2">
      <c r="B84" s="184" t="s">
        <v>378</v>
      </c>
      <c r="C84" s="189">
        <f>backup.minimo.rural</f>
        <v>8</v>
      </c>
    </row>
    <row r="85" spans="1:18" x14ac:dyDescent="0.2">
      <c r="B85" s="184"/>
    </row>
    <row r="86" spans="1:18" x14ac:dyDescent="0.2">
      <c r="B86" s="154" t="s">
        <v>447</v>
      </c>
    </row>
    <row r="87" spans="1:18" x14ac:dyDescent="0.2">
      <c r="B87" s="174" t="s">
        <v>385</v>
      </c>
      <c r="C87" s="173">
        <f>($C$25-C88*60)/-$C$24*(680/190)</f>
        <v>4.0307894736842096</v>
      </c>
      <c r="D87" s="152" t="s">
        <v>449</v>
      </c>
    </row>
    <row r="88" spans="1:18" x14ac:dyDescent="0.2">
      <c r="B88" s="184" t="s">
        <v>378</v>
      </c>
      <c r="C88" s="189">
        <f>backup.minimo.urbano</f>
        <v>8</v>
      </c>
    </row>
    <row r="90" spans="1:18" x14ac:dyDescent="0.2">
      <c r="B90" s="154" t="s">
        <v>446</v>
      </c>
    </row>
    <row r="91" spans="1:18" x14ac:dyDescent="0.2">
      <c r="B91" s="174" t="s">
        <v>385</v>
      </c>
      <c r="C91" s="173">
        <f>($C$25-C92*60)/-$C$24*(680/190)</f>
        <v>4.0307894736842096</v>
      </c>
      <c r="D91" s="152" t="s">
        <v>448</v>
      </c>
    </row>
    <row r="92" spans="1:18" x14ac:dyDescent="0.2">
      <c r="B92" s="184" t="s">
        <v>378</v>
      </c>
      <c r="C92" s="189">
        <f>backup.minimo.rural</f>
        <v>8</v>
      </c>
    </row>
    <row r="94" spans="1:18" x14ac:dyDescent="0.2">
      <c r="A94" s="89" t="s">
        <v>902</v>
      </c>
      <c r="B94" s="143"/>
      <c r="C94" s="143"/>
      <c r="D94" s="143"/>
      <c r="E94" s="143"/>
      <c r="F94" s="143"/>
      <c r="G94" s="143"/>
      <c r="H94" s="143"/>
      <c r="I94" s="143"/>
      <c r="J94" s="143"/>
      <c r="K94" s="143"/>
      <c r="L94" s="143"/>
      <c r="M94" s="143"/>
      <c r="N94" s="143"/>
      <c r="O94" s="143"/>
      <c r="P94" s="143"/>
      <c r="Q94" s="143"/>
      <c r="R94" s="143"/>
    </row>
    <row r="96" spans="1:18" x14ac:dyDescent="0.2">
      <c r="C96" s="154" t="s">
        <v>477</v>
      </c>
      <c r="H96" s="154" t="s">
        <v>318</v>
      </c>
      <c r="I96" s="154" t="s">
        <v>412</v>
      </c>
      <c r="J96" s="154" t="s">
        <v>414</v>
      </c>
      <c r="K96" s="154" t="s">
        <v>415</v>
      </c>
    </row>
    <row r="97" spans="2:12" x14ac:dyDescent="0.2">
      <c r="B97" s="155">
        <v>4</v>
      </c>
      <c r="C97" s="145" t="str">
        <f>INDEX(lista.activos,B97)</f>
        <v>Caseta (shelter) CSs</v>
      </c>
      <c r="E97" s="151" t="s">
        <v>227</v>
      </c>
      <c r="G97" s="239">
        <f>area.outdoor.casetas.CS</f>
        <v>0</v>
      </c>
      <c r="H97" s="238">
        <v>0</v>
      </c>
      <c r="I97" s="241">
        <f>IF(area.outdoor.caseta.CS1&gt;0,I99/SUM(I99:I101)*area.outdoor.caseta.CS1,0)</f>
        <v>0</v>
      </c>
      <c r="J97" s="236">
        <f>IF(area.outdoor.caseta.CS1&gt;0,(I100/SUM(I99:I101)*area.outdoor.caseta.CS1),0)+IF(area.outdoor.caseta.CS2&gt;0,(J100/SUM(J99:J101)*area.outdoor.caseta.CS2),0)</f>
        <v>0</v>
      </c>
      <c r="K97" s="236">
        <f>IF(area.outdoor.caseta.CS1&gt;0,(I101/SUM(I99:I101)*area.outdoor.caseta.CS1),0)+IF(area.outdoor.caseta.CS2&gt;0,(J101/SUM(J99:J101)*area.outdoor.caseta.CS2),0)+IF(area.outdoor.caseta.CS3&gt;0,K101/SUM(K99:K101)*area.outdoor.caseta.CS3,0)</f>
        <v>0</v>
      </c>
      <c r="L97" s="155" t="b">
        <f>SUM(H97:K97)=G97</f>
        <v>1</v>
      </c>
    </row>
    <row r="98" spans="2:12" x14ac:dyDescent="0.2">
      <c r="B98" s="155"/>
      <c r="C98" s="155">
        <v>1</v>
      </c>
      <c r="D98" s="145" t="str">
        <f t="shared" ref="D98:D101" si="0">INDEX(componentes.caseta.AEP,C98)</f>
        <v>Espacio para AEP</v>
      </c>
      <c r="E98" s="151" t="s">
        <v>227</v>
      </c>
      <c r="H98" s="238">
        <v>0</v>
      </c>
      <c r="I98" s="238">
        <v>0</v>
      </c>
      <c r="J98" s="238">
        <v>0</v>
      </c>
      <c r="K98" s="238">
        <v>0</v>
      </c>
    </row>
    <row r="99" spans="2:12" x14ac:dyDescent="0.2">
      <c r="B99" s="155"/>
      <c r="C99" s="207">
        <v>2</v>
      </c>
      <c r="D99" s="145" t="str">
        <f t="shared" si="0"/>
        <v>Espacio para CS1</v>
      </c>
      <c r="E99" s="151" t="s">
        <v>227</v>
      </c>
      <c r="H99" s="238">
        <v>0</v>
      </c>
      <c r="I99" s="236">
        <f>area.BTS.indoor.CS1.caseta.CS+area.BBS.indoor.CS1.caseta.CS</f>
        <v>0</v>
      </c>
      <c r="J99" s="238">
        <v>0</v>
      </c>
      <c r="K99" s="238">
        <v>0</v>
      </c>
    </row>
    <row r="100" spans="2:12" x14ac:dyDescent="0.2">
      <c r="B100" s="155"/>
      <c r="C100" s="155">
        <v>3</v>
      </c>
      <c r="D100" s="145" t="str">
        <f t="shared" si="0"/>
        <v>Espacio para CS2</v>
      </c>
      <c r="E100" s="151" t="s">
        <v>227</v>
      </c>
      <c r="H100" s="238">
        <v>0</v>
      </c>
      <c r="I100" s="236">
        <f>IF(AND(Dimensionado!F131=1,Dimensionado!F132=0),area.BTS.indoor.CS2.caseta.CS+area.BBS.indoor.CS2.caseta.CS,0)</f>
        <v>0</v>
      </c>
      <c r="J100" s="236">
        <f>IF(I100=0,area.BTS.indoor.CS2.caseta.CS+area.BBS.indoor.CS2.caseta.CS,0)</f>
        <v>0</v>
      </c>
      <c r="K100" s="238">
        <v>0</v>
      </c>
    </row>
    <row r="101" spans="2:12" x14ac:dyDescent="0.2">
      <c r="B101" s="155"/>
      <c r="C101" s="207">
        <v>4</v>
      </c>
      <c r="D101" s="145" t="str">
        <f t="shared" si="0"/>
        <v>Espacio para CS3</v>
      </c>
      <c r="E101" s="151" t="s">
        <v>227</v>
      </c>
      <c r="H101" s="238">
        <v>0</v>
      </c>
      <c r="I101" s="236">
        <f>IF(AND(Dimensionado!F138=1,area.outdoor.caseta.CS3=0,Dimensionado!F127=1),area.BTS.indoor.CS3.caseta.CS+area.BBS.indoor.CS3.caseta.CS,0)</f>
        <v>0</v>
      </c>
      <c r="J101" s="16">
        <f>IF(AND(I101=0,Dimensionado!F138=1,area.outdoor.caseta.CS3=0,Dimensionado!F134=1),area.BTS.indoor.CS3.caseta.CS+area.BBS.indoor.CS3.caseta.CS,0)</f>
        <v>0</v>
      </c>
      <c r="K101" s="236">
        <f>IF(AND(I101=0,J101=0),area.BTS.indoor.CS3.caseta.CS+area.BBS.indoor.CS3.caseta.CS,0)</f>
        <v>0</v>
      </c>
    </row>
    <row r="103" spans="2:12" x14ac:dyDescent="0.2">
      <c r="C103" s="154" t="s">
        <v>244</v>
      </c>
      <c r="H103" s="154" t="s">
        <v>318</v>
      </c>
      <c r="I103" s="154" t="s">
        <v>412</v>
      </c>
      <c r="J103" s="154" t="s">
        <v>414</v>
      </c>
      <c r="K103" s="154" t="s">
        <v>415</v>
      </c>
    </row>
    <row r="104" spans="2:12" x14ac:dyDescent="0.2">
      <c r="C104" s="155">
        <v>8</v>
      </c>
      <c r="D104" s="145" t="str">
        <f>INDEX(lista.activos,C104)</f>
        <v>Fuente de energía de respaldo</v>
      </c>
      <c r="G104" s="229">
        <f>unidades.total.BBS.AEP</f>
        <v>0</v>
      </c>
      <c r="H104" s="230">
        <f>IF(G111=0,0,H111/$G$111*$G$104)</f>
        <v>0</v>
      </c>
      <c r="I104" s="230">
        <f>IF(G111=0,0,I111/$G$111*$G$104)</f>
        <v>0</v>
      </c>
      <c r="J104" s="230">
        <f>IF(G111=0,0,J111/$G$111*$G$104)</f>
        <v>0</v>
      </c>
      <c r="K104" s="230">
        <f>IF(G111=0,0,K111/$G$111*$G$104)</f>
        <v>0</v>
      </c>
      <c r="L104" s="155" t="b">
        <f>SUM(H104:K104)=G104</f>
        <v>1</v>
      </c>
    </row>
    <row r="105" spans="2:12" x14ac:dyDescent="0.2">
      <c r="C105" s="155">
        <v>1</v>
      </c>
      <c r="D105" s="145" t="str">
        <f>INDEX(componentes.caseta.AEP,C105)</f>
        <v>Espacio para AEP</v>
      </c>
      <c r="H105" s="229">
        <f>IF(Dimensionado!F254&gt;0,unidades.total.BBS.AEP,0)</f>
        <v>0</v>
      </c>
      <c r="I105" s="231">
        <v>0</v>
      </c>
      <c r="J105" s="231">
        <v>0</v>
      </c>
      <c r="K105" s="231">
        <v>0</v>
      </c>
    </row>
    <row r="106" spans="2:12" x14ac:dyDescent="0.2">
      <c r="C106" s="207">
        <v>2</v>
      </c>
      <c r="D106" s="145" t="str">
        <f>INDEX(componentes.caseta.AEP,C106)</f>
        <v>Espacio para CS1</v>
      </c>
      <c r="H106" s="230">
        <f>IF(I106&gt;0,0,IF(capacidad.BBS.compartida.CS1&gt;0,1,0))</f>
        <v>0</v>
      </c>
      <c r="I106" s="229">
        <f>IF(Dimensionado!F263&gt;0,1,0)</f>
        <v>0</v>
      </c>
      <c r="J106" s="231">
        <v>0</v>
      </c>
      <c r="K106" s="231">
        <v>0</v>
      </c>
    </row>
    <row r="107" spans="2:12" x14ac:dyDescent="0.2">
      <c r="C107" s="155">
        <v>3</v>
      </c>
      <c r="D107" s="145" t="str">
        <f>INDEX(componentes.caseta.AEP,C107)</f>
        <v>Espacio para CS2</v>
      </c>
      <c r="H107" s="230">
        <f>IF(J107&gt;0,0,IF(capacidad.BBS.compartida.CS2&gt;0,1,0))</f>
        <v>0</v>
      </c>
      <c r="I107" s="231">
        <v>0</v>
      </c>
      <c r="J107" s="229">
        <f>IF(Dimensionado!F272&gt;0,1,0)</f>
        <v>0</v>
      </c>
      <c r="K107" s="231">
        <v>0</v>
      </c>
    </row>
    <row r="108" spans="2:12" x14ac:dyDescent="0.2">
      <c r="C108" s="207">
        <v>4</v>
      </c>
      <c r="D108" s="145" t="str">
        <f>INDEX(componentes.caseta.AEP,C108)</f>
        <v>Espacio para CS3</v>
      </c>
      <c r="H108" s="230">
        <f>IF(K108&gt;0,0,IF(capacidad.BBS.compartida.CS3&gt;0,1,0))</f>
        <v>0</v>
      </c>
      <c r="I108" s="231">
        <v>0</v>
      </c>
      <c r="J108" s="231">
        <v>0</v>
      </c>
      <c r="K108" s="229">
        <f>IF(Dimensionado!F282&gt;0,1,0)</f>
        <v>0</v>
      </c>
    </row>
    <row r="110" spans="2:12" x14ac:dyDescent="0.2">
      <c r="H110" s="154" t="s">
        <v>318</v>
      </c>
      <c r="I110" s="154" t="s">
        <v>412</v>
      </c>
      <c r="J110" s="154" t="s">
        <v>414</v>
      </c>
      <c r="K110" s="154" t="s">
        <v>415</v>
      </c>
    </row>
    <row r="111" spans="2:12" x14ac:dyDescent="0.2">
      <c r="C111" s="155">
        <v>8</v>
      </c>
      <c r="D111" s="145" t="str">
        <f>INDEX(lista.activos,C111)</f>
        <v>Fuente de energía de respaldo</v>
      </c>
      <c r="G111" s="239">
        <f>capacidad.total.BBS.AEP</f>
        <v>0</v>
      </c>
      <c r="H111" s="236">
        <f>IF(SUM(H112:H115)=0,0,H112/SUM($H$112:$H$115)*$G$111)</f>
        <v>0</v>
      </c>
      <c r="I111" s="236">
        <f>IF(SUM(H112:H115)=0,0,H113/SUM($H$112:$H$115)*$G$111)</f>
        <v>0</v>
      </c>
      <c r="J111" s="236">
        <f>IF(SUM(H112:H115)=0,0,H114/SUM($H$112:$H$115)*$G$111)</f>
        <v>0</v>
      </c>
      <c r="K111" s="236">
        <f>IF(SUM(H112:H115)=0,0,H115/SUM($H$112:$H$115)*$G$111)</f>
        <v>0</v>
      </c>
    </row>
    <row r="112" spans="2:12" x14ac:dyDescent="0.2">
      <c r="C112" s="155">
        <v>1</v>
      </c>
      <c r="D112" s="145" t="str">
        <f>INDEX(componentes.caseta.AEP,C112)</f>
        <v>Espacio para AEP</v>
      </c>
      <c r="G112" s="16"/>
      <c r="H112" s="236">
        <f>capacidad.BBS.demandada.AEP*H105</f>
        <v>0</v>
      </c>
      <c r="I112" s="238">
        <v>0</v>
      </c>
      <c r="J112" s="238">
        <v>0</v>
      </c>
      <c r="K112" s="238">
        <v>0</v>
      </c>
    </row>
    <row r="113" spans="2:12" x14ac:dyDescent="0.2">
      <c r="C113" s="207">
        <v>2</v>
      </c>
      <c r="D113" s="145" t="str">
        <f>INDEX(componentes.caseta.AEP,C113)</f>
        <v>Espacio para CS1</v>
      </c>
      <c r="G113" s="16"/>
      <c r="H113" s="236">
        <f>capacidad.BBS.compartida.CS1*H106</f>
        <v>0</v>
      </c>
      <c r="I113" s="238">
        <v>0</v>
      </c>
      <c r="J113" s="238">
        <v>0</v>
      </c>
      <c r="K113" s="238">
        <v>0</v>
      </c>
    </row>
    <row r="114" spans="2:12" x14ac:dyDescent="0.2">
      <c r="C114" s="155">
        <v>3</v>
      </c>
      <c r="D114" s="145" t="str">
        <f>INDEX(componentes.caseta.AEP,C114)</f>
        <v>Espacio para CS2</v>
      </c>
      <c r="G114" s="16"/>
      <c r="H114" s="236">
        <f>capacidad.BBS.compartida.CS2*H107</f>
        <v>0</v>
      </c>
      <c r="I114" s="238">
        <v>0</v>
      </c>
      <c r="J114" s="238">
        <v>0</v>
      </c>
      <c r="K114" s="238">
        <v>0</v>
      </c>
    </row>
    <row r="115" spans="2:12" x14ac:dyDescent="0.2">
      <c r="C115" s="207">
        <v>4</v>
      </c>
      <c r="D115" s="145" t="str">
        <f>INDEX(componentes.caseta.AEP,C115)</f>
        <v>Espacio para CS3</v>
      </c>
      <c r="G115" s="16"/>
      <c r="H115" s="236">
        <f>capacidad.BBS.compartida.CS3*H108</f>
        <v>0</v>
      </c>
      <c r="I115" s="238">
        <v>0</v>
      </c>
      <c r="J115" s="238">
        <v>0</v>
      </c>
      <c r="K115" s="238">
        <v>0</v>
      </c>
    </row>
    <row r="117" spans="2:12" x14ac:dyDescent="0.2">
      <c r="C117" s="154" t="s">
        <v>476</v>
      </c>
    </row>
    <row r="118" spans="2:12" x14ac:dyDescent="0.2">
      <c r="B118" s="155">
        <v>3</v>
      </c>
      <c r="C118" s="145" t="str">
        <f>INDEX(lista.activos,B118)</f>
        <v>Caseta (shelter) AEP</v>
      </c>
      <c r="E118" s="151" t="s">
        <v>227</v>
      </c>
      <c r="G118" s="239">
        <f>area.outdoor.caseta.AEP</f>
        <v>0</v>
      </c>
      <c r="H118" s="236">
        <f>IF($G$118=0,0,G119/SUM($G$119:$G$122)*$G$118)</f>
        <v>0</v>
      </c>
      <c r="I118" s="236">
        <f>IF($G$118=0,0,G120/SUM($G$119:$G$122)*$G$118)</f>
        <v>0</v>
      </c>
      <c r="J118" s="236">
        <f>IF($G$118=0,0,G121/SUM($G$119:$G$122)*$G$118)</f>
        <v>0</v>
      </c>
      <c r="K118" s="236">
        <f>IF($G$118=0,0,G122/SUM($G$119:$G$122)*$G$118)</f>
        <v>0</v>
      </c>
      <c r="L118" s="155" t="b">
        <f>SUM(H118:K118)=G118</f>
        <v>1</v>
      </c>
    </row>
    <row r="119" spans="2:12" x14ac:dyDescent="0.2">
      <c r="C119" s="155">
        <v>1</v>
      </c>
      <c r="D119" s="145" t="str">
        <f t="shared" ref="D119:D122" si="1">INDEX(componentes.caseta.AEP,C119)</f>
        <v>Espacio para AEP</v>
      </c>
      <c r="E119" s="151" t="s">
        <v>227</v>
      </c>
      <c r="G119" s="236">
        <f>area.BTS.indoor.AEP.caseta.AEP+area.BBS.indoor.AEP.caseta.AEP+(area.nicho.acometida.indoor.caseta.AEP/SUM(cs1.activo,cs2.activo,cs3.activo,1))+area.nicho.acometida.secundaria.indoor.AEP.caseta.AEP</f>
        <v>0</v>
      </c>
      <c r="H119" s="16"/>
      <c r="I119" s="16"/>
      <c r="J119" s="16"/>
      <c r="K119" s="16"/>
    </row>
    <row r="120" spans="2:12" x14ac:dyDescent="0.2">
      <c r="C120" s="207">
        <v>2</v>
      </c>
      <c r="D120" s="145" t="str">
        <f t="shared" si="1"/>
        <v>Espacio para CS1</v>
      </c>
      <c r="E120" s="151" t="s">
        <v>227</v>
      </c>
      <c r="G120" s="236">
        <f>area.BTS.indoor.CS1.caseta.AEP+area.BBS.indoor.CS1.caseta.AEP+(area.nicho.acometida.indoor.caseta.AEP/SUM(cs1.activo,cs2.activo,cs3.activo,1))+area.nicho.acometida.secundaria.indoor.CS1.caseta.AEP</f>
        <v>0</v>
      </c>
      <c r="H120" s="16"/>
      <c r="I120" s="16"/>
      <c r="J120" s="16"/>
      <c r="K120" s="16"/>
    </row>
    <row r="121" spans="2:12" x14ac:dyDescent="0.2">
      <c r="C121" s="155">
        <v>3</v>
      </c>
      <c r="D121" s="145" t="str">
        <f t="shared" si="1"/>
        <v>Espacio para CS2</v>
      </c>
      <c r="E121" s="151" t="s">
        <v>227</v>
      </c>
      <c r="G121" s="236">
        <f>area.BTS.indoor.CS2.caseta.AEP+area.BBS.indoor.CS2.caseta.AEP+(area.nicho.acometida.indoor.caseta.AEP/SUM(cs1.activo,cs2.activo,cs3.activo,1))+area.nicho.acometida.secundaria.indoor.CS2.caseta.AEP</f>
        <v>0</v>
      </c>
      <c r="H121" s="16"/>
      <c r="I121" s="16"/>
      <c r="J121" s="16"/>
      <c r="K121" s="16"/>
    </row>
    <row r="122" spans="2:12" x14ac:dyDescent="0.2">
      <c r="C122" s="207">
        <v>4</v>
      </c>
      <c r="D122" s="145" t="str">
        <f t="shared" si="1"/>
        <v>Espacio para CS3</v>
      </c>
      <c r="E122" s="151" t="s">
        <v>227</v>
      </c>
      <c r="G122" s="236">
        <f>area.BTS.indoor.CS3.caseta.AEP+area.BBS.indoor.CS3.caseta.AEP+(area.nicho.acometida.indoor.caseta.AEP/SUM(cs1.activo,cs2.activo,cs3.activo,1))+area.nicho.acometida.secundaria.indoor.CS3.caseta.AEP</f>
        <v>0</v>
      </c>
      <c r="H122" s="16"/>
      <c r="I122" s="16"/>
      <c r="J122" s="16"/>
      <c r="K122" s="16"/>
    </row>
    <row r="123" spans="2:12" x14ac:dyDescent="0.2">
      <c r="G123" s="16"/>
      <c r="H123" s="16"/>
      <c r="I123" s="16"/>
      <c r="J123" s="16"/>
      <c r="K123" s="16"/>
    </row>
    <row r="124" spans="2:12" x14ac:dyDescent="0.2">
      <c r="B124" s="155">
        <v>3</v>
      </c>
      <c r="C124" s="145" t="str">
        <f>INDEX(lista.activos,B124)</f>
        <v>Caseta (shelter) AEP</v>
      </c>
      <c r="G124" s="239">
        <f>unidades.caseta.AEP</f>
        <v>0</v>
      </c>
      <c r="H124" s="236">
        <f>IF($G$118=0,0,H118/$G$118)</f>
        <v>0</v>
      </c>
      <c r="I124" s="236">
        <f t="shared" ref="I124:K124" si="2">IF($G$118=0,0,I118/$G$118)</f>
        <v>0</v>
      </c>
      <c r="J124" s="236">
        <f t="shared" si="2"/>
        <v>0</v>
      </c>
      <c r="K124" s="236">
        <f t="shared" si="2"/>
        <v>0</v>
      </c>
      <c r="L124" s="155" t="b">
        <f>SUM(H124:K124)=G124</f>
        <v>1</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ignoredErrors>
    <ignoredError sqref="C5:C6 C10:C1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320</vt:i4>
      </vt:variant>
    </vt:vector>
  </HeadingPairs>
  <TitlesOfParts>
    <vt:vector size="330" baseType="lpstr">
      <vt:lpstr>C</vt:lpstr>
      <vt:lpstr>S</vt:lpstr>
      <vt:lpstr>L</vt:lpstr>
      <vt:lpstr>Control</vt:lpstr>
      <vt:lpstr>Costos unitarios</vt:lpstr>
      <vt:lpstr>Dimensionado</vt:lpstr>
      <vt:lpstr>Costeo</vt:lpstr>
      <vt:lpstr>Precio</vt:lpstr>
      <vt:lpstr>Caracteristicas tecnicas</vt:lpstr>
      <vt:lpstr>Cálculos secundarios</vt:lpstr>
      <vt:lpstr>actualizar.seleccion</vt:lpstr>
      <vt:lpstr>aire.acondicionado.activo</vt:lpstr>
      <vt:lpstr>aire.acondicionado.capacidad.superficie</vt:lpstr>
      <vt:lpstr>aire.acondicionado.capacidad.utilizada</vt:lpstr>
      <vt:lpstr>altura.torre.arriostrada</vt:lpstr>
      <vt:lpstr>altura.torre.autosoportada</vt:lpstr>
      <vt:lpstr>altura.torre.mástil</vt:lpstr>
      <vt:lpstr>altura.torre.monopolo</vt:lpstr>
      <vt:lpstr>antenas.MW.AEP</vt:lpstr>
      <vt:lpstr>antenas.MW.CS1</vt:lpstr>
      <vt:lpstr>antenas.MW.CS2</vt:lpstr>
      <vt:lpstr>antenas.MW.CS3</vt:lpstr>
      <vt:lpstr>antenas.RF.AEP</vt:lpstr>
      <vt:lpstr>antenas.RF.CS1</vt:lpstr>
      <vt:lpstr>antenas.RF.CS2</vt:lpstr>
      <vt:lpstr>antenas.RF.CS3</vt:lpstr>
      <vt:lpstr>año.activo</vt:lpstr>
      <vt:lpstr>años</vt:lpstr>
      <vt:lpstr>area.antennas</vt:lpstr>
      <vt:lpstr>area.BBS.indoor.AEP.caseta.AEP</vt:lpstr>
      <vt:lpstr>area.BBS.indoor.CS1.caseta.AEP</vt:lpstr>
      <vt:lpstr>area.BBS.indoor.CS1.caseta.CS</vt:lpstr>
      <vt:lpstr>area.BBS.indoor.CS2.caseta.AEP</vt:lpstr>
      <vt:lpstr>area.BBS.indoor.CS2.caseta.CS</vt:lpstr>
      <vt:lpstr>area.BBS.indoor.CS3.caseta.AEP</vt:lpstr>
      <vt:lpstr>area.BBS.indoor.CS3.caseta.CS</vt:lpstr>
      <vt:lpstr>area.BBS.outdoor.AEP</vt:lpstr>
      <vt:lpstr>area.BBS.outdoor.CS1</vt:lpstr>
      <vt:lpstr>area.BBS.outdoor.CS2</vt:lpstr>
      <vt:lpstr>area.BBS.outdoor.CS3</vt:lpstr>
      <vt:lpstr>area.BBSs.outdoor.CSs</vt:lpstr>
      <vt:lpstr>area.BTS.indoor</vt:lpstr>
      <vt:lpstr>area.BTS.indoor.AEP.caseta.AEP</vt:lpstr>
      <vt:lpstr>area.BTS.indoor.CS1.caseta.AEP</vt:lpstr>
      <vt:lpstr>area.BTS.indoor.CS1.caseta.CS</vt:lpstr>
      <vt:lpstr>area.BTS.indoor.CS2.caseta.AEP</vt:lpstr>
      <vt:lpstr>area.BTS.indoor.CS2.caseta.CS</vt:lpstr>
      <vt:lpstr>area.BTS.indoor.CS3.caseta.AEP</vt:lpstr>
      <vt:lpstr>area.BTS.indoor.CS3.caseta.CS</vt:lpstr>
      <vt:lpstr>area.BTS.indoor.CSs.caseta.AEP</vt:lpstr>
      <vt:lpstr>area.BTS.indoor.total.caseta.AEP</vt:lpstr>
      <vt:lpstr>area.BTS.outdoor</vt:lpstr>
      <vt:lpstr>'Caracteristicas tecnicas'!area.BTS.outdoor.AEP</vt:lpstr>
      <vt:lpstr>area.BTS.outdoor.AEP</vt:lpstr>
      <vt:lpstr>area.BTS.outdoor.CS1</vt:lpstr>
      <vt:lpstr>area.BTS.outdoor.CS2</vt:lpstr>
      <vt:lpstr>area.BTS.outdoor.CS3</vt:lpstr>
      <vt:lpstr>area.BTS.outdoor.proveedor</vt:lpstr>
      <vt:lpstr>area.BTSs.outdoor.CSs</vt:lpstr>
      <vt:lpstr>area.exterior.caseta</vt:lpstr>
      <vt:lpstr>area.nicho.acometida.indoor.caseta.AEP</vt:lpstr>
      <vt:lpstr>area.nicho.acometida.secundaria.indoor.AEP.caseta.AEP</vt:lpstr>
      <vt:lpstr>area.nicho.acometida.secundaria.indoor.CS1.caseta.AEP</vt:lpstr>
      <vt:lpstr>area.nicho.acometida.secundaria.indoor.CS2.caseta.AEP</vt:lpstr>
      <vt:lpstr>area.nicho.acometida.secundaria.indoor.CS3.caseta.AEP</vt:lpstr>
      <vt:lpstr>area.ocupada.predio</vt:lpstr>
      <vt:lpstr>area.outdoor.caseta.AEP</vt:lpstr>
      <vt:lpstr>area.outdoor.caseta.CS1</vt:lpstr>
      <vt:lpstr>area.outdoor.caseta.CS2</vt:lpstr>
      <vt:lpstr>area.outdoor.caseta.CS3</vt:lpstr>
      <vt:lpstr>area.outdoor.casetas.CS</vt:lpstr>
      <vt:lpstr>area.outdoor.nicho.acometida.principal</vt:lpstr>
      <vt:lpstr>area.outdoor.nicho.acometida.secundaria.AEP</vt:lpstr>
      <vt:lpstr>area.outdoor.nicho.acometida.secundaria.CS1</vt:lpstr>
      <vt:lpstr>area.outdoor.nicho.acometida.secundaria.CS2</vt:lpstr>
      <vt:lpstr>area.outdoor.nicho.acometida.secundaria.CS3</vt:lpstr>
      <vt:lpstr>area.outdoor.nicho.acometida.secundaria.total</vt:lpstr>
      <vt:lpstr>area.standard.nicho.acometida</vt:lpstr>
      <vt:lpstr>area.standard.nicho.acometida.secundario</vt:lpstr>
      <vt:lpstr>area.torre</vt:lpstr>
      <vt:lpstr>area.total.predio</vt:lpstr>
      <vt:lpstr>area.usable.indoor.caseta</vt:lpstr>
      <vt:lpstr>backup.minimo.rural</vt:lpstr>
      <vt:lpstr>backup.minimo.urbano</vt:lpstr>
      <vt:lpstr>bateria.rural</vt:lpstr>
      <vt:lpstr>bateria.urbano</vt:lpstr>
      <vt:lpstr>BBS.capacity.rural</vt:lpstr>
      <vt:lpstr>BBS.capacity.urban</vt:lpstr>
      <vt:lpstr>BBU.backup.hours.rural</vt:lpstr>
      <vt:lpstr>BBU.backup.hours.urban</vt:lpstr>
      <vt:lpstr>capacidad.aire.acondicionado.utilizada</vt:lpstr>
      <vt:lpstr>capacidad.BBS.compartida.CS1</vt:lpstr>
      <vt:lpstr>capacidad.BBS.compartida.CS2</vt:lpstr>
      <vt:lpstr>capacidad.BBS.compartida.CS3</vt:lpstr>
      <vt:lpstr>capacidad.BBS.demandada.AEP</vt:lpstr>
      <vt:lpstr>capacidad.caseta.activo</vt:lpstr>
      <vt:lpstr>capacidad.excedentaria.BBS.para.CS1</vt:lpstr>
      <vt:lpstr>capacidad.excedentaria.BBS.para.CS2</vt:lpstr>
      <vt:lpstr>capacidad.excedentaria.BBS.para.CS3</vt:lpstr>
      <vt:lpstr>capacidad.total.BBS.AEP</vt:lpstr>
      <vt:lpstr>capex.aire.acondicionado</vt:lpstr>
      <vt:lpstr>capex.caseta.AEP</vt:lpstr>
      <vt:lpstr>capex.caseta.CS</vt:lpstr>
      <vt:lpstr>capex.fuente.energia.respaldo</vt:lpstr>
      <vt:lpstr>capex.nicho.acometida.principal</vt:lpstr>
      <vt:lpstr>capex.nicho.acometida.secundario</vt:lpstr>
      <vt:lpstr>capex.plancha.concreto</vt:lpstr>
      <vt:lpstr>capex.predio</vt:lpstr>
      <vt:lpstr>capex.torre</vt:lpstr>
      <vt:lpstr>capex.unitario.acquisicion.predio</vt:lpstr>
      <vt:lpstr>capex.unitario.acquisicion.torre</vt:lpstr>
      <vt:lpstr>capex.unitario.aire.acondicionado</vt:lpstr>
      <vt:lpstr>capex.unitario.caseta.CS</vt:lpstr>
      <vt:lpstr>capex.unitario.fuente.energia.respaldo</vt:lpstr>
      <vt:lpstr>capex.unitario.obras.adecuacion</vt:lpstr>
      <vt:lpstr>capex.unitario.otros.costes</vt:lpstr>
      <vt:lpstr>capex.unitario.panel.distribucion.energia</vt:lpstr>
      <vt:lpstr>capex.unitario.panel.energia</vt:lpstr>
      <vt:lpstr>capex.unitario.plancha.concreto</vt:lpstr>
      <vt:lpstr>capex.unitario.shelter</vt:lpstr>
      <vt:lpstr>capex.unitario.torre</vt:lpstr>
      <vt:lpstr>caseta.AEP.activo</vt:lpstr>
      <vt:lpstr>comparticion.aire.acondicionado.activo</vt:lpstr>
      <vt:lpstr>comparticion.caseta.CS1</vt:lpstr>
      <vt:lpstr>comparticion.caseta.CS2</vt:lpstr>
      <vt:lpstr>comparticion.caseta.CS3</vt:lpstr>
      <vt:lpstr>componentes.caseta.AEP</vt:lpstr>
      <vt:lpstr>componentes.predio</vt:lpstr>
      <vt:lpstr>componentes.torre</vt:lpstr>
      <vt:lpstr>consumo.energia.2G.3G.rural</vt:lpstr>
      <vt:lpstr>consumo.energia.2G.3G.urbano</vt:lpstr>
      <vt:lpstr>consumo.energia.4G.rural</vt:lpstr>
      <vt:lpstr>consumo.energia.4G.urbano</vt:lpstr>
      <vt:lpstr>consumo.energia.medio.rural</vt:lpstr>
      <vt:lpstr>consumo.energia.medio.urbano</vt:lpstr>
      <vt:lpstr>costo.unitario.capex.azotea.OR.telmex.activo</vt:lpstr>
      <vt:lpstr>costo.unitario.opex.azotea.OR.telmex.activo</vt:lpstr>
      <vt:lpstr>costos.considerados</vt:lpstr>
      <vt:lpstr>costos.considerados.activo</vt:lpstr>
      <vt:lpstr>costos.considerados.activo.indice</vt:lpstr>
      <vt:lpstr>cs1.activo</vt:lpstr>
      <vt:lpstr>cs2.activo</vt:lpstr>
      <vt:lpstr>cs3.activo</vt:lpstr>
      <vt:lpstr>demanda</vt:lpstr>
      <vt:lpstr>demanda.AEP.activo</vt:lpstr>
      <vt:lpstr>demanda.antenas.total</vt:lpstr>
      <vt:lpstr>demanda.BBS</vt:lpstr>
      <vt:lpstr>demanda.BBS.CS1</vt:lpstr>
      <vt:lpstr>demanda.BBS.CS2</vt:lpstr>
      <vt:lpstr>demanda.BBS.CS3</vt:lpstr>
      <vt:lpstr>demanda.CS1.activo</vt:lpstr>
      <vt:lpstr>demanda.CS2.activo</vt:lpstr>
      <vt:lpstr>demanda.CS3.activo</vt:lpstr>
      <vt:lpstr>dias.por.mes</vt:lpstr>
      <vt:lpstr>dimensiones.gabinete.activo</vt:lpstr>
      <vt:lpstr>disponibilidad</vt:lpstr>
      <vt:lpstr>espacio.vertical.AEP</vt:lpstr>
      <vt:lpstr>espacio.vertical.CS1</vt:lpstr>
      <vt:lpstr>espacio.vertical.CS2</vt:lpstr>
      <vt:lpstr>espacio.vertical.CS3</vt:lpstr>
      <vt:lpstr>fuente.costos.predio</vt:lpstr>
      <vt:lpstr>fuente.dimensiones.gabinetes</vt:lpstr>
      <vt:lpstr>gasto.anual.aire.acondicionado</vt:lpstr>
      <vt:lpstr>gasto.anual.caseta.AEP</vt:lpstr>
      <vt:lpstr>gasto.anual.caseta.CS</vt:lpstr>
      <vt:lpstr>gasto.anual.fuente.energia.respaldo</vt:lpstr>
      <vt:lpstr>gasto.anual.nicho.acometida.principal</vt:lpstr>
      <vt:lpstr>gasto.anual.nicho.acometida.secundario</vt:lpstr>
      <vt:lpstr>gasto.anual.plancha.concreto</vt:lpstr>
      <vt:lpstr>gasto.anual.predio</vt:lpstr>
      <vt:lpstr>gasto.anual.torre</vt:lpstr>
      <vt:lpstr>geotipo</vt:lpstr>
      <vt:lpstr>geotipo.activo</vt:lpstr>
      <vt:lpstr>horas.por.dia</vt:lpstr>
      <vt:lpstr>hundred</vt:lpstr>
      <vt:lpstr>id.predio.activo</vt:lpstr>
      <vt:lpstr>id.torre.activo</vt:lpstr>
      <vt:lpstr>identificador.caseta.AEP</vt:lpstr>
      <vt:lpstr>identificador.caseta.CS</vt:lpstr>
      <vt:lpstr>identificador.predio</vt:lpstr>
      <vt:lpstr>identificador.torre</vt:lpstr>
      <vt:lpstr>inclusion</vt:lpstr>
      <vt:lpstr>indoor.outdoor</vt:lpstr>
      <vt:lpstr>indoor.outdoor.CS1.activo</vt:lpstr>
      <vt:lpstr>indoor.outdoor.CS2.activo</vt:lpstr>
      <vt:lpstr>indoor.outdoor.CS3.activo</vt:lpstr>
      <vt:lpstr>kW.por.ton</vt:lpstr>
      <vt:lpstr>lista.activos</vt:lpstr>
      <vt:lpstr>lista.comparticion.caseta</vt:lpstr>
      <vt:lpstr>lista.componentes.caseta</vt:lpstr>
      <vt:lpstr>lista.componentes.predio</vt:lpstr>
      <vt:lpstr>lista.componentes.torre</vt:lpstr>
      <vt:lpstr>markup.operacion.caseta</vt:lpstr>
      <vt:lpstr>markup.overhead.capex</vt:lpstr>
      <vt:lpstr>markup.overhead.opex</vt:lpstr>
      <vt:lpstr>markup.predio</vt:lpstr>
      <vt:lpstr>markup.predio.azotea</vt:lpstr>
      <vt:lpstr>markup.predio.terreno</vt:lpstr>
      <vt:lpstr>markup.zona.rural</vt:lpstr>
      <vt:lpstr>meses.por.año</vt:lpstr>
      <vt:lpstr>million</vt:lpstr>
      <vt:lpstr>no</vt:lpstr>
      <vt:lpstr>not.available</vt:lpstr>
      <vt:lpstr>numero.operadores</vt:lpstr>
      <vt:lpstr>numero.operadores.activo</vt:lpstr>
      <vt:lpstr>opcion.costo.unitario.azotea.telmex.telnor</vt:lpstr>
      <vt:lpstr>opcion.costo.unitario.azotea.telmex.telnor.activo</vt:lpstr>
      <vt:lpstr>opciones.WACC</vt:lpstr>
      <vt:lpstr>opex.aire.acondicionado</vt:lpstr>
      <vt:lpstr>opex.anual.alquiler.caseta.CS</vt:lpstr>
      <vt:lpstr>opex.anual.alquiler.predio</vt:lpstr>
      <vt:lpstr>opex.anual.alquiler.shelter</vt:lpstr>
      <vt:lpstr>opex.anual.mantenimiento.aire.acondicionado</vt:lpstr>
      <vt:lpstr>opex.anual.mantenimiento.caseta.CS</vt:lpstr>
      <vt:lpstr>opex.anual.mantenimiento.fuente.energia.respaldo</vt:lpstr>
      <vt:lpstr>opex.anual.mantenimiento.panel.distribuicion.energia</vt:lpstr>
      <vt:lpstr>opex.anual.mantenimiento.panel.energia</vt:lpstr>
      <vt:lpstr>opex.anual.mantenimiento.plancha.concreto</vt:lpstr>
      <vt:lpstr>opex.anual.mantenimiento.predio</vt:lpstr>
      <vt:lpstr>opex.anual.mantenimiento.shelter</vt:lpstr>
      <vt:lpstr>opex.caseta.AEP</vt:lpstr>
      <vt:lpstr>opex.caseta.CS</vt:lpstr>
      <vt:lpstr>opex.energia.kWh</vt:lpstr>
      <vt:lpstr>opex.fuente.energia.respaldo</vt:lpstr>
      <vt:lpstr>opex.mantenimiento.otros.costos</vt:lpstr>
      <vt:lpstr>opex.mantenimiento.torre</vt:lpstr>
      <vt:lpstr>opex.nicho.acometida.principal</vt:lpstr>
      <vt:lpstr>opex.nicho.acometida.secundario</vt:lpstr>
      <vt:lpstr>opex.plancha.concreto</vt:lpstr>
      <vt:lpstr>opex.predio</vt:lpstr>
      <vt:lpstr>opex.torre</vt:lpstr>
      <vt:lpstr>perfil.recuperacion.costos</vt:lpstr>
      <vt:lpstr>perfil.recuperacion.costos.activo</vt:lpstr>
      <vt:lpstr>perfil.recuperacion.costos.activo.indice</vt:lpstr>
      <vt:lpstr>posibilidad.compartir.caseta.CS1</vt:lpstr>
      <vt:lpstr>posibilidad.compartir.caseta.CS2</vt:lpstr>
      <vt:lpstr>posibilidad.compartir.caseta.CS3</vt:lpstr>
      <vt:lpstr>predio.activo</vt:lpstr>
      <vt:lpstr>propiedad.predio</vt:lpstr>
      <vt:lpstr>propriedad.predio.activo</vt:lpstr>
      <vt:lpstr>rango.altura.activo</vt:lpstr>
      <vt:lpstr>sens.capex.unitarios</vt:lpstr>
      <vt:lpstr>sens.costos.adicionales</vt:lpstr>
      <vt:lpstr>sens.opex.unitarios</vt:lpstr>
      <vt:lpstr>servicios</vt:lpstr>
      <vt:lpstr>si</vt:lpstr>
      <vt:lpstr>spare</vt:lpstr>
      <vt:lpstr>thousand</vt:lpstr>
      <vt:lpstr>tipo.torre</vt:lpstr>
      <vt:lpstr>tipo.torre.activo</vt:lpstr>
      <vt:lpstr>tipo.ubicacion</vt:lpstr>
      <vt:lpstr>tipo.ubicacion.activo</vt:lpstr>
      <vt:lpstr>unidad.caseta.CS.CS1</vt:lpstr>
      <vt:lpstr>unidad.caseta.CS.CS2</vt:lpstr>
      <vt:lpstr>unidad.caseta.CS.CS3</vt:lpstr>
      <vt:lpstr>unidades.BBS.indoor.AEP.caseta.AEP</vt:lpstr>
      <vt:lpstr>unidades.BBS.indoor.CS1.caseta.AEP</vt:lpstr>
      <vt:lpstr>unidades.BBS.indoor.CS1.caseta.CS</vt:lpstr>
      <vt:lpstr>unidades.BBS.indoor.CS2.caseta.AEP</vt:lpstr>
      <vt:lpstr>unidades.BBS.indoor.CS2.caseta.CS</vt:lpstr>
      <vt:lpstr>unidades.BBS.indoor.CS3.caseta.AEP</vt:lpstr>
      <vt:lpstr>unidades.BBS.indoor.CS3.caseta.CS</vt:lpstr>
      <vt:lpstr>unidades.BBS.outdoor.AEP</vt:lpstr>
      <vt:lpstr>unidades.BBS.outdoor.CS1</vt:lpstr>
      <vt:lpstr>unidades.BBS.outdoor.CS2</vt:lpstr>
      <vt:lpstr>unidades.BBS.outdoor.CS3</vt:lpstr>
      <vt:lpstr>unidades.BBSs.outdoor.CSs</vt:lpstr>
      <vt:lpstr>unidades.BTS.indoor.AEP.caseta.AEP</vt:lpstr>
      <vt:lpstr>unidades.BTS.indoor.CS1.caseta.AEP</vt:lpstr>
      <vt:lpstr>unidades.BTS.indoor.CS1.caseta.CS</vt:lpstr>
      <vt:lpstr>unidades.BTS.indoor.CS2.caseta.AEP</vt:lpstr>
      <vt:lpstr>unidades.BTS.indoor.CS2.caseta.CS</vt:lpstr>
      <vt:lpstr>unidades.BTS.indoor.CS3.caseta.AEP</vt:lpstr>
      <vt:lpstr>unidades.BTS.indoor.CS3.caseta.CS</vt:lpstr>
      <vt:lpstr>unidades.BTS.indoor.CSs.caseta.AEP</vt:lpstr>
      <vt:lpstr>unidades.BTS.indoor.total.caseta.AEP</vt:lpstr>
      <vt:lpstr>unidades.BTS.outdoor.AEP</vt:lpstr>
      <vt:lpstr>unidades.BTS.outdoor.CS1</vt:lpstr>
      <vt:lpstr>unidades.BTS.outdoor.CS2</vt:lpstr>
      <vt:lpstr>unidades.BTS.outdoor.CS3</vt:lpstr>
      <vt:lpstr>unidades.BTSs.outdoor.CSs</vt:lpstr>
      <vt:lpstr>unidades.caseta.AEP</vt:lpstr>
      <vt:lpstr>unidades.caseta.CS</vt:lpstr>
      <vt:lpstr>unidades.nicho.acometida.indoor.caseta.AEP</vt:lpstr>
      <vt:lpstr>unidades.nicho.acometida.secundaria.indoor.AEP.caseta.AEP</vt:lpstr>
      <vt:lpstr>unidades.nicho.acometida.secundaria.indoor.CS1.caseta.AEP</vt:lpstr>
      <vt:lpstr>unidades.nicho.acometida.secundaria.indoor.CS2.caseta.AEP</vt:lpstr>
      <vt:lpstr>unidades.nicho.acometida.secundaria.indoor.CS3.caseta.AEP</vt:lpstr>
      <vt:lpstr>unidades.outdoor.nicho.acometida.principal</vt:lpstr>
      <vt:lpstr>unidades.outdoor.nicho.acometida.secundaria.AEP</vt:lpstr>
      <vt:lpstr>unidades.outdoor.nicho.acometida.secundaria.CS1</vt:lpstr>
      <vt:lpstr>unidades.outdoor.nicho.acometida.secundaria.CS2</vt:lpstr>
      <vt:lpstr>unidades.outdoor.nicho.acometida.secundaria.CS3</vt:lpstr>
      <vt:lpstr>unidades.outdoor.nicho.acometida.secundaria.total</vt:lpstr>
      <vt:lpstr>unidades.total.BBS.AEP</vt:lpstr>
      <vt:lpstr>utilizar.capacidad.CS1</vt:lpstr>
      <vt:lpstr>utilizar.capacidad.CS2</vt:lpstr>
      <vt:lpstr>utilizar.capacidad.CS3</vt:lpstr>
      <vt:lpstr>vida.util</vt:lpstr>
      <vt:lpstr>vida.util.activo</vt:lpstr>
      <vt:lpstr>vida.util.activo.indice</vt:lpstr>
      <vt:lpstr>vida.util.aire.acondicionado</vt:lpstr>
      <vt:lpstr>vida.util.caseta.AEP</vt:lpstr>
      <vt:lpstr>vida.util.caseta.CS</vt:lpstr>
      <vt:lpstr>vida.util.fuente.energia.respaldo</vt:lpstr>
      <vt:lpstr>vida.util.nicho.acometida</vt:lpstr>
      <vt:lpstr>vida.util.panel.distribuicion.energia</vt:lpstr>
      <vt:lpstr>vida.util.plancha.concreto</vt:lpstr>
      <vt:lpstr>vida.util.predio</vt:lpstr>
      <vt:lpstr>vida.util.restante.aire.acondicionado</vt:lpstr>
      <vt:lpstr>vida.util.restante.caseta.AEP</vt:lpstr>
      <vt:lpstr>vida.util.restante.caseta.CS</vt:lpstr>
      <vt:lpstr>vida.util.restante.fuente.energia.respaldo</vt:lpstr>
      <vt:lpstr>vida.util.restante.nicho.acometida</vt:lpstr>
      <vt:lpstr>vida.util.restante.panel.distribuicion.energia</vt:lpstr>
      <vt:lpstr>vida.util.restante.plancha.concreto</vt:lpstr>
      <vt:lpstr>vida.util.restante.predio</vt:lpstr>
      <vt:lpstr>vida.util.restante.torre</vt:lpstr>
      <vt:lpstr>vida.util.restante.torre.otros.costos</vt:lpstr>
      <vt:lpstr>vida.util.torre</vt:lpstr>
      <vt:lpstr>vida.util.torre.otros.costos</vt:lpstr>
      <vt:lpstr>viento.activo</vt:lpstr>
      <vt:lpstr>viento.torre.arriostrada</vt:lpstr>
      <vt:lpstr>viento.torre.autosoportada</vt:lpstr>
      <vt:lpstr>viento.torre.mástil</vt:lpstr>
      <vt:lpstr>viento.torre.monopolo</vt:lpstr>
      <vt:lpstr>void</vt:lpstr>
      <vt:lpstr>volumen.plancha.concreto.AEP</vt:lpstr>
      <vt:lpstr>volumen.plancha.concreto.CS</vt:lpstr>
      <vt:lpstr>wacc</vt:lpstr>
    </vt:vector>
  </TitlesOfParts>
  <Manager>-</Manager>
  <Company>Analysys Mason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c:subject>
  <cp:lastModifiedBy>César Zamora Martínez</cp:lastModifiedBy>
  <cp:lastPrinted>2010-04-20T10:31:05Z</cp:lastPrinted>
  <dcterms:created xsi:type="dcterms:W3CDTF">1997-01-23T15:12:23Z</dcterms:created>
  <dcterms:modified xsi:type="dcterms:W3CDTF">2015-10-14T22:20:05Z</dcterms:modified>
</cp:coreProperties>
</file>