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FT\Modelos de Costos\Consulta Pública - Modelos de Costos\13102015 - Accesibilidad\4. Coubicación Fija\"/>
    </mc:Choice>
  </mc:AlternateContent>
  <bookViews>
    <workbookView xWindow="0" yWindow="0" windowWidth="28800" windowHeight="12435" firstSheet="1" activeTab="3"/>
  </bookViews>
  <sheets>
    <sheet name="C" sheetId="50" r:id="rId1"/>
    <sheet name="S" sheetId="47" r:id="rId2"/>
    <sheet name="L" sheetId="49" r:id="rId3"/>
    <sheet name="Control" sheetId="51" r:id="rId4"/>
    <sheet name="Caracteristicas tecnicas" sheetId="56" r:id="rId5"/>
    <sheet name="Dimensionado" sheetId="52" r:id="rId6"/>
    <sheet name="Costos unitarios" sheetId="53" r:id="rId7"/>
    <sheet name="Costeo" sheetId="54" r:id="rId8"/>
    <sheet name="Precio" sheetId="55" r:id="rId9"/>
  </sheets>
  <definedNames>
    <definedName name="actualizar.seleccion">L!$C$67</definedName>
    <definedName name="aire.acondicionado.capacidad.superficie">Control!$F$92</definedName>
    <definedName name="aire.acondicionado.espacio.maniobra">Control!$H$93</definedName>
    <definedName name="año">L!$C$49:$C$58</definedName>
    <definedName name="año.activo">Control!$F$45</definedName>
    <definedName name="area.espacio.overheads">Dimensionado!$F$65</definedName>
    <definedName name="area.exterior.central.telmex">Dimensionado!$F$16</definedName>
    <definedName name="area.libre.CS">Control!$F$115</definedName>
    <definedName name="area.ocupada.predio">Dimensionado!$F$8</definedName>
    <definedName name="area.sala.baterias">Dimensionado!$F$60</definedName>
    <definedName name="area.sala.control">Dimensionado!$F$31</definedName>
    <definedName name="area.sala.coubicacion.CS">Dimensionado!$F$27</definedName>
    <definedName name="area.sala.coubicacion.CS1">Dimensionado!$F$24</definedName>
    <definedName name="area.sala.coubicacion.CS2">Dimensionado!$F$25</definedName>
    <definedName name="area.sala.coubicacion.CS3">Dimensionado!$F$26</definedName>
    <definedName name="area.sala.coubicacion.externa.CS">Dimensionado!$F$77</definedName>
    <definedName name="area.sala.coubicacion.externa.CS1">Dimensionado!$F$73</definedName>
    <definedName name="area.sala.coubicacion.externa.CS2">Dimensionado!$F$74</definedName>
    <definedName name="area.sala.coubicacion.externa.CS3">Dimensionado!$F$75</definedName>
    <definedName name="area.sala.emergencia">Dimensionado!$F$54</definedName>
    <definedName name="area.sala.MDF.AEP">Dimensionado!$F$20</definedName>
    <definedName name="area.sala.subestacion.electrica">Dimensionado!$F$43</definedName>
    <definedName name="area.sala.subestacion.electrica.AEP">Dimensionado!$F$45</definedName>
    <definedName name="area.sala.subestacion.electrica.CS1">Dimensionado!$F$46</definedName>
    <definedName name="area.sala.subestacion.electrica.CS2">Dimensionado!$F$47</definedName>
    <definedName name="area.sala.subestacion.electrica.CS3">Dimensionado!$F$48</definedName>
    <definedName name="area.sala.switching">Dimensionado!$F$35</definedName>
    <definedName name="area.sala.transmision">Dimensionado!$F$39</definedName>
    <definedName name="area.salas.central.telmex">Dimensionado!$F$15</definedName>
    <definedName name="area.total.predio">Dimensionado!$F$11</definedName>
    <definedName name="asignacion.aireacondicionado.cs1">Precio!$K$30:$K$35</definedName>
    <definedName name="asignacion.aireacondicionado.cs2">Precio!$K$51:$K$56</definedName>
    <definedName name="asignacion.aireacondicionado.cs3">Precio!$K$72:$K$77</definedName>
    <definedName name="asignacion.coubicacion.cs1">Precio!$H$30:$H$35</definedName>
    <definedName name="asignacion.coubicacion.cs2">Precio!$H$51:$H$56</definedName>
    <definedName name="asignacion.coubicacion.cs3">Precio!$H$72:$H$77</definedName>
    <definedName name="asignacion.fuente.energia.respaldo.cs1">Precio!$J$30:$J$35</definedName>
    <definedName name="asignacion.fuente.energia.respaldo.cs2">Precio!$J$51:$J$56</definedName>
    <definedName name="asignacion.fuente.energia.respaldo.cs3">Precio!$J$72:$J$77</definedName>
    <definedName name="asignacion.subestacion.electrica.cs1">Precio!$I$30:$I$35</definedName>
    <definedName name="asignacion.subestacion.electrica.cs2">Precio!$I$51:$I$56</definedName>
    <definedName name="asignacion.subestacion.electrica.cs3">Precio!$I$72:$I$77</definedName>
    <definedName name="backup.minimo.baterias.rural">Control!$F$104</definedName>
    <definedName name="backup.minimo.baterias.urbano">Control!$F$103</definedName>
    <definedName name="backup.minimo.generador.diesel.rural">Control!$F$107</definedName>
    <definedName name="backup.minimo.generador.diesel.urbano">Control!$F$106</definedName>
    <definedName name="bucles.central.telmex">Control!$F$37</definedName>
    <definedName name="calculos.secundarios.Sala_de_control">'Caracteristicas tecnicas'!$D$7:$G$7</definedName>
    <definedName name="calculos.secundarios.Sala_de_switching">'Caracteristicas tecnicas'!$D$8:$G$8</definedName>
    <definedName name="calculos.secundarios.Sala_de_switching_del_AEP">'Caracteristicas tecnicas'!$D$8:$G$8</definedName>
    <definedName name="calculos.secundarios.Sala_equipos_de_transmisión_del_AEP">'Caracteristicas tecnicas'!$D$9:$G$9</definedName>
    <definedName name="calculos.secundarios.Sala_MDF">'Caracteristicas tecnicas'!$D$6:$G$6</definedName>
    <definedName name="calculos.secundarios.Sala_planta_de_emergencia">'Caracteristicas tecnicas'!$D$45</definedName>
    <definedName name="calculos.secundarios.Sala_subestacion_electrica">'Caracteristicas tecnicas'!$D$44</definedName>
    <definedName name="calculos.secundarios.tamano.caseta">'Caracteristicas tecnicas'!$D$5:$G$5</definedName>
    <definedName name="capacidad.fuente.energia.respaldo">Control!$F$101</definedName>
    <definedName name="capacidad.utilizada.aire.acondicionado">Dimensionado!$F$106</definedName>
    <definedName name="capex.aire.acondicionado">Costeo!$X$32</definedName>
    <definedName name="capex.central.telmex">Costeo!$X$16</definedName>
    <definedName name="capex.central.telmex.para.movil">Costeo!$AB$16</definedName>
    <definedName name="capex.fuente.energia.respaldo">Costeo!$X$28</definedName>
    <definedName name="capex.predio">Costeo!$X$12</definedName>
    <definedName name="capex.sala.coubicacion.externa">Costeo!$X$20</definedName>
    <definedName name="capex.subestacion.electrica">Costeo!$X$24</definedName>
    <definedName name="capex.unitario.acquisicion.predio">'Costos unitarios'!$L$10:$L$21</definedName>
    <definedName name="capex.unitario.aire.acondicionado">'Costos unitarios'!$I$82</definedName>
    <definedName name="capex.unitario.central.telmex">'Costos unitarios'!$I$26:$I$41</definedName>
    <definedName name="capex.unitario.fuente.energia.respaldo">'Costos unitarios'!$I$77:$I$77</definedName>
    <definedName name="capex.unitario.obras.adecuacion.predio">'Costos unitarios'!$I$10:$I$21</definedName>
    <definedName name="capex.unitario.sala.coubicacion.externa">'Costos unitarios'!$I$50:$I$65</definedName>
    <definedName name="capex.unitario.subestacion.electrica">'Costos unitarios'!$I$70:$I$71</definedName>
    <definedName name="consumo.equipos.AEP">Control!$F$83</definedName>
    <definedName name="consumo.equipos.CS1">Control!$H$84</definedName>
    <definedName name="consumo.equipos.CS2">Control!$H$85</definedName>
    <definedName name="consumo.equipos.CS3">Control!$H$86</definedName>
    <definedName name="consumo.equipos.subestacion.electrica">Dimensionado!$F$86</definedName>
    <definedName name="corriente.energia">L!$C$84:$C$85</definedName>
    <definedName name="corriente.energia.activa">Control!$F$80</definedName>
    <definedName name="costos.considerados">L!$C$94:$C$95</definedName>
    <definedName name="costos.considerados.activo">Control!$F$49</definedName>
    <definedName name="costos.considerados.activo.indice">Control!$H$49</definedName>
    <definedName name="cs1.activo">Control!$F$61</definedName>
    <definedName name="cs2.activo">Control!$F$62</definedName>
    <definedName name="cs3.activo">Control!$F$63</definedName>
    <definedName name="dias.por.mes">L!$C$107</definedName>
    <definedName name="disponibilidad">L!$C$72:$C$73</definedName>
    <definedName name="error">L!$C$68</definedName>
    <definedName name="espacio.coubicacion.activo.CS1">Control!$H$69</definedName>
    <definedName name="espacio.coubicacion.activo.CS2">Control!$H$70</definedName>
    <definedName name="espacio.coubicacion.activo.CS3">Control!$H$71</definedName>
    <definedName name="espacio.exclusivo.AEP">Control!$H$68</definedName>
    <definedName name="espacio.overheads.CS.activo">Control!$F$77</definedName>
    <definedName name="factor.conversion.kVA.kW">Control!$F$82</definedName>
    <definedName name="factor.conversion.kW.kVA">Control!$F$81</definedName>
    <definedName name="fuente.energia.respaldo.activo.AEP">Control!$F$96</definedName>
    <definedName name="gasto.anual.aire.acondicionado">Costeo!$Z$32</definedName>
    <definedName name="gasto.anual.central.telmex">Costeo!$Z$16</definedName>
    <definedName name="gasto.anual.fuente.energia.respaldo">Costeo!$Z$28</definedName>
    <definedName name="gasto.anual.predio">Costeo!$Z$12</definedName>
    <definedName name="gasto.anual.sala.coubicacion.externa">Costeo!$Z$20</definedName>
    <definedName name="gasto.anual.subestacion.electrica">Costeo!$Z$24</definedName>
    <definedName name="geotipo">L!$C$41:$C$45</definedName>
    <definedName name="geotipo.activo">Control!$F$34</definedName>
    <definedName name="horas.backup.fuente.energia.respaldo.baterias">Control!$F$102</definedName>
    <definedName name="horas.backup.fuente.energia.respaldo.generador.diesel">Control!$F$105</definedName>
    <definedName name="horas.por.dia">L!$C$106</definedName>
    <definedName name="hundred">L!$C$4</definedName>
    <definedName name="id.central.telmex.activo">Control!$F$41</definedName>
    <definedName name="id.predio.activo">Control!$F$36</definedName>
    <definedName name="identificador.central.telmex">'Costos unitarios'!$E$26:$E$41</definedName>
    <definedName name="identificador.fuente.energia.respaldo">'Costos unitarios'!$E$77:$E$77</definedName>
    <definedName name="identificador.predio">'Costos unitarios'!$E$10:$E$21</definedName>
    <definedName name="identificador.sala.coubicacion.externa">'Costos unitarios'!$E$50:$E$65</definedName>
    <definedName name="identificador.subestacion.electrica">'Costos unitarios'!$E$70:$E$71</definedName>
    <definedName name="kW.por.ton">L!$C$105</definedName>
    <definedName name="lista.activos">L!$C$19:$C$26</definedName>
    <definedName name="lista.componentes.central.telmex">L!$E$19:$E$30</definedName>
    <definedName name="lista.componentes.predio">L!$N$19:$N$22</definedName>
    <definedName name="lista.servicios">L!$C$77:$C$80</definedName>
    <definedName name="m2.por.bateria">'Caracteristicas tecnicas'!$D$46</definedName>
    <definedName name="markup.area.exterior.central.telmex">Control!$F$119</definedName>
    <definedName name="markup.espacio.overheads">Control!$F$118</definedName>
    <definedName name="markup.overhead.capex">Control!$F$55</definedName>
    <definedName name="markup.overhead.opex">Control!$F$56</definedName>
    <definedName name="markup.predio">Control!$F$113</definedName>
    <definedName name="markup.sala.AEP">Control!$F$122</definedName>
    <definedName name="markup.sala.CS">Control!$F$123</definedName>
    <definedName name="markup.zona.rural">Control!$F$114</definedName>
    <definedName name="meses.por.año">L!$C$108</definedName>
    <definedName name="million">L!$C$6</definedName>
    <definedName name="no">L!$C$73</definedName>
    <definedName name="not.available">L!$C$11</definedName>
    <definedName name="numero.baterias">'Caracteristicas tecnicas'!$C$79</definedName>
    <definedName name="numero.CS">L!$C$30:$C$32</definedName>
    <definedName name="numero.CS.activo">Control!$F$60</definedName>
    <definedName name="numero.plantas.central.telmex.activo">Control!$F$39</definedName>
    <definedName name="ok">L!$C$69</definedName>
    <definedName name="opcion.fuente.energia.respaldo">L!$C$111:$C$112</definedName>
    <definedName name="opcion.fuente.energia.respaldo.activa">Control!$F$100</definedName>
    <definedName name="opex.aire.acondicionado">Costeo!$Y$32</definedName>
    <definedName name="opex.anual.alquiler.central.telmex">'Costos unitarios'!$P$26:$P$41</definedName>
    <definedName name="opex.anual.alquiler.predio">'Costos unitarios'!$P$10:$P$21</definedName>
    <definedName name="opex.anual.alquiler.sala.coubicacion.externa">'Costos unitarios'!$P$50:$P$65</definedName>
    <definedName name="opex.anual.mantenimiento.aire.acondicionado">'Costos unitarios'!$Q$82</definedName>
    <definedName name="opex.anual.mantenimiento.central.telmex">'Costos unitarios'!$T$26:$T$41</definedName>
    <definedName name="opex.anual.mantenimiento.predio">'Costos unitarios'!$T$10:$T$21</definedName>
    <definedName name="opex.anual.mantenimiento.sala.coubicacion.externa">'Costos unitarios'!$T$50:$T$65</definedName>
    <definedName name="opex.anual.mantenimiento.subestacion.electrica">'Costos unitarios'!$Q$70:$Q$71</definedName>
    <definedName name="opex.central.telmex">Costeo!$Y$16</definedName>
    <definedName name="opex.central.telmex.para.movil">Costeo!$AC$16</definedName>
    <definedName name="opex.energia.kWh">'Costos unitarios'!$R$85</definedName>
    <definedName name="opex.fuente.energia.respaldo">Costeo!$Y$28</definedName>
    <definedName name="opex.predio">Costeo!$Y$12</definedName>
    <definedName name="opex.sala.coubicacion.externa">Costeo!$Y$20</definedName>
    <definedName name="opex.subestacion.electrica">Costeo!$Y$24</definedName>
    <definedName name="opex.unitario.fuente.energia.respaldo">'Costos unitarios'!$Q$77:$Q$77</definedName>
    <definedName name="perfil.recuperacion.costos">L!$C$99:$C$100</definedName>
    <definedName name="perfil.recuperacion.costos.activo">Control!$F$50</definedName>
    <definedName name="perfil.recuperacion.costos.activo.indice">Control!$H$50</definedName>
    <definedName name="potencia.minima.fuente.energia.respaldo">Dimensionado!$F$97</definedName>
    <definedName name="predio.activo">Control!$F$112</definedName>
    <definedName name="propiedad.predio">L!$C$36:$C$38</definedName>
    <definedName name="propriedad.predio.activo">Control!$F$35</definedName>
    <definedName name="sala.control.CS.activo">Control!$F$74</definedName>
    <definedName name="sala.equipos.transmision.CS.activo">Control!$F$76</definedName>
    <definedName name="sala.switching.CS.activo">Control!$F$75</definedName>
    <definedName name="sens.capex.unitarios">Control!$F$51</definedName>
    <definedName name="sens.opex.unitarios">Control!$F$52</definedName>
    <definedName name="si">L!$C$72</definedName>
    <definedName name="solicitacion.aire.acondicionado.activo">Control!$F$91</definedName>
    <definedName name="solicitacion.fuente.energia.respaldo.activo.CS1">Control!$F$97</definedName>
    <definedName name="solicitacion.fuente.energia.respaldo.activo.CS2">Control!$F$98</definedName>
    <definedName name="solicitacion.fuente.energia.respaldo.activo.CS3">Control!$F$99</definedName>
    <definedName name="spare">L!$C$9</definedName>
    <definedName name="tamaño.central.Telmex">L!$I$19:$I$22</definedName>
    <definedName name="thousand">L!$C$5</definedName>
    <definedName name="tipo.central.telmex.activa">Control!$F$38</definedName>
    <definedName name="tipo.coubicacion">L!$C$62:$C$63</definedName>
    <definedName name="tipo.coubicacion.activo.CS1">Control!$F$64</definedName>
    <definedName name="tipo.coubicacion.activo.CS2">Control!$F$65</definedName>
    <definedName name="tipo.coubicacion.activo.CS3">Control!$F$66</definedName>
    <definedName name="true.false">L!$C$14:$C$15</definedName>
    <definedName name="vida.util">L!$C$89:$C$90</definedName>
    <definedName name="vida.util.activo">Control!$F$48</definedName>
    <definedName name="vida.util.activo.indice">Control!$H$48</definedName>
    <definedName name="vida.util.aire.acondicionado">'Costos unitarios'!$X$82</definedName>
    <definedName name="vida.util.central.telmex">'Costos unitarios'!$X$26:$X$41</definedName>
    <definedName name="vida.util.fuente.energia.respaldo">'Costos unitarios'!$X$77:$X$77</definedName>
    <definedName name="vida.util.predio">'Costos unitarios'!$X$10:$X$21</definedName>
    <definedName name="vida.util.restante.aire.acondicionado">'Costos unitarios'!$Y$82</definedName>
    <definedName name="vida.util.restante.central.telmex">'Costos unitarios'!$Y$26:$Y$41</definedName>
    <definedName name="vida.util.restante.fuente.energia.respaldo">'Costos unitarios'!$Y$77:$Y$77</definedName>
    <definedName name="vida.util.restante.predio">'Costos unitarios'!$Y$10:$Y$21</definedName>
    <definedName name="vida.util.restante.sala.coubicacion.externa">'Costos unitarios'!$Y$50:$Y$65</definedName>
    <definedName name="vida.util.restante.subestacion.electrica">'Costos unitarios'!$Y$70:$Y$71</definedName>
    <definedName name="vida.util.sala.coubicacion.externa">'Costos unitarios'!$X$50:$X$65</definedName>
    <definedName name="vida.util.subestacion.electrica">'Costos unitarios'!$X$70:$X$71</definedName>
    <definedName name="void">L!$C$10</definedName>
    <definedName name="wacc">Control!$F$46</definedName>
    <definedName name="Workbook.Author">'C'!$B$14</definedName>
    <definedName name="Workbook.Authors_Email_Address">'C'!$B$15</definedName>
    <definedName name="Workbook.Objective">'C'!$B$6</definedName>
    <definedName name="Workbook.Status">'C'!$B$9</definedName>
    <definedName name="Workbook.Title">'C'!$B$5</definedName>
    <definedName name="Workbook.Version">'C'!$B$8</definedName>
  </definedNames>
  <calcPr calcId="152511"/>
</workbook>
</file>

<file path=xl/calcChain.xml><?xml version="1.0" encoding="utf-8"?>
<calcChain xmlns="http://schemas.openxmlformats.org/spreadsheetml/2006/main">
  <c r="H93" i="51" l="1"/>
  <c r="K31" i="55" s="1"/>
  <c r="H44" i="55"/>
  <c r="H45" i="55"/>
  <c r="D25" i="51"/>
  <c r="D18" i="51"/>
  <c r="D11" i="51"/>
  <c r="H87" i="55"/>
  <c r="H86" i="55"/>
  <c r="H66" i="55"/>
  <c r="H65" i="55"/>
  <c r="J87" i="55"/>
  <c r="J86" i="55"/>
  <c r="J66" i="55"/>
  <c r="J65" i="55"/>
  <c r="J45" i="55"/>
  <c r="J44" i="55"/>
  <c r="B81" i="55"/>
  <c r="C81" i="55" s="1"/>
  <c r="C80" i="55"/>
  <c r="B73" i="55"/>
  <c r="C73" i="55" s="1"/>
  <c r="C72" i="55"/>
  <c r="H70" i="55" a="1"/>
  <c r="I70" i="55" s="1"/>
  <c r="B60" i="55"/>
  <c r="C60" i="55" s="1"/>
  <c r="C59" i="55"/>
  <c r="B52" i="55"/>
  <c r="C52" i="55" s="1"/>
  <c r="C51" i="55"/>
  <c r="H49" i="55" a="1"/>
  <c r="I49" i="55" s="1"/>
  <c r="B39" i="55"/>
  <c r="B40" i="55" s="1"/>
  <c r="B31" i="55"/>
  <c r="B32" i="55" s="1"/>
  <c r="C38" i="55"/>
  <c r="C30" i="55"/>
  <c r="H28" i="55" a="1"/>
  <c r="K28" i="55" s="1"/>
  <c r="K52" i="55" l="1"/>
  <c r="K73" i="55"/>
  <c r="C39" i="55"/>
  <c r="B74" i="55"/>
  <c r="B75" i="55" s="1"/>
  <c r="C75" i="55" s="1"/>
  <c r="B53" i="55"/>
  <c r="B54" i="55" s="1"/>
  <c r="B55" i="55" s="1"/>
  <c r="K70" i="55"/>
  <c r="H70" i="55"/>
  <c r="J70" i="55"/>
  <c r="B82" i="55"/>
  <c r="K49" i="55"/>
  <c r="J49" i="55"/>
  <c r="B61" i="55"/>
  <c r="H49" i="55"/>
  <c r="B33" i="55"/>
  <c r="C32" i="55"/>
  <c r="C40" i="55"/>
  <c r="B41" i="55"/>
  <c r="C31" i="55"/>
  <c r="H28" i="55"/>
  <c r="I28" i="55"/>
  <c r="J28" i="55"/>
  <c r="I143" i="55"/>
  <c r="J120" i="55"/>
  <c r="F96" i="51"/>
  <c r="I138" i="55" s="1"/>
  <c r="I137" i="55" l="1"/>
  <c r="F92" i="52"/>
  <c r="C74" i="55"/>
  <c r="C54" i="55"/>
  <c r="B76" i="55"/>
  <c r="C76" i="55" s="1"/>
  <c r="C53" i="55"/>
  <c r="B83" i="55"/>
  <c r="C82" i="55"/>
  <c r="B77" i="55"/>
  <c r="C77" i="55" s="1"/>
  <c r="B62" i="55"/>
  <c r="C61" i="55"/>
  <c r="B56" i="55"/>
  <c r="C56" i="55" s="1"/>
  <c r="C55" i="55"/>
  <c r="C41" i="55"/>
  <c r="B42" i="55"/>
  <c r="B34" i="55"/>
  <c r="C33" i="55"/>
  <c r="K200" i="55"/>
  <c r="L200" i="55"/>
  <c r="M200" i="55"/>
  <c r="C83" i="55" l="1"/>
  <c r="B84" i="55"/>
  <c r="C62" i="55"/>
  <c r="B63" i="55"/>
  <c r="B43" i="55"/>
  <c r="C42" i="55"/>
  <c r="B35" i="55"/>
  <c r="C35" i="55" s="1"/>
  <c r="C34" i="55"/>
  <c r="P71" i="53"/>
  <c r="B85" i="55" l="1"/>
  <c r="C84" i="55"/>
  <c r="C63" i="55"/>
  <c r="B64" i="55"/>
  <c r="B44" i="55"/>
  <c r="C43" i="55"/>
  <c r="V71" i="53"/>
  <c r="W71" i="53"/>
  <c r="C85" i="55" l="1"/>
  <c r="B86" i="55"/>
  <c r="C64" i="55"/>
  <c r="B65" i="55"/>
  <c r="C44" i="55"/>
  <c r="B45" i="55"/>
  <c r="G27" i="53"/>
  <c r="G26" i="53"/>
  <c r="G29" i="53"/>
  <c r="G32" i="53"/>
  <c r="G33" i="53" s="1"/>
  <c r="G35" i="53"/>
  <c r="B87" i="55" l="1"/>
  <c r="C86" i="55"/>
  <c r="B66" i="55"/>
  <c r="C65" i="55"/>
  <c r="C45" i="55"/>
  <c r="B46" i="55"/>
  <c r="H84" i="51"/>
  <c r="J138" i="55" l="1"/>
  <c r="J137" i="55"/>
  <c r="J143" i="55"/>
  <c r="F93" i="52"/>
  <c r="C87" i="55"/>
  <c r="B88" i="55"/>
  <c r="C66" i="55"/>
  <c r="B67" i="55"/>
  <c r="B47" i="55"/>
  <c r="C46" i="55"/>
  <c r="F105" i="51"/>
  <c r="F102" i="51"/>
  <c r="D24" i="54"/>
  <c r="V54" i="53"/>
  <c r="W54" i="53"/>
  <c r="V55" i="53"/>
  <c r="W55" i="53"/>
  <c r="V56" i="53"/>
  <c r="W56" i="53"/>
  <c r="V57" i="53"/>
  <c r="W57" i="53"/>
  <c r="V58" i="53"/>
  <c r="W58" i="53"/>
  <c r="V59" i="53"/>
  <c r="W59" i="53"/>
  <c r="V60" i="53"/>
  <c r="W60" i="53"/>
  <c r="V61" i="53"/>
  <c r="W61" i="53"/>
  <c r="V62" i="53"/>
  <c r="W62" i="53"/>
  <c r="V63" i="53"/>
  <c r="W63" i="53"/>
  <c r="V64" i="53"/>
  <c r="W64" i="53"/>
  <c r="V65" i="53"/>
  <c r="W65" i="53"/>
  <c r="H51" i="53"/>
  <c r="G52" i="53"/>
  <c r="H52" i="53"/>
  <c r="H53" i="53"/>
  <c r="H54" i="53"/>
  <c r="G55" i="53"/>
  <c r="H55" i="53"/>
  <c r="H56" i="53"/>
  <c r="H57" i="53"/>
  <c r="G58" i="53"/>
  <c r="H58" i="53"/>
  <c r="H59" i="53"/>
  <c r="H60" i="53"/>
  <c r="H61" i="53"/>
  <c r="H62" i="53"/>
  <c r="H63" i="53"/>
  <c r="H64" i="53"/>
  <c r="H65" i="53"/>
  <c r="H50" i="53"/>
  <c r="E65" i="53"/>
  <c r="E64" i="53"/>
  <c r="E63" i="53"/>
  <c r="E62" i="53"/>
  <c r="E61" i="53"/>
  <c r="E60" i="53"/>
  <c r="E59" i="53"/>
  <c r="E58" i="53"/>
  <c r="E57" i="53"/>
  <c r="E56" i="53"/>
  <c r="E55" i="53"/>
  <c r="E54" i="53"/>
  <c r="E53" i="53"/>
  <c r="E52" i="53"/>
  <c r="E51" i="53"/>
  <c r="E50" i="53"/>
  <c r="B89" i="55" l="1"/>
  <c r="C88" i="55"/>
  <c r="C67" i="55"/>
  <c r="B68" i="55"/>
  <c r="V30" i="53"/>
  <c r="W30" i="53"/>
  <c r="V31" i="53"/>
  <c r="W31" i="53"/>
  <c r="V32" i="53"/>
  <c r="W32" i="53"/>
  <c r="V33" i="53"/>
  <c r="W33" i="53"/>
  <c r="V34" i="53"/>
  <c r="W34" i="53"/>
  <c r="V35" i="53"/>
  <c r="W35" i="53"/>
  <c r="V36" i="53"/>
  <c r="W36" i="53"/>
  <c r="V37" i="53"/>
  <c r="W37" i="53"/>
  <c r="V38" i="53"/>
  <c r="W38" i="53"/>
  <c r="V39" i="53"/>
  <c r="W39" i="53"/>
  <c r="V40" i="53"/>
  <c r="W40" i="53"/>
  <c r="V41" i="53"/>
  <c r="W41" i="53"/>
  <c r="G30" i="53"/>
  <c r="G54" i="53" s="1"/>
  <c r="G56" i="53"/>
  <c r="G57" i="53"/>
  <c r="G40" i="53"/>
  <c r="G39" i="53"/>
  <c r="G63" i="53" s="1"/>
  <c r="G36" i="53"/>
  <c r="G59" i="53"/>
  <c r="G38" i="53"/>
  <c r="G62" i="53" s="1"/>
  <c r="G53" i="53"/>
  <c r="G51" i="53"/>
  <c r="G50" i="53"/>
  <c r="E27" i="53"/>
  <c r="E28" i="53"/>
  <c r="E29" i="53"/>
  <c r="E30" i="53"/>
  <c r="E31" i="53"/>
  <c r="E32" i="53"/>
  <c r="E33" i="53"/>
  <c r="E34" i="53"/>
  <c r="E35" i="53"/>
  <c r="E36" i="53"/>
  <c r="E37" i="53"/>
  <c r="E38" i="53"/>
  <c r="E39" i="53"/>
  <c r="E40" i="53"/>
  <c r="E41" i="53"/>
  <c r="E26" i="53"/>
  <c r="G60" i="53" l="1"/>
  <c r="G37" i="53"/>
  <c r="G61" i="53" s="1"/>
  <c r="G64" i="53"/>
  <c r="G41" i="53"/>
  <c r="G65" i="53" s="1"/>
  <c r="H59" i="56"/>
  <c r="H58" i="56"/>
  <c r="H57" i="56"/>
  <c r="H55" i="56"/>
  <c r="H56" i="56"/>
  <c r="H54" i="56"/>
  <c r="H53" i="56"/>
  <c r="H52" i="56"/>
  <c r="E58" i="56"/>
  <c r="E59" i="56"/>
  <c r="E57" i="56"/>
  <c r="E56" i="56"/>
  <c r="E55" i="56"/>
  <c r="E54" i="56"/>
  <c r="E53" i="56"/>
  <c r="E52" i="56"/>
  <c r="Q85" i="56"/>
  <c r="Q86" i="56"/>
  <c r="Q87" i="56"/>
  <c r="Q88" i="56"/>
  <c r="Q89" i="56"/>
  <c r="Q90" i="56"/>
  <c r="Q91" i="56"/>
  <c r="Q92" i="56"/>
  <c r="Q93" i="56"/>
  <c r="Q94" i="56"/>
  <c r="Q95" i="56"/>
  <c r="Q96" i="56"/>
  <c r="Q97" i="56"/>
  <c r="Q98" i="56"/>
  <c r="Q99" i="56"/>
  <c r="Q100" i="56"/>
  <c r="Q101" i="56"/>
  <c r="Q102" i="56"/>
  <c r="Q103" i="56"/>
  <c r="Q104" i="56"/>
  <c r="Q84" i="56"/>
  <c r="P85" i="56"/>
  <c r="P86" i="56"/>
  <c r="P87" i="56"/>
  <c r="P88" i="56"/>
  <c r="P89" i="56"/>
  <c r="P90" i="56"/>
  <c r="P91" i="56"/>
  <c r="P92" i="56"/>
  <c r="P93" i="56"/>
  <c r="P94" i="56"/>
  <c r="P95" i="56"/>
  <c r="P96" i="56"/>
  <c r="P97" i="56"/>
  <c r="P98" i="56"/>
  <c r="P99" i="56"/>
  <c r="P100" i="56"/>
  <c r="P101" i="56"/>
  <c r="P102" i="56"/>
  <c r="P103" i="56"/>
  <c r="P104" i="56"/>
  <c r="P84" i="56"/>
  <c r="F81" i="51" l="1"/>
  <c r="D69" i="56" l="1"/>
  <c r="C69" i="56"/>
  <c r="D68" i="56"/>
  <c r="C68" i="56"/>
  <c r="C70" i="56" l="1"/>
  <c r="C71" i="56" s="1"/>
  <c r="F36" i="51" l="1"/>
  <c r="D12" i="54" s="1"/>
  <c r="F105" i="52" l="1"/>
  <c r="E28" i="49" l="1"/>
  <c r="D34" i="56"/>
  <c r="D35" i="56"/>
  <c r="D36" i="56"/>
  <c r="D28" i="56"/>
  <c r="D30" i="56" s="1"/>
  <c r="D8" i="56" s="1"/>
  <c r="D9" i="56" s="1"/>
  <c r="E27" i="56"/>
  <c r="F27" i="56" s="1"/>
  <c r="G27" i="56" s="1"/>
  <c r="G35" i="56" s="1"/>
  <c r="E26" i="56"/>
  <c r="F26" i="56" s="1"/>
  <c r="G26" i="56" s="1"/>
  <c r="G34" i="56" s="1"/>
  <c r="E21" i="56"/>
  <c r="F21" i="56" s="1"/>
  <c r="G21" i="56" s="1"/>
  <c r="G28" i="56" s="1"/>
  <c r="E16" i="56"/>
  <c r="F16" i="56" s="1"/>
  <c r="G16" i="56" s="1"/>
  <c r="E19" i="56"/>
  <c r="F19" i="56" s="1"/>
  <c r="G19" i="56" s="1"/>
  <c r="D17" i="56"/>
  <c r="E17" i="56" s="1"/>
  <c r="F17" i="56" s="1"/>
  <c r="D18" i="56"/>
  <c r="E18" i="56" s="1"/>
  <c r="F18" i="56" s="1"/>
  <c r="G18" i="56" s="1"/>
  <c r="C47" i="55" l="1"/>
  <c r="C89" i="55"/>
  <c r="C68" i="55"/>
  <c r="F34" i="56"/>
  <c r="F28" i="56"/>
  <c r="F30" i="56" s="1"/>
  <c r="F8" i="56" s="1"/>
  <c r="F9" i="56" s="1"/>
  <c r="E34" i="56"/>
  <c r="E28" i="56"/>
  <c r="E30" i="56" s="1"/>
  <c r="E8" i="56" s="1"/>
  <c r="E9" i="56" s="1"/>
  <c r="F36" i="56"/>
  <c r="E35" i="56"/>
  <c r="G36" i="56"/>
  <c r="G38" i="56" s="1"/>
  <c r="G30" i="56"/>
  <c r="G8" i="56" s="1"/>
  <c r="G9" i="56" s="1"/>
  <c r="E36" i="56"/>
  <c r="F35" i="56"/>
  <c r="D38" i="56"/>
  <c r="G17" i="56"/>
  <c r="L19" i="49"/>
  <c r="F38" i="56" l="1"/>
  <c r="E38" i="56"/>
  <c r="B17" i="55"/>
  <c r="B18" i="55" s="1"/>
  <c r="C16" i="55"/>
  <c r="C18" i="55" l="1"/>
  <c r="B19" i="55"/>
  <c r="C17" i="55"/>
  <c r="B20" i="55" l="1"/>
  <c r="C19" i="55"/>
  <c r="C20" i="55" l="1"/>
  <c r="B21" i="55"/>
  <c r="B22" i="55" l="1"/>
  <c r="C21" i="55"/>
  <c r="C22" i="55" l="1"/>
  <c r="B23" i="55"/>
  <c r="B24" i="55" l="1"/>
  <c r="C23" i="55"/>
  <c r="C24" i="55" l="1"/>
  <c r="B25" i="55"/>
  <c r="C25" i="55" s="1"/>
  <c r="H64" i="51" l="1"/>
  <c r="I136" i="55" l="1"/>
  <c r="Q11" i="53"/>
  <c r="Q12" i="53"/>
  <c r="Q13" i="53"/>
  <c r="Q14" i="53"/>
  <c r="Q15" i="53"/>
  <c r="Q16" i="53"/>
  <c r="Q17" i="53"/>
  <c r="Q18" i="53"/>
  <c r="Q19" i="53"/>
  <c r="Q20" i="53"/>
  <c r="Q21" i="53"/>
  <c r="Q10" i="53"/>
  <c r="E29" i="49"/>
  <c r="F113" i="51"/>
  <c r="F9" i="52" l="1"/>
  <c r="J21" i="49"/>
  <c r="L21" i="49" s="1"/>
  <c r="J22" i="49"/>
  <c r="J20" i="49"/>
  <c r="F38" i="51" s="1"/>
  <c r="L20" i="49" l="1"/>
  <c r="D13" i="56" s="1" a="1"/>
  <c r="F75" i="51"/>
  <c r="F45" i="52" l="1"/>
  <c r="F41" i="51"/>
  <c r="D13" i="56"/>
  <c r="G13" i="56"/>
  <c r="E13" i="56"/>
  <c r="F13" i="56"/>
  <c r="H6" i="55" a="1"/>
  <c r="K6" i="55" s="1"/>
  <c r="H69" i="51"/>
  <c r="F76" i="51"/>
  <c r="W52" i="53"/>
  <c r="W53" i="53"/>
  <c r="W51" i="53"/>
  <c r="V52" i="53"/>
  <c r="V53" i="53"/>
  <c r="V51" i="53"/>
  <c r="F46" i="52"/>
  <c r="E70" i="53"/>
  <c r="E71" i="53"/>
  <c r="D16" i="54" l="1"/>
  <c r="D20" i="54"/>
  <c r="F20" i="56"/>
  <c r="F22" i="56" s="1"/>
  <c r="F6" i="56" s="1"/>
  <c r="F15" i="56"/>
  <c r="E20" i="56"/>
  <c r="E22" i="56" s="1"/>
  <c r="E6" i="56" s="1"/>
  <c r="E15" i="56"/>
  <c r="G20" i="56"/>
  <c r="G22" i="56" s="1"/>
  <c r="G6" i="56" s="1"/>
  <c r="G15" i="56"/>
  <c r="D15" i="56"/>
  <c r="D20" i="56"/>
  <c r="D22" i="56" s="1"/>
  <c r="D6" i="56" s="1"/>
  <c r="J136" i="55"/>
  <c r="J135" i="55"/>
  <c r="J134" i="55"/>
  <c r="H6" i="55"/>
  <c r="J6" i="55"/>
  <c r="I6" i="55"/>
  <c r="V28" i="53" l="1"/>
  <c r="W28" i="53"/>
  <c r="V29" i="53"/>
  <c r="W29" i="53"/>
  <c r="W27" i="53"/>
  <c r="V27" i="53"/>
  <c r="V12" i="53"/>
  <c r="W12" i="53"/>
  <c r="V13" i="53"/>
  <c r="W13" i="53"/>
  <c r="V14" i="53"/>
  <c r="W14" i="53"/>
  <c r="V15" i="53"/>
  <c r="W15" i="53"/>
  <c r="V16" i="53"/>
  <c r="W16" i="53"/>
  <c r="V17" i="53"/>
  <c r="W17" i="53"/>
  <c r="V18" i="53"/>
  <c r="W18" i="53"/>
  <c r="V19" i="53"/>
  <c r="W19" i="53"/>
  <c r="V20" i="53"/>
  <c r="W20" i="53"/>
  <c r="V21" i="53"/>
  <c r="W21" i="53"/>
  <c r="W11" i="53"/>
  <c r="V11" i="53"/>
  <c r="H50" i="51"/>
  <c r="H49" i="51"/>
  <c r="H48" i="51"/>
  <c r="X77" i="53" s="1"/>
  <c r="N28" i="54" s="1"/>
  <c r="X50" i="53" l="1"/>
  <c r="X51" i="53" s="1"/>
  <c r="X26" i="53"/>
  <c r="X70" i="53"/>
  <c r="X82" i="53"/>
  <c r="X10" i="53"/>
  <c r="X71" i="53"/>
  <c r="X52" i="53" l="1"/>
  <c r="X32" i="53"/>
  <c r="X36" i="53"/>
  <c r="X40" i="53"/>
  <c r="X37" i="53"/>
  <c r="X31" i="53"/>
  <c r="X35" i="53"/>
  <c r="X39" i="53"/>
  <c r="X30" i="53"/>
  <c r="X34" i="53"/>
  <c r="X38" i="53"/>
  <c r="X33" i="53"/>
  <c r="X41" i="53"/>
  <c r="F114" i="51"/>
  <c r="C187" i="55"/>
  <c r="C178" i="55"/>
  <c r="C179" i="55" s="1"/>
  <c r="C180" i="55" s="1"/>
  <c r="D177" i="55"/>
  <c r="D154" i="55"/>
  <c r="C155" i="55"/>
  <c r="C156" i="55" s="1"/>
  <c r="C157" i="55" s="1"/>
  <c r="C158" i="55" s="1"/>
  <c r="C159" i="55" s="1"/>
  <c r="C160" i="55" s="1"/>
  <c r="C161" i="55" s="1"/>
  <c r="C162" i="55" s="1"/>
  <c r="C163" i="55" s="1"/>
  <c r="D163" i="55" s="1"/>
  <c r="D131" i="55"/>
  <c r="C132" i="55"/>
  <c r="C133" i="55" s="1"/>
  <c r="D133" i="55" s="1"/>
  <c r="E77" i="53"/>
  <c r="N24" i="54"/>
  <c r="N71" i="53"/>
  <c r="N70" i="53"/>
  <c r="X53" i="53" l="1"/>
  <c r="D157" i="55"/>
  <c r="D161" i="55"/>
  <c r="D158" i="55"/>
  <c r="D162" i="55"/>
  <c r="D178" i="55"/>
  <c r="D155" i="55"/>
  <c r="D159" i="55"/>
  <c r="D156" i="55"/>
  <c r="D160" i="55"/>
  <c r="D180" i="55"/>
  <c r="C181" i="55"/>
  <c r="D179" i="55"/>
  <c r="D132" i="55"/>
  <c r="C134" i="55"/>
  <c r="E264" i="55"/>
  <c r="E29" i="51" s="1"/>
  <c r="E263" i="55"/>
  <c r="E28" i="51" s="1"/>
  <c r="E262" i="55"/>
  <c r="E27" i="51" s="1"/>
  <c r="B262" i="55"/>
  <c r="B263" i="55" s="1"/>
  <c r="E261" i="55"/>
  <c r="E26" i="51" s="1"/>
  <c r="C261" i="55"/>
  <c r="D26" i="51" s="1"/>
  <c r="E258" i="55"/>
  <c r="E257" i="55"/>
  <c r="E256" i="55"/>
  <c r="E255" i="55"/>
  <c r="E254" i="55"/>
  <c r="B254" i="55"/>
  <c r="B255" i="55" s="1"/>
  <c r="B256" i="55" s="1"/>
  <c r="E253" i="55"/>
  <c r="C253" i="55"/>
  <c r="E248" i="55"/>
  <c r="E247" i="55"/>
  <c r="E246" i="55"/>
  <c r="B246" i="55"/>
  <c r="B247" i="55" s="1"/>
  <c r="E245" i="55"/>
  <c r="C245" i="55"/>
  <c r="D19" i="51" s="1"/>
  <c r="E242" i="55"/>
  <c r="E241" i="55"/>
  <c r="E240" i="55"/>
  <c r="E22" i="51" s="1"/>
  <c r="E239" i="55"/>
  <c r="E21" i="51" s="1"/>
  <c r="E238" i="55"/>
  <c r="E20" i="51" s="1"/>
  <c r="B238" i="55"/>
  <c r="B239" i="55" s="1"/>
  <c r="E237" i="55"/>
  <c r="E19" i="51" s="1"/>
  <c r="C237" i="55"/>
  <c r="E232" i="55"/>
  <c r="E15" i="51" s="1"/>
  <c r="E231" i="55"/>
  <c r="E14" i="51" s="1"/>
  <c r="E230" i="55"/>
  <c r="E13" i="51" s="1"/>
  <c r="B230" i="55"/>
  <c r="C230" i="55" s="1"/>
  <c r="D13" i="51" s="1"/>
  <c r="E229" i="55"/>
  <c r="E12" i="51" s="1"/>
  <c r="C229" i="55"/>
  <c r="D12" i="51" s="1"/>
  <c r="E226" i="55"/>
  <c r="E225" i="55"/>
  <c r="E224" i="55"/>
  <c r="E223" i="55"/>
  <c r="E222" i="55"/>
  <c r="B222" i="55"/>
  <c r="C222" i="55" s="1"/>
  <c r="E221" i="55"/>
  <c r="C221" i="55"/>
  <c r="E214" i="55"/>
  <c r="E215" i="55"/>
  <c r="E216" i="55"/>
  <c r="E213" i="55"/>
  <c r="B214" i="55"/>
  <c r="B215" i="55" s="1"/>
  <c r="B216" i="55" s="1"/>
  <c r="C213" i="55"/>
  <c r="E210" i="55"/>
  <c r="E209" i="55"/>
  <c r="E208" i="55"/>
  <c r="E207" i="55"/>
  <c r="E206" i="55"/>
  <c r="B206" i="55"/>
  <c r="C206" i="55" s="1"/>
  <c r="E205" i="55"/>
  <c r="C205" i="55"/>
  <c r="E196" i="55"/>
  <c r="E197" i="55"/>
  <c r="E198" i="55"/>
  <c r="E199" i="55"/>
  <c r="E200" i="55"/>
  <c r="E195" i="55"/>
  <c r="B196" i="55"/>
  <c r="B197" i="55" s="1"/>
  <c r="C195" i="55"/>
  <c r="C190" i="55"/>
  <c r="C189" i="55"/>
  <c r="C188" i="55"/>
  <c r="C176" i="55"/>
  <c r="C174" i="55"/>
  <c r="D174" i="55" s="1"/>
  <c r="D173" i="55"/>
  <c r="C172" i="55"/>
  <c r="C167" i="55"/>
  <c r="C166" i="55"/>
  <c r="C165" i="55"/>
  <c r="C164" i="55"/>
  <c r="C153" i="55"/>
  <c r="C151" i="55"/>
  <c r="C152" i="55" s="1"/>
  <c r="D152" i="55" s="1"/>
  <c r="D150" i="55"/>
  <c r="C149" i="55"/>
  <c r="J128" i="55"/>
  <c r="I142" i="55"/>
  <c r="J141" i="55"/>
  <c r="C144" i="55"/>
  <c r="C143" i="55"/>
  <c r="C142" i="55"/>
  <c r="C141" i="55"/>
  <c r="C130" i="55"/>
  <c r="C128" i="55"/>
  <c r="C129" i="55" s="1"/>
  <c r="D129" i="55" s="1"/>
  <c r="D127" i="55"/>
  <c r="C126" i="55"/>
  <c r="J121" i="55"/>
  <c r="J119" i="55"/>
  <c r="L118" i="55"/>
  <c r="K118" i="55"/>
  <c r="J118" i="55"/>
  <c r="J117" i="55"/>
  <c r="J116" i="55"/>
  <c r="L115" i="55"/>
  <c r="K115" i="55"/>
  <c r="J115" i="55"/>
  <c r="J114" i="55"/>
  <c r="J113" i="55"/>
  <c r="C121" i="55"/>
  <c r="C120" i="55"/>
  <c r="C119" i="55"/>
  <c r="C118" i="55"/>
  <c r="C117" i="55"/>
  <c r="C115" i="55"/>
  <c r="D115" i="55" s="1"/>
  <c r="D114" i="55"/>
  <c r="C113" i="55"/>
  <c r="E104" i="55"/>
  <c r="E105" i="55"/>
  <c r="E106" i="55"/>
  <c r="E103" i="55"/>
  <c r="C103" i="55"/>
  <c r="B104" i="55"/>
  <c r="C104" i="55" s="1"/>
  <c r="P96" i="55"/>
  <c r="P97" i="55"/>
  <c r="P98" i="55"/>
  <c r="P99" i="55"/>
  <c r="P100" i="55"/>
  <c r="P95" i="55"/>
  <c r="O95" i="55"/>
  <c r="N96" i="55"/>
  <c r="O96" i="55" s="1"/>
  <c r="N97" i="55"/>
  <c r="O97" i="55" s="1"/>
  <c r="N98" i="55"/>
  <c r="O98" i="55" s="1"/>
  <c r="N99" i="55"/>
  <c r="O99" i="55" s="1"/>
  <c r="N100" i="55"/>
  <c r="O100" i="55" s="1"/>
  <c r="N95" i="55"/>
  <c r="E96" i="55"/>
  <c r="E97" i="55"/>
  <c r="E98" i="55"/>
  <c r="E99" i="55"/>
  <c r="E100" i="55"/>
  <c r="E95" i="55"/>
  <c r="B96" i="55"/>
  <c r="B97" i="55" s="1"/>
  <c r="B98" i="55" s="1"/>
  <c r="C95" i="55"/>
  <c r="X54" i="53" l="1"/>
  <c r="C116" i="55"/>
  <c r="D116" i="55" s="1"/>
  <c r="C246" i="55"/>
  <c r="D20" i="51" s="1"/>
  <c r="C254" i="55"/>
  <c r="C214" i="55"/>
  <c r="B207" i="55"/>
  <c r="B208" i="55" s="1"/>
  <c r="C208" i="55" s="1"/>
  <c r="D128" i="55"/>
  <c r="C182" i="55"/>
  <c r="D181" i="55"/>
  <c r="B240" i="55"/>
  <c r="C240" i="55" s="1"/>
  <c r="C239" i="55"/>
  <c r="C238" i="55"/>
  <c r="B223" i="55"/>
  <c r="B224" i="55" s="1"/>
  <c r="C224" i="55" s="1"/>
  <c r="D134" i="55"/>
  <c r="C135" i="55"/>
  <c r="C256" i="55"/>
  <c r="B257" i="55"/>
  <c r="C263" i="55"/>
  <c r="D28" i="51" s="1"/>
  <c r="B264" i="55"/>
  <c r="C255" i="55"/>
  <c r="C262" i="55"/>
  <c r="D27" i="51" s="1"/>
  <c r="B248" i="55"/>
  <c r="C247" i="55"/>
  <c r="D21" i="51" s="1"/>
  <c r="B231" i="55"/>
  <c r="C216" i="55"/>
  <c r="C215" i="55"/>
  <c r="C207" i="55"/>
  <c r="B198" i="55"/>
  <c r="C197" i="55"/>
  <c r="C196" i="55"/>
  <c r="C175" i="55"/>
  <c r="D175" i="55" s="1"/>
  <c r="D151" i="55"/>
  <c r="B105" i="55"/>
  <c r="C96" i="55"/>
  <c r="B99" i="55"/>
  <c r="C98" i="55"/>
  <c r="C97" i="55"/>
  <c r="C8" i="55"/>
  <c r="B9" i="55"/>
  <c r="B10" i="55" s="1"/>
  <c r="N32" i="54"/>
  <c r="D32" i="54"/>
  <c r="B30" i="54"/>
  <c r="B26" i="54"/>
  <c r="B22" i="54"/>
  <c r="B18" i="54"/>
  <c r="X28" i="53"/>
  <c r="X29" i="53"/>
  <c r="X27" i="53"/>
  <c r="B14" i="54"/>
  <c r="E10" i="53"/>
  <c r="E11" i="53"/>
  <c r="E12" i="53"/>
  <c r="E13" i="53"/>
  <c r="E14" i="53"/>
  <c r="E15" i="53"/>
  <c r="E16" i="53"/>
  <c r="E17" i="53"/>
  <c r="E18" i="53"/>
  <c r="E19" i="53"/>
  <c r="E20" i="53"/>
  <c r="E21" i="53"/>
  <c r="B10" i="54"/>
  <c r="N77" i="53"/>
  <c r="X55" i="53" l="1"/>
  <c r="B209" i="55"/>
  <c r="C209" i="55" s="1"/>
  <c r="B225" i="55"/>
  <c r="C225" i="55" s="1"/>
  <c r="C223" i="55"/>
  <c r="B241" i="55"/>
  <c r="B242" i="55" s="1"/>
  <c r="C242" i="55" s="1"/>
  <c r="C183" i="55"/>
  <c r="D182" i="55"/>
  <c r="C136" i="55"/>
  <c r="D135" i="55"/>
  <c r="C9" i="55"/>
  <c r="C264" i="55"/>
  <c r="D29" i="51" s="1"/>
  <c r="C257" i="55"/>
  <c r="B258" i="55"/>
  <c r="C258" i="55" s="1"/>
  <c r="C248" i="55"/>
  <c r="D22" i="51" s="1"/>
  <c r="B226" i="55"/>
  <c r="C226" i="55" s="1"/>
  <c r="C231" i="55"/>
  <c r="D14" i="51" s="1"/>
  <c r="B232" i="55"/>
  <c r="B210" i="55"/>
  <c r="C210" i="55" s="1"/>
  <c r="C198" i="55"/>
  <c r="B199" i="55"/>
  <c r="B106" i="55"/>
  <c r="C105" i="55"/>
  <c r="B11" i="55"/>
  <c r="C10" i="55"/>
  <c r="B100" i="55"/>
  <c r="C100" i="55" s="1"/>
  <c r="C99" i="55"/>
  <c r="X56" i="53" l="1"/>
  <c r="C241" i="55"/>
  <c r="C184" i="55"/>
  <c r="D183" i="55"/>
  <c r="C137" i="55"/>
  <c r="D136" i="55"/>
  <c r="C232" i="55"/>
  <c r="D15" i="51" s="1"/>
  <c r="C199" i="55"/>
  <c r="B200" i="55"/>
  <c r="C200" i="55" s="1"/>
  <c r="C106" i="55"/>
  <c r="C11" i="55"/>
  <c r="B12" i="55"/>
  <c r="X57" i="53" l="1"/>
  <c r="C185" i="55"/>
  <c r="D184" i="55"/>
  <c r="C138" i="55"/>
  <c r="D137" i="55"/>
  <c r="C12" i="55"/>
  <c r="B13" i="55"/>
  <c r="C13" i="55" s="1"/>
  <c r="B75" i="53"/>
  <c r="B68" i="53"/>
  <c r="N82" i="53"/>
  <c r="B80" i="53"/>
  <c r="X58" i="53" l="1"/>
  <c r="C186" i="55"/>
  <c r="D186" i="55" s="1"/>
  <c r="D185" i="55"/>
  <c r="C139" i="55"/>
  <c r="D138" i="55"/>
  <c r="B48" i="53"/>
  <c r="N16" i="54"/>
  <c r="B24" i="53"/>
  <c r="B8" i="53"/>
  <c r="X59" i="53" l="1"/>
  <c r="D139" i="55"/>
  <c r="C140" i="55"/>
  <c r="D140" i="55" s="1"/>
  <c r="F102" i="52"/>
  <c r="X60" i="53" l="1"/>
  <c r="F81" i="52"/>
  <c r="F71" i="52"/>
  <c r="F70" i="52"/>
  <c r="C63" i="52"/>
  <c r="C56" i="52"/>
  <c r="C50" i="52"/>
  <c r="C41" i="52"/>
  <c r="X61" i="53" l="1"/>
  <c r="F69" i="52"/>
  <c r="E30" i="49"/>
  <c r="X62" i="53" l="1"/>
  <c r="N20" i="54" s="1"/>
  <c r="C37" i="52"/>
  <c r="D5" i="56" a="1"/>
  <c r="E5" i="56" s="1"/>
  <c r="F63" i="51"/>
  <c r="L120" i="55" s="1"/>
  <c r="F62" i="51"/>
  <c r="K120" i="55" s="1"/>
  <c r="C4" i="53"/>
  <c r="C5" i="53" s="1"/>
  <c r="Y61" i="53" s="1"/>
  <c r="B100" i="52"/>
  <c r="B88" i="52"/>
  <c r="B79" i="52"/>
  <c r="B67" i="52"/>
  <c r="C33" i="52"/>
  <c r="C29" i="52"/>
  <c r="C22" i="52"/>
  <c r="C18" i="52"/>
  <c r="B13" i="52"/>
  <c r="B6" i="52"/>
  <c r="F10" i="52"/>
  <c r="C50" i="49"/>
  <c r="C51" i="49" s="1"/>
  <c r="C52" i="49" s="1"/>
  <c r="C53" i="49" s="1"/>
  <c r="C54" i="49" s="1"/>
  <c r="C55" i="49" s="1"/>
  <c r="C56" i="49" s="1"/>
  <c r="C57" i="49" s="1"/>
  <c r="C58" i="49" s="1"/>
  <c r="C26" i="49"/>
  <c r="C25" i="49"/>
  <c r="C1" i="50"/>
  <c r="F122" i="47"/>
  <c r="G122" i="47" s="1"/>
  <c r="F123" i="47"/>
  <c r="G123" i="47" s="1"/>
  <c r="F124" i="47"/>
  <c r="G124" i="47" s="1"/>
  <c r="E125" i="47"/>
  <c r="H125" i="47"/>
  <c r="F125" i="47"/>
  <c r="H86" i="51" l="1"/>
  <c r="F48" i="52" s="1"/>
  <c r="H85" i="51"/>
  <c r="Y51" i="53"/>
  <c r="Y52" i="53"/>
  <c r="Y53" i="53"/>
  <c r="Y54" i="53"/>
  <c r="Y55" i="53"/>
  <c r="Y56" i="53"/>
  <c r="Y57" i="53"/>
  <c r="Y58" i="53"/>
  <c r="Y59" i="53"/>
  <c r="Y60" i="53"/>
  <c r="X63" i="53"/>
  <c r="Y62" i="53"/>
  <c r="I33" i="53"/>
  <c r="I57" i="53" s="1"/>
  <c r="I40" i="53"/>
  <c r="I64" i="53" s="1"/>
  <c r="I38" i="53"/>
  <c r="I62" i="53" s="1"/>
  <c r="I32" i="53"/>
  <c r="I56" i="53" s="1"/>
  <c r="I39" i="53"/>
  <c r="I63" i="53" s="1"/>
  <c r="I30" i="53"/>
  <c r="I54" i="53" s="1"/>
  <c r="I34" i="53"/>
  <c r="I58" i="53" s="1"/>
  <c r="I41" i="53"/>
  <c r="I65" i="53" s="1"/>
  <c r="I31" i="53"/>
  <c r="I55" i="53" s="1"/>
  <c r="I37" i="53"/>
  <c r="I61" i="53" s="1"/>
  <c r="I35" i="53"/>
  <c r="I59" i="53" s="1"/>
  <c r="I36" i="53"/>
  <c r="I60" i="53" s="1"/>
  <c r="Y30" i="53"/>
  <c r="Y41" i="53"/>
  <c r="Y40" i="53"/>
  <c r="Y38" i="53"/>
  <c r="Y35" i="53"/>
  <c r="Y31" i="53"/>
  <c r="Y36" i="53"/>
  <c r="Y39" i="53"/>
  <c r="Y32" i="53"/>
  <c r="Y37" i="53"/>
  <c r="Y34" i="53"/>
  <c r="Y33" i="53"/>
  <c r="R85" i="53"/>
  <c r="G125" i="47"/>
  <c r="E129" i="47" a="1"/>
  <c r="H70" i="51"/>
  <c r="K134" i="55" s="1"/>
  <c r="H65" i="51"/>
  <c r="H71" i="51"/>
  <c r="L135" i="55" s="1"/>
  <c r="H66" i="51"/>
  <c r="L141" i="55"/>
  <c r="L128" i="55"/>
  <c r="K141" i="55"/>
  <c r="K128" i="55"/>
  <c r="Y50" i="53"/>
  <c r="Y77" i="53"/>
  <c r="O28" i="54" s="1"/>
  <c r="Y70" i="53"/>
  <c r="Y82" i="53"/>
  <c r="O32" i="54" s="1"/>
  <c r="Y26" i="53"/>
  <c r="Y10" i="53"/>
  <c r="Y71" i="53"/>
  <c r="Y27" i="53"/>
  <c r="Y28" i="53"/>
  <c r="I70" i="53"/>
  <c r="Q70" i="53"/>
  <c r="I71" i="53"/>
  <c r="Q71" i="53"/>
  <c r="K119" i="55"/>
  <c r="K116" i="55"/>
  <c r="K113" i="55"/>
  <c r="K117" i="55"/>
  <c r="K114" i="55"/>
  <c r="K121" i="55"/>
  <c r="L116" i="55"/>
  <c r="L121" i="55"/>
  <c r="L117" i="55"/>
  <c r="L113" i="55"/>
  <c r="L114" i="55"/>
  <c r="L119" i="55"/>
  <c r="I77" i="53"/>
  <c r="J28" i="54" s="1"/>
  <c r="Q77" i="53"/>
  <c r="U28" i="54" s="1"/>
  <c r="Q82" i="53"/>
  <c r="U32" i="54" s="1"/>
  <c r="I82" i="53"/>
  <c r="J32" i="54" s="1"/>
  <c r="I29" i="53"/>
  <c r="I53" i="53" s="1"/>
  <c r="L21" i="53"/>
  <c r="P20" i="53"/>
  <c r="T19" i="53"/>
  <c r="I18" i="53"/>
  <c r="L17" i="53"/>
  <c r="P16" i="53"/>
  <c r="T15" i="53"/>
  <c r="I14" i="53"/>
  <c r="L13" i="53"/>
  <c r="P12" i="53"/>
  <c r="T11" i="53"/>
  <c r="I10" i="53"/>
  <c r="I28" i="53"/>
  <c r="I52" i="53" s="1"/>
  <c r="I21" i="53"/>
  <c r="L20" i="53"/>
  <c r="P19" i="53"/>
  <c r="T18" i="53"/>
  <c r="I17" i="53"/>
  <c r="L16" i="53"/>
  <c r="P15" i="53"/>
  <c r="T14" i="53"/>
  <c r="I13" i="53"/>
  <c r="L12" i="53"/>
  <c r="P11" i="53"/>
  <c r="T10" i="53"/>
  <c r="I27" i="53"/>
  <c r="I51" i="53" s="1"/>
  <c r="T21" i="53"/>
  <c r="I20" i="53"/>
  <c r="L19" i="53"/>
  <c r="P18" i="53"/>
  <c r="T17" i="53"/>
  <c r="I16" i="53"/>
  <c r="L15" i="53"/>
  <c r="P14" i="53"/>
  <c r="T13" i="53"/>
  <c r="I12" i="53"/>
  <c r="L11" i="53"/>
  <c r="P10" i="53"/>
  <c r="I26" i="53"/>
  <c r="P21" i="53"/>
  <c r="T20" i="53"/>
  <c r="I19" i="53"/>
  <c r="L18" i="53"/>
  <c r="P17" i="53"/>
  <c r="T16" i="53"/>
  <c r="I15" i="53"/>
  <c r="L14" i="53"/>
  <c r="P13" i="53"/>
  <c r="T12" i="53"/>
  <c r="I11" i="53"/>
  <c r="L10" i="53"/>
  <c r="F39" i="51"/>
  <c r="D5" i="56"/>
  <c r="G5" i="56"/>
  <c r="F5" i="56"/>
  <c r="J12" i="54" l="1"/>
  <c r="F20" i="52"/>
  <c r="H154" i="55" s="1"/>
  <c r="K85" i="51"/>
  <c r="K138" i="55"/>
  <c r="K137" i="55"/>
  <c r="K143" i="55"/>
  <c r="F94" i="52"/>
  <c r="K86" i="51"/>
  <c r="L138" i="55"/>
  <c r="L137" i="55"/>
  <c r="L143" i="55"/>
  <c r="F95" i="52"/>
  <c r="O20" i="54"/>
  <c r="K70" i="51"/>
  <c r="O16" i="54"/>
  <c r="F47" i="52"/>
  <c r="X64" i="53"/>
  <c r="Y63" i="53"/>
  <c r="I50" i="53"/>
  <c r="J20" i="54" s="1"/>
  <c r="U12" i="54"/>
  <c r="F130" i="47"/>
  <c r="F138" i="47" s="1"/>
  <c r="E130" i="47"/>
  <c r="E131" i="47"/>
  <c r="F129" i="47"/>
  <c r="G130" i="47"/>
  <c r="G138" i="47" s="1"/>
  <c r="F131" i="47"/>
  <c r="E129" i="47"/>
  <c r="E132" i="47" s="1"/>
  <c r="G129" i="47"/>
  <c r="G131" i="47"/>
  <c r="G139" i="47" s="1"/>
  <c r="H130" i="47"/>
  <c r="H138" i="47" s="1"/>
  <c r="H131" i="47"/>
  <c r="H139" i="47" s="1"/>
  <c r="H129" i="47"/>
  <c r="L12" i="54"/>
  <c r="S12" i="54"/>
  <c r="J24" i="54"/>
  <c r="O24" i="54"/>
  <c r="K71" i="51"/>
  <c r="L134" i="55"/>
  <c r="K135" i="55"/>
  <c r="H141" i="55"/>
  <c r="H128" i="55"/>
  <c r="K136" i="55"/>
  <c r="L136" i="55"/>
  <c r="F39" i="52"/>
  <c r="H158" i="55" s="1"/>
  <c r="U24" i="54"/>
  <c r="J16" i="54"/>
  <c r="F35" i="52"/>
  <c r="H157" i="55" s="1"/>
  <c r="F31" i="52"/>
  <c r="H156" i="55" s="1"/>
  <c r="F139" i="47" l="1"/>
  <c r="I131" i="55"/>
  <c r="F97" i="52"/>
  <c r="X65" i="53"/>
  <c r="Y65" i="53" s="1"/>
  <c r="Y64" i="53"/>
  <c r="H137" i="47"/>
  <c r="H140" i="47" s="1"/>
  <c r="H132" i="47"/>
  <c r="G137" i="47"/>
  <c r="G140" i="47" s="1"/>
  <c r="G132" i="47"/>
  <c r="F132" i="47"/>
  <c r="F137" i="47"/>
  <c r="F140" i="47" s="1"/>
  <c r="H138" i="55"/>
  <c r="H137" i="55"/>
  <c r="H136" i="55"/>
  <c r="H181" i="55"/>
  <c r="F68" i="51"/>
  <c r="H179" i="55"/>
  <c r="H180" i="55"/>
  <c r="X18" i="53" l="1"/>
  <c r="Y18" i="53" s="1"/>
  <c r="X20" i="53"/>
  <c r="Y20" i="53" s="1"/>
  <c r="X21" i="53"/>
  <c r="Y21" i="53" s="1"/>
  <c r="X13" i="53"/>
  <c r="Y13" i="53" s="1"/>
  <c r="X14" i="53"/>
  <c r="Y14" i="53" s="1"/>
  <c r="X11" i="53"/>
  <c r="Y11" i="53" s="1"/>
  <c r="X17" i="53"/>
  <c r="Y17" i="53" s="1"/>
  <c r="X19" i="53"/>
  <c r="Y19" i="53" s="1"/>
  <c r="X15" i="53"/>
  <c r="Y15" i="53" s="1"/>
  <c r="X16" i="53"/>
  <c r="Y16" i="53" s="1"/>
  <c r="X12" i="53"/>
  <c r="N12" i="54" l="1"/>
  <c r="Y12" i="53"/>
  <c r="O12" i="54" s="1"/>
  <c r="J142" i="55" l="1"/>
  <c r="F82" i="52"/>
  <c r="K142" i="55"/>
  <c r="F83" i="52"/>
  <c r="L142" i="55"/>
  <c r="F84" i="52"/>
  <c r="F90" i="52" l="1"/>
  <c r="F86" i="52"/>
  <c r="H143" i="55"/>
  <c r="F43" i="52"/>
  <c r="H142" i="55"/>
  <c r="C76" i="56" l="1"/>
  <c r="C49" i="56"/>
  <c r="F28" i="54"/>
  <c r="M28" i="54" s="1"/>
  <c r="P28" i="54" s="1"/>
  <c r="X28" i="54" s="1"/>
  <c r="H165" i="55"/>
  <c r="H188" i="55" s="1"/>
  <c r="H166" i="55"/>
  <c r="L166" i="55" s="1"/>
  <c r="H159" i="55"/>
  <c r="L159" i="55" s="1"/>
  <c r="F24" i="54"/>
  <c r="V24" i="54" s="1"/>
  <c r="Y24" i="54" s="1"/>
  <c r="J165" i="55" l="1"/>
  <c r="J188" i="55" s="1"/>
  <c r="I98" i="55"/>
  <c r="S98" i="55" s="1"/>
  <c r="I198" i="55" s="1"/>
  <c r="I166" i="55"/>
  <c r="K165" i="55"/>
  <c r="K188" i="55" s="1"/>
  <c r="I165" i="55"/>
  <c r="L165" i="55"/>
  <c r="J166" i="55"/>
  <c r="H189" i="55"/>
  <c r="L189" i="55" s="1"/>
  <c r="K166" i="55"/>
  <c r="J159" i="55"/>
  <c r="I159" i="55"/>
  <c r="K159" i="55"/>
  <c r="H182" i="55"/>
  <c r="L188" i="55"/>
  <c r="M24" i="54"/>
  <c r="P24" i="54" s="1"/>
  <c r="X24" i="54" s="1"/>
  <c r="V28" i="54"/>
  <c r="Y28" i="54" s="1"/>
  <c r="I99" i="55" s="1"/>
  <c r="S99" i="55" s="1"/>
  <c r="I199" i="55" s="1"/>
  <c r="H99" i="55"/>
  <c r="M159" i="55" l="1"/>
  <c r="I188" i="55"/>
  <c r="M188" i="55" s="1"/>
  <c r="M165" i="55"/>
  <c r="M166" i="55"/>
  <c r="P199" i="55"/>
  <c r="P198" i="55"/>
  <c r="I189" i="55"/>
  <c r="I209" i="55" s="1"/>
  <c r="K189" i="55"/>
  <c r="I240" i="55"/>
  <c r="I224" i="55"/>
  <c r="I256" i="55"/>
  <c r="J189" i="55"/>
  <c r="I225" i="55" s="1"/>
  <c r="Z24" i="54"/>
  <c r="Z28" i="54"/>
  <c r="I257" i="55"/>
  <c r="J99" i="55"/>
  <c r="R99" i="55"/>
  <c r="H199" i="55" s="1"/>
  <c r="I208" i="55" l="1"/>
  <c r="O199" i="55"/>
  <c r="M189" i="55"/>
  <c r="I241" i="55"/>
  <c r="K99" i="55"/>
  <c r="T99" i="55"/>
  <c r="H241" i="55"/>
  <c r="H225" i="55"/>
  <c r="H257" i="55"/>
  <c r="H209" i="55"/>
  <c r="L197" i="55" l="1"/>
  <c r="K198" i="55"/>
  <c r="L198" i="55"/>
  <c r="J199" i="55"/>
  <c r="U99" i="55"/>
  <c r="J241" i="55" l="1"/>
  <c r="J209" i="55"/>
  <c r="J225" i="55"/>
  <c r="J257" i="55"/>
  <c r="M198" i="55" l="1"/>
  <c r="H177" i="55"/>
  <c r="K69" i="51" l="1"/>
  <c r="J133" i="55"/>
  <c r="F73" i="52"/>
  <c r="F24" i="52"/>
  <c r="J132" i="55" s="1"/>
  <c r="F74" i="52"/>
  <c r="K133" i="55"/>
  <c r="F25" i="52"/>
  <c r="K132" i="55" s="1"/>
  <c r="E5" i="51" l="1"/>
  <c r="F75" i="52"/>
  <c r="F77" i="52" s="1"/>
  <c r="L133" i="55"/>
  <c r="F26" i="52"/>
  <c r="H164" i="55" l="1"/>
  <c r="F20" i="54"/>
  <c r="H151" i="55"/>
  <c r="L132" i="55"/>
  <c r="H132" i="55" s="1"/>
  <c r="F27" i="52"/>
  <c r="J164" i="55" l="1"/>
  <c r="L164" i="55"/>
  <c r="H187" i="55"/>
  <c r="K164" i="55"/>
  <c r="I164" i="55"/>
  <c r="H155" i="55"/>
  <c r="H174" i="55"/>
  <c r="L151" i="55"/>
  <c r="K151" i="55"/>
  <c r="I151" i="55"/>
  <c r="J151" i="55"/>
  <c r="M20" i="54"/>
  <c r="P20" i="54" s="1"/>
  <c r="X20" i="54" s="1"/>
  <c r="M151" i="55" l="1"/>
  <c r="M164" i="55"/>
  <c r="H97" i="55"/>
  <c r="L174" i="55"/>
  <c r="J174" i="55"/>
  <c r="I174" i="55"/>
  <c r="K174" i="55"/>
  <c r="H178" i="55"/>
  <c r="L155" i="55"/>
  <c r="I155" i="55"/>
  <c r="K155" i="55"/>
  <c r="J155" i="55"/>
  <c r="J187" i="55"/>
  <c r="I187" i="55"/>
  <c r="K187" i="55"/>
  <c r="L187" i="55"/>
  <c r="M155" i="55" l="1"/>
  <c r="M174" i="55"/>
  <c r="M187" i="55"/>
  <c r="L178" i="55"/>
  <c r="I178" i="55"/>
  <c r="J178" i="55"/>
  <c r="K178" i="55"/>
  <c r="R97" i="55"/>
  <c r="H197" i="55" s="1"/>
  <c r="O197" i="55" l="1"/>
  <c r="M178" i="55"/>
  <c r="H239" i="55"/>
  <c r="H207" i="55"/>
  <c r="H223" i="55"/>
  <c r="H255" i="55"/>
  <c r="K196" i="55" l="1"/>
  <c r="H68" i="51" l="1"/>
  <c r="I135" i="55" l="1"/>
  <c r="I134" i="55"/>
  <c r="I133" i="55"/>
  <c r="H133" i="55" s="1"/>
  <c r="K156" i="55" s="1"/>
  <c r="L182" i="55"/>
  <c r="H131" i="55"/>
  <c r="J154" i="55" s="1"/>
  <c r="J177" i="55" s="1"/>
  <c r="J182" i="55"/>
  <c r="K182" i="55"/>
  <c r="H134" i="55" l="1"/>
  <c r="I157" i="55" s="1"/>
  <c r="H135" i="55"/>
  <c r="I158" i="55" s="1"/>
  <c r="K179" i="55"/>
  <c r="J156" i="55"/>
  <c r="L156" i="55"/>
  <c r="I156" i="55"/>
  <c r="I154" i="55"/>
  <c r="K154" i="55"/>
  <c r="L154" i="55"/>
  <c r="I182" i="55"/>
  <c r="M182" i="55" s="1"/>
  <c r="M154" i="55" l="1"/>
  <c r="M156" i="55"/>
  <c r="I181" i="55"/>
  <c r="K158" i="55"/>
  <c r="K181" i="55" s="1"/>
  <c r="L158" i="55"/>
  <c r="L181" i="55" s="1"/>
  <c r="J158" i="55"/>
  <c r="J181" i="55" s="1"/>
  <c r="L157" i="55"/>
  <c r="K157" i="55"/>
  <c r="J157" i="55"/>
  <c r="I179" i="55"/>
  <c r="L179" i="55"/>
  <c r="J179" i="55"/>
  <c r="I180" i="55"/>
  <c r="L177" i="55"/>
  <c r="I177" i="55"/>
  <c r="K177" i="55"/>
  <c r="M157" i="55" l="1"/>
  <c r="M158" i="55"/>
  <c r="J180" i="55"/>
  <c r="M181" i="55"/>
  <c r="K180" i="55"/>
  <c r="L180" i="55"/>
  <c r="M179" i="55"/>
  <c r="M177" i="55"/>
  <c r="M180" i="55" l="1"/>
  <c r="H186" i="55" l="1"/>
  <c r="J186" i="55" l="1"/>
  <c r="K186" i="55" l="1"/>
  <c r="I186" i="55"/>
  <c r="H98" i="55" l="1"/>
  <c r="R98" i="55" l="1"/>
  <c r="J98" i="55"/>
  <c r="T98" i="55" l="1"/>
  <c r="K98" i="55"/>
  <c r="H198" i="55"/>
  <c r="O198" i="55" l="1"/>
  <c r="H256" i="55"/>
  <c r="H208" i="55"/>
  <c r="H224" i="55"/>
  <c r="H240" i="55"/>
  <c r="U98" i="55"/>
  <c r="J198" i="55"/>
  <c r="K197" i="55" l="1"/>
  <c r="J224" i="55"/>
  <c r="J240" i="55"/>
  <c r="J208" i="55"/>
  <c r="J256" i="55"/>
  <c r="M197" i="55" l="1"/>
  <c r="L186" i="55" l="1"/>
  <c r="M186" i="55" s="1"/>
  <c r="D28" i="54"/>
  <c r="C77" i="56"/>
  <c r="F59" i="56"/>
  <c r="G59" i="56" s="1"/>
  <c r="I59" i="56" s="1"/>
  <c r="C78" i="56" l="1"/>
  <c r="C79" i="56" s="1"/>
  <c r="F60" i="52" s="1"/>
  <c r="H161" i="55" s="1"/>
  <c r="F55" i="56"/>
  <c r="G55" i="56" s="1"/>
  <c r="I55" i="56" s="1"/>
  <c r="F56" i="56"/>
  <c r="G56" i="56" s="1"/>
  <c r="I56" i="56" s="1"/>
  <c r="F54" i="56"/>
  <c r="G54" i="56" s="1"/>
  <c r="I54" i="56" s="1"/>
  <c r="F58" i="56"/>
  <c r="G58" i="56" s="1"/>
  <c r="I58" i="56" s="1"/>
  <c r="F53" i="56"/>
  <c r="G53" i="56" s="1"/>
  <c r="I53" i="56" s="1"/>
  <c r="F52" i="56"/>
  <c r="F57" i="56"/>
  <c r="G57" i="56" s="1"/>
  <c r="I57" i="56" s="1"/>
  <c r="K161" i="55" l="1"/>
  <c r="L161" i="55"/>
  <c r="J161" i="55"/>
  <c r="H184" i="55"/>
  <c r="I161" i="55"/>
  <c r="E49" i="56"/>
  <c r="G52" i="56"/>
  <c r="I52" i="56" s="1"/>
  <c r="D45" i="56" s="1"/>
  <c r="F54" i="52" s="1"/>
  <c r="M161" i="55" l="1"/>
  <c r="J184" i="55"/>
  <c r="I184" i="55"/>
  <c r="L184" i="55"/>
  <c r="K184" i="55"/>
  <c r="F65" i="52"/>
  <c r="H162" i="55" s="1"/>
  <c r="H185" i="55" s="1"/>
  <c r="H160" i="55"/>
  <c r="J31" i="55" l="1"/>
  <c r="J9" i="55"/>
  <c r="I31" i="55"/>
  <c r="I52" i="55"/>
  <c r="H73" i="55"/>
  <c r="H52" i="55"/>
  <c r="J52" i="55"/>
  <c r="H31" i="55"/>
  <c r="I73" i="55"/>
  <c r="H9" i="55"/>
  <c r="I9" i="55"/>
  <c r="J73" i="55"/>
  <c r="M184" i="55"/>
  <c r="F15" i="52"/>
  <c r="H183" i="55"/>
  <c r="H139" i="55"/>
  <c r="K160" i="55"/>
  <c r="J160" i="55"/>
  <c r="I160" i="55"/>
  <c r="L160" i="55"/>
  <c r="Q26" i="53" l="1"/>
  <c r="N50" i="53"/>
  <c r="N26" i="53"/>
  <c r="Q50" i="53"/>
  <c r="M160" i="55"/>
  <c r="F16" i="52"/>
  <c r="F8" i="52" s="1"/>
  <c r="F11" i="52" s="1"/>
  <c r="F16" i="54"/>
  <c r="F104" i="52"/>
  <c r="F106" i="52" s="1"/>
  <c r="F32" i="54" s="1"/>
  <c r="S32" i="54" s="1"/>
  <c r="H153" i="55"/>
  <c r="H127" i="55" s="1"/>
  <c r="J139" i="55"/>
  <c r="J162" i="55"/>
  <c r="J185" i="55" s="1"/>
  <c r="L162" i="55"/>
  <c r="L185" i="55" s="1"/>
  <c r="L139" i="55"/>
  <c r="I162" i="55"/>
  <c r="I139" i="55"/>
  <c r="L183" i="55"/>
  <c r="I183" i="55"/>
  <c r="J183" i="55"/>
  <c r="K183" i="55"/>
  <c r="K139" i="55"/>
  <c r="K162" i="55"/>
  <c r="K185" i="55" s="1"/>
  <c r="I163" i="55" l="1"/>
  <c r="I153" i="55" s="1"/>
  <c r="M162" i="55"/>
  <c r="H150" i="55"/>
  <c r="H173" i="55" s="1"/>
  <c r="Q27" i="53"/>
  <c r="T26" i="53"/>
  <c r="N27" i="53"/>
  <c r="P26" i="53"/>
  <c r="N51" i="53"/>
  <c r="P50" i="53"/>
  <c r="T50" i="53"/>
  <c r="Q51" i="53"/>
  <c r="M16" i="54"/>
  <c r="P16" i="54" s="1"/>
  <c r="X16" i="54" s="1"/>
  <c r="H176" i="55"/>
  <c r="H167" i="55"/>
  <c r="H190" i="55" s="1"/>
  <c r="J163" i="55"/>
  <c r="J153" i="55" s="1"/>
  <c r="L163" i="55"/>
  <c r="L153" i="55" s="1"/>
  <c r="L127" i="55" s="1"/>
  <c r="M183" i="55"/>
  <c r="H144" i="55"/>
  <c r="H129" i="55"/>
  <c r="H149" i="55"/>
  <c r="F12" i="54"/>
  <c r="V32" i="54"/>
  <c r="Y32" i="54" s="1"/>
  <c r="I100" i="55" s="1"/>
  <c r="S100" i="55" s="1"/>
  <c r="I200" i="55" s="1"/>
  <c r="M32" i="54"/>
  <c r="P32" i="54" s="1"/>
  <c r="X32" i="54" s="1"/>
  <c r="K163" i="55"/>
  <c r="K153" i="55" s="1"/>
  <c r="I185" i="55"/>
  <c r="M185" i="55" s="1"/>
  <c r="M153" i="55" l="1"/>
  <c r="M163" i="55"/>
  <c r="Q52" i="53"/>
  <c r="T51" i="53"/>
  <c r="N28" i="53"/>
  <c r="P27" i="53"/>
  <c r="P51" i="53"/>
  <c r="N52" i="53"/>
  <c r="Q28" i="53"/>
  <c r="T27" i="53"/>
  <c r="H96" i="55"/>
  <c r="P200" i="55"/>
  <c r="I176" i="55"/>
  <c r="L176" i="55"/>
  <c r="Z32" i="54"/>
  <c r="H100" i="55"/>
  <c r="V12" i="54"/>
  <c r="Y12" i="54" s="1"/>
  <c r="I95" i="55" s="1"/>
  <c r="M12" i="54"/>
  <c r="P12" i="54" s="1"/>
  <c r="X12" i="54" s="1"/>
  <c r="K127" i="55"/>
  <c r="L129" i="55"/>
  <c r="L150" i="55"/>
  <c r="L144" i="55"/>
  <c r="L167" i="55" s="1"/>
  <c r="J127" i="55"/>
  <c r="K176" i="55"/>
  <c r="I127" i="55"/>
  <c r="J176" i="55"/>
  <c r="H172" i="55"/>
  <c r="H152" i="55"/>
  <c r="H175" i="55" s="1"/>
  <c r="N53" i="53" l="1"/>
  <c r="P52" i="53"/>
  <c r="N29" i="53"/>
  <c r="P28" i="53"/>
  <c r="Q29" i="53"/>
  <c r="T28" i="53"/>
  <c r="Q53" i="53"/>
  <c r="T52" i="53"/>
  <c r="R96" i="55"/>
  <c r="H196" i="55" s="1"/>
  <c r="L152" i="55"/>
  <c r="L175" i="55" s="1"/>
  <c r="S95" i="55"/>
  <c r="J129" i="55"/>
  <c r="J152" i="55" s="1"/>
  <c r="J175" i="55" s="1"/>
  <c r="J144" i="55"/>
  <c r="J167" i="55" s="1"/>
  <c r="J150" i="55"/>
  <c r="L190" i="55"/>
  <c r="I258" i="55" s="1"/>
  <c r="K129" i="55"/>
  <c r="K152" i="55" s="1"/>
  <c r="K175" i="55" s="1"/>
  <c r="K150" i="55"/>
  <c r="K144" i="55"/>
  <c r="K167" i="55" s="1"/>
  <c r="R100" i="55"/>
  <c r="H200" i="55" s="1"/>
  <c r="J100" i="55"/>
  <c r="Z12" i="54"/>
  <c r="H95" i="55"/>
  <c r="I144" i="55"/>
  <c r="I167" i="55" s="1"/>
  <c r="I129" i="55"/>
  <c r="I152" i="55" s="1"/>
  <c r="I150" i="55"/>
  <c r="M176" i="55"/>
  <c r="L173" i="55"/>
  <c r="O196" i="55" l="1"/>
  <c r="H222" i="55"/>
  <c r="M152" i="55"/>
  <c r="M167" i="55"/>
  <c r="M150" i="55"/>
  <c r="N30" i="53"/>
  <c r="P29" i="53"/>
  <c r="Q30" i="53"/>
  <c r="T29" i="53"/>
  <c r="Q54" i="53"/>
  <c r="T53" i="53"/>
  <c r="P53" i="53"/>
  <c r="N54" i="53"/>
  <c r="H206" i="55"/>
  <c r="H238" i="55"/>
  <c r="H254" i="55"/>
  <c r="O200" i="55"/>
  <c r="L149" i="55"/>
  <c r="L172" i="55" s="1"/>
  <c r="T100" i="55"/>
  <c r="K100" i="55"/>
  <c r="K149" i="55"/>
  <c r="K173" i="55"/>
  <c r="I195" i="55"/>
  <c r="J149" i="55"/>
  <c r="J172" i="55" s="1"/>
  <c r="J173" i="55"/>
  <c r="I149" i="55"/>
  <c r="I173" i="55"/>
  <c r="H94" i="55"/>
  <c r="J95" i="55"/>
  <c r="R95" i="55"/>
  <c r="H258" i="55"/>
  <c r="I190" i="55"/>
  <c r="I175" i="55"/>
  <c r="M175" i="55" s="1"/>
  <c r="K190" i="55"/>
  <c r="I242" i="55" s="1"/>
  <c r="J190" i="55"/>
  <c r="I226" i="55" s="1"/>
  <c r="N55" i="53" l="1"/>
  <c r="P54" i="53"/>
  <c r="Q55" i="53"/>
  <c r="T54" i="53"/>
  <c r="M149" i="55"/>
  <c r="Q31" i="53"/>
  <c r="T30" i="53"/>
  <c r="N31" i="53"/>
  <c r="P30" i="53"/>
  <c r="K195" i="55"/>
  <c r="P195" i="55"/>
  <c r="H226" i="55"/>
  <c r="K172" i="55"/>
  <c r="I237" i="55" s="1"/>
  <c r="M190" i="55"/>
  <c r="I210" i="55"/>
  <c r="H105" i="55"/>
  <c r="H104" i="55"/>
  <c r="H106" i="55"/>
  <c r="H103" i="55"/>
  <c r="R94" i="55"/>
  <c r="H194" i="55" s="1"/>
  <c r="H195" i="55"/>
  <c r="I172" i="55"/>
  <c r="I221" i="55"/>
  <c r="I253" i="55"/>
  <c r="H242" i="55"/>
  <c r="K95" i="55"/>
  <c r="T95" i="55"/>
  <c r="H210" i="55"/>
  <c r="M173" i="55"/>
  <c r="J200" i="55"/>
  <c r="U100" i="55"/>
  <c r="Q56" i="53" l="1"/>
  <c r="T55" i="53"/>
  <c r="N32" i="53"/>
  <c r="P31" i="53"/>
  <c r="Q32" i="53"/>
  <c r="T31" i="53"/>
  <c r="N56" i="53"/>
  <c r="P55" i="53"/>
  <c r="K199" i="55"/>
  <c r="L199" i="55"/>
  <c r="O195" i="55"/>
  <c r="M172" i="55"/>
  <c r="I205" i="55"/>
  <c r="H102" i="55"/>
  <c r="H107" i="55" s="1"/>
  <c r="U95" i="55"/>
  <c r="J195" i="55"/>
  <c r="J210" i="55"/>
  <c r="J242" i="55"/>
  <c r="J258" i="55"/>
  <c r="J226" i="55"/>
  <c r="H205" i="55"/>
  <c r="H237" i="55"/>
  <c r="H253" i="55"/>
  <c r="H221" i="55"/>
  <c r="H247" i="55" l="1"/>
  <c r="K21" i="51" s="1"/>
  <c r="H245" i="55"/>
  <c r="K19" i="51" s="1"/>
  <c r="H248" i="55"/>
  <c r="K22" i="51" s="1"/>
  <c r="H246" i="55"/>
  <c r="K20" i="51" s="1"/>
  <c r="H232" i="55"/>
  <c r="K15" i="51" s="1"/>
  <c r="H231" i="55"/>
  <c r="K14" i="51" s="1"/>
  <c r="H229" i="55"/>
  <c r="K12" i="51" s="1"/>
  <c r="H230" i="55"/>
  <c r="K13" i="51" s="1"/>
  <c r="H263" i="55"/>
  <c r="K28" i="51" s="1"/>
  <c r="H264" i="55"/>
  <c r="K29" i="51" s="1"/>
  <c r="H261" i="55"/>
  <c r="K26" i="51" s="1"/>
  <c r="H262" i="55"/>
  <c r="K27" i="51" s="1"/>
  <c r="Q33" i="53"/>
  <c r="T32" i="53"/>
  <c r="N33" i="53"/>
  <c r="P32" i="53"/>
  <c r="N57" i="53"/>
  <c r="P56" i="53"/>
  <c r="Q57" i="53"/>
  <c r="T56" i="53"/>
  <c r="K194" i="55"/>
  <c r="L194" i="55"/>
  <c r="M199" i="55"/>
  <c r="H252" i="55"/>
  <c r="H236" i="55"/>
  <c r="H220" i="55"/>
  <c r="H214" i="55"/>
  <c r="H213" i="55"/>
  <c r="H216" i="55"/>
  <c r="H204" i="55"/>
  <c r="H215" i="55"/>
  <c r="J221" i="55"/>
  <c r="J205" i="55"/>
  <c r="J237" i="55"/>
  <c r="J253" i="55"/>
  <c r="N34" i="53" l="1"/>
  <c r="P33" i="53"/>
  <c r="Q58" i="53"/>
  <c r="T57" i="53"/>
  <c r="N58" i="53"/>
  <c r="P57" i="53"/>
  <c r="Q34" i="53"/>
  <c r="T33" i="53"/>
  <c r="M194" i="55"/>
  <c r="K193" i="55"/>
  <c r="H260" i="55"/>
  <c r="H212" i="55"/>
  <c r="H228" i="55"/>
  <c r="H244" i="55"/>
  <c r="Q35" i="53" l="1"/>
  <c r="T34" i="53"/>
  <c r="Q59" i="53"/>
  <c r="T58" i="53"/>
  <c r="N59" i="53"/>
  <c r="P58" i="53"/>
  <c r="N35" i="53"/>
  <c r="P34" i="53"/>
  <c r="Q60" i="53" l="1"/>
  <c r="T59" i="53"/>
  <c r="N36" i="53"/>
  <c r="P35" i="53"/>
  <c r="P59" i="53"/>
  <c r="N60" i="53"/>
  <c r="Q36" i="53"/>
  <c r="T35" i="53"/>
  <c r="N37" i="53" l="1"/>
  <c r="P36" i="53"/>
  <c r="N61" i="53"/>
  <c r="P60" i="53"/>
  <c r="Q37" i="53"/>
  <c r="T36" i="53"/>
  <c r="Q61" i="53"/>
  <c r="T60" i="53"/>
  <c r="Q62" i="53" l="1"/>
  <c r="T61" i="53"/>
  <c r="P61" i="53"/>
  <c r="N62" i="53"/>
  <c r="Q38" i="53"/>
  <c r="T37" i="53"/>
  <c r="N38" i="53"/>
  <c r="P37" i="53"/>
  <c r="N63" i="53" l="1"/>
  <c r="P62" i="53"/>
  <c r="S20" i="54" s="1"/>
  <c r="N39" i="53"/>
  <c r="P38" i="53"/>
  <c r="S16" i="54" s="1"/>
  <c r="Q39" i="53"/>
  <c r="T38" i="53"/>
  <c r="U16" i="54" s="1"/>
  <c r="Q63" i="53"/>
  <c r="T62" i="53"/>
  <c r="U20" i="54" s="1"/>
  <c r="V16" i="54" l="1"/>
  <c r="Y16" i="54" s="1"/>
  <c r="V20" i="54"/>
  <c r="Y20" i="54" s="1"/>
  <c r="Q64" i="53"/>
  <c r="T63" i="53"/>
  <c r="N40" i="53"/>
  <c r="P39" i="53"/>
  <c r="Q40" i="53"/>
  <c r="T39" i="53"/>
  <c r="P63" i="53"/>
  <c r="N64" i="53"/>
  <c r="Z20" i="54" l="1"/>
  <c r="I97" i="55"/>
  <c r="I96" i="55"/>
  <c r="Z16" i="54"/>
  <c r="N41" i="53"/>
  <c r="P40" i="53"/>
  <c r="Q41" i="53"/>
  <c r="T41" i="53" s="1"/>
  <c r="T40" i="53"/>
  <c r="Q65" i="53"/>
  <c r="T65" i="53" s="1"/>
  <c r="T64" i="53"/>
  <c r="N65" i="53"/>
  <c r="P65" i="53" s="1"/>
  <c r="P64" i="53"/>
  <c r="P41" i="53" l="1"/>
  <c r="S96" i="55"/>
  <c r="J96" i="55"/>
  <c r="K96" i="55" s="1"/>
  <c r="I94" i="55"/>
  <c r="S97" i="55"/>
  <c r="I197" i="55" s="1"/>
  <c r="J97" i="55"/>
  <c r="T96" i="55" l="1"/>
  <c r="J94" i="55"/>
  <c r="K94" i="55" s="1"/>
  <c r="I196" i="55"/>
  <c r="I103" i="55"/>
  <c r="I104" i="55"/>
  <c r="I105" i="55"/>
  <c r="I106" i="55"/>
  <c r="S94" i="55"/>
  <c r="I194" i="55" s="1"/>
  <c r="T97" i="55"/>
  <c r="K97" i="55"/>
  <c r="I255" i="55"/>
  <c r="I239" i="55"/>
  <c r="P197" i="55"/>
  <c r="I223" i="55"/>
  <c r="I207" i="55"/>
  <c r="L196" i="55" l="1"/>
  <c r="I222" i="55"/>
  <c r="P196" i="55"/>
  <c r="I254" i="55"/>
  <c r="I238" i="55"/>
  <c r="I206" i="55"/>
  <c r="I102" i="55"/>
  <c r="I107" i="55" s="1"/>
  <c r="J196" i="55"/>
  <c r="U96" i="55"/>
  <c r="J106" i="55"/>
  <c r="J103" i="55"/>
  <c r="J104" i="55"/>
  <c r="T94" i="55"/>
  <c r="J105" i="55"/>
  <c r="U97" i="55"/>
  <c r="J197" i="55"/>
  <c r="I232" i="55" l="1"/>
  <c r="L15" i="51" s="1"/>
  <c r="I229" i="55"/>
  <c r="L12" i="51" s="1"/>
  <c r="I230" i="55"/>
  <c r="L13" i="51" s="1"/>
  <c r="I231" i="55"/>
  <c r="L14" i="51" s="1"/>
  <c r="I248" i="55"/>
  <c r="L22" i="51" s="1"/>
  <c r="I245" i="55"/>
  <c r="L19" i="51" s="1"/>
  <c r="I246" i="55"/>
  <c r="L20" i="51" s="1"/>
  <c r="I247" i="55"/>
  <c r="L21" i="51" s="1"/>
  <c r="I261" i="55"/>
  <c r="L26" i="51" s="1"/>
  <c r="I262" i="55"/>
  <c r="L27" i="51" s="1"/>
  <c r="I263" i="55"/>
  <c r="L28" i="51" s="1"/>
  <c r="I264" i="55"/>
  <c r="L29" i="51" s="1"/>
  <c r="J102" i="55"/>
  <c r="J107" i="55" s="1"/>
  <c r="J222" i="55"/>
  <c r="J238" i="55"/>
  <c r="J254" i="55"/>
  <c r="J206" i="55"/>
  <c r="I252" i="55"/>
  <c r="L195" i="55"/>
  <c r="I204" i="55"/>
  <c r="I213" i="55"/>
  <c r="I215" i="55"/>
  <c r="I216" i="55"/>
  <c r="I214" i="55"/>
  <c r="I220" i="55"/>
  <c r="U94" i="55"/>
  <c r="J194" i="55"/>
  <c r="I236" i="55"/>
  <c r="J223" i="55"/>
  <c r="J255" i="55"/>
  <c r="J239" i="55"/>
  <c r="J207" i="55"/>
  <c r="J261" i="55" l="1"/>
  <c r="M26" i="51" s="1"/>
  <c r="J262" i="55"/>
  <c r="M27" i="51" s="1"/>
  <c r="J263" i="55"/>
  <c r="M28" i="51" s="1"/>
  <c r="J264" i="55"/>
  <c r="M29" i="51" s="1"/>
  <c r="J248" i="55"/>
  <c r="M22" i="51" s="1"/>
  <c r="J246" i="55"/>
  <c r="M20" i="51" s="1"/>
  <c r="J247" i="55"/>
  <c r="M21" i="51" s="1"/>
  <c r="J245" i="55"/>
  <c r="M19" i="51" s="1"/>
  <c r="J232" i="55"/>
  <c r="M15" i="51" s="1"/>
  <c r="J229" i="55"/>
  <c r="M12" i="51" s="1"/>
  <c r="J231" i="55"/>
  <c r="M14" i="51" s="1"/>
  <c r="J230" i="55"/>
  <c r="M13" i="51" s="1"/>
  <c r="L193" i="55"/>
  <c r="M196" i="55"/>
  <c r="I228" i="55"/>
  <c r="I260" i="55"/>
  <c r="J236" i="55"/>
  <c r="I244" i="55"/>
  <c r="I212" i="55"/>
  <c r="J252" i="55"/>
  <c r="M195" i="55"/>
  <c r="J214" i="55"/>
  <c r="J215" i="55"/>
  <c r="J216" i="55"/>
  <c r="J213" i="55"/>
  <c r="J204" i="55"/>
  <c r="J220" i="55"/>
  <c r="J260" i="55" l="1"/>
  <c r="M193" i="55"/>
  <c r="J212" i="55"/>
  <c r="J244" i="55"/>
  <c r="J228" i="55"/>
</calcChain>
</file>

<file path=xl/sharedStrings.xml><?xml version="1.0" encoding="utf-8"?>
<sst xmlns="http://schemas.openxmlformats.org/spreadsheetml/2006/main" count="1452" uniqueCount="826">
  <si>
    <t>Status</t>
  </si>
  <si>
    <t>Notes</t>
  </si>
  <si>
    <t>unlocked</t>
  </si>
  <si>
    <t>locked</t>
  </si>
  <si>
    <t>Calculation</t>
  </si>
  <si>
    <t>Output</t>
  </si>
  <si>
    <t>Highlight</t>
  </si>
  <si>
    <t>A cell that is special in some way</t>
  </si>
  <si>
    <t>Text</t>
  </si>
  <si>
    <t>Number</t>
  </si>
  <si>
    <t>Currency</t>
  </si>
  <si>
    <t>Percentage</t>
  </si>
  <si>
    <t>Percentage (2dp)</t>
  </si>
  <si>
    <t>Date</t>
  </si>
  <si>
    <t>A key result from this part of the model (in particular one that will be used elsewhere in the model)</t>
  </si>
  <si>
    <t>Comma</t>
  </si>
  <si>
    <t>Percent</t>
  </si>
  <si>
    <t>Number
(2dp)</t>
  </si>
  <si>
    <t>Currency
(2dp)</t>
  </si>
  <si>
    <t>Currency Dollar (2dp)</t>
  </si>
  <si>
    <t>Currency Dollar</t>
  </si>
  <si>
    <t>Currency Pound (2dp)</t>
  </si>
  <si>
    <t>Currency Pound</t>
  </si>
  <si>
    <t>Input Parameter</t>
  </si>
  <si>
    <t>Input Data</t>
  </si>
  <si>
    <t>Input Calculation</t>
  </si>
  <si>
    <t>Input Link</t>
  </si>
  <si>
    <t>Row label</t>
  </si>
  <si>
    <t>Row label (indent)</t>
  </si>
  <si>
    <t>Total row</t>
  </si>
  <si>
    <t>Sub-total row</t>
  </si>
  <si>
    <t>(Table finish row)</t>
  </si>
  <si>
    <t>Style Guidelines</t>
  </si>
  <si>
    <t>Name</t>
  </si>
  <si>
    <t>Note</t>
  </si>
  <si>
    <t>H1</t>
  </si>
  <si>
    <t>H2</t>
  </si>
  <si>
    <t>H3</t>
  </si>
  <si>
    <t>H4</t>
  </si>
  <si>
    <t>Heading level 1</t>
  </si>
  <si>
    <t>Heading level 2</t>
  </si>
  <si>
    <t>Heading level 3</t>
  </si>
  <si>
    <t>Heading level 4</t>
  </si>
  <si>
    <t>NB These styles change most aspects of a cells formatting (all except Number and Alignment)</t>
  </si>
  <si>
    <t>NB These styles change only the font used in a cell</t>
  </si>
  <si>
    <t>Number styles</t>
  </si>
  <si>
    <t>Table styles</t>
  </si>
  <si>
    <t>Title</t>
  </si>
  <si>
    <t>(Table shading)</t>
  </si>
  <si>
    <t>NB These styles change a variety of different aspects of cell formatting (as appropriate to the context)</t>
  </si>
  <si>
    <t>Examples of use</t>
  </si>
  <si>
    <t>Use these styles to consistently format numbers (and dates)</t>
  </si>
  <si>
    <t>Use these styles to consistently format tables</t>
  </si>
  <si>
    <t>A calculation of the model</t>
  </si>
  <si>
    <t>A piece of real data (only change if you have better data)</t>
  </si>
  <si>
    <t>An input to the model that it is expected the user will change (change at will)</t>
  </si>
  <si>
    <t>A side calculation intended solely to cross check a result (and which therefore should not be referenced anywhere else in the model)</t>
  </si>
  <si>
    <t>A total (use if not part of a "Sub-total row" or a "Total row" in a table - see below)</t>
  </si>
  <si>
    <t>An input to the model that has, none the less, been calculated from other inputs (e.g. interpolated input values)</t>
  </si>
  <si>
    <t>Positive</t>
  </si>
  <si>
    <t>Negative</t>
  </si>
  <si>
    <t>Zero</t>
  </si>
  <si>
    <r>
      <t xml:space="preserve">An Excel Name applying to one or more adjacent cells (use </t>
    </r>
    <r>
      <rPr>
        <u/>
        <sz val="9"/>
        <rFont val="Arial"/>
        <family val="2"/>
      </rPr>
      <t>I</t>
    </r>
    <r>
      <rPr>
        <sz val="9"/>
        <rFont val="Arial"/>
        <family val="2"/>
      </rPr>
      <t xml:space="preserve">nsert </t>
    </r>
    <r>
      <rPr>
        <u/>
        <sz val="9"/>
        <rFont val="Arial"/>
        <family val="2"/>
      </rPr>
      <t>N</t>
    </r>
    <r>
      <rPr>
        <sz val="9"/>
        <rFont val="Arial"/>
        <family val="2"/>
      </rPr>
      <t xml:space="preserve">ame </t>
    </r>
    <r>
      <rPr>
        <u/>
        <sz val="9"/>
        <rFont val="Arial"/>
        <family val="2"/>
      </rPr>
      <t>C</t>
    </r>
    <r>
      <rPr>
        <sz val="9"/>
        <rFont val="Arial"/>
        <family val="2"/>
      </rPr>
      <t>reate to actually create the Excel Names)</t>
    </r>
  </si>
  <si>
    <t>Currency
Euro</t>
  </si>
  <si>
    <t>Currency
Euro (2dp)</t>
  </si>
  <si>
    <t>Currency
EUR</t>
  </si>
  <si>
    <t>Currency
EUR (2dp)</t>
  </si>
  <si>
    <t>Currency
USD</t>
  </si>
  <si>
    <t>Currency
USD (2dp)</t>
  </si>
  <si>
    <t>Currency
GBP</t>
  </si>
  <si>
    <t>Currency
GBP (2dp)</t>
  </si>
  <si>
    <t>Date
(Month)</t>
  </si>
  <si>
    <t>Date
(Year)</t>
  </si>
  <si>
    <r>
      <t xml:space="preserve">Consider using </t>
    </r>
    <r>
      <rPr>
        <u/>
        <sz val="9"/>
        <rFont val="Arial"/>
        <family val="2"/>
      </rPr>
      <t>D</t>
    </r>
    <r>
      <rPr>
        <sz val="9"/>
        <rFont val="Arial"/>
        <family val="2"/>
      </rPr>
      <t xml:space="preserve">ata </t>
    </r>
    <r>
      <rPr>
        <sz val="9"/>
        <rFont val="Arial"/>
        <family val="2"/>
      </rPr>
      <t>V</t>
    </r>
    <r>
      <rPr>
        <sz val="9"/>
        <rFont val="Arial"/>
        <family val="2"/>
      </rPr>
      <t>a</t>
    </r>
    <r>
      <rPr>
        <u/>
        <sz val="9"/>
        <rFont val="Arial"/>
        <family val="2"/>
      </rPr>
      <t>l</t>
    </r>
    <r>
      <rPr>
        <sz val="9"/>
        <rFont val="Arial"/>
        <family val="2"/>
      </rPr>
      <t>idation to ensure that only acceptable values are entered</t>
    </r>
  </si>
  <si>
    <t>Acceptable values</t>
  </si>
  <si>
    <t>Minimum</t>
  </si>
  <si>
    <t>Maximum</t>
  </si>
  <si>
    <r>
      <t xml:space="preserve">If a parameter can take only one of a small number of values, consider using </t>
    </r>
    <r>
      <rPr>
        <u/>
        <sz val="9"/>
        <rFont val="Arial"/>
        <family val="2"/>
      </rPr>
      <t>D</t>
    </r>
    <r>
      <rPr>
        <sz val="9"/>
        <rFont val="Arial"/>
        <family val="2"/>
      </rPr>
      <t>ata Va</t>
    </r>
    <r>
      <rPr>
        <u/>
        <sz val="9"/>
        <rFont val="Arial"/>
        <family val="2"/>
      </rPr>
      <t>l</t>
    </r>
    <r>
      <rPr>
        <sz val="9"/>
        <rFont val="Arial"/>
        <family val="2"/>
      </rPr>
      <t xml:space="preserve">idation </t>
    </r>
    <r>
      <rPr>
        <u/>
        <sz val="9"/>
        <rFont val="Arial"/>
        <family val="2"/>
      </rPr>
      <t>A</t>
    </r>
    <r>
      <rPr>
        <sz val="9"/>
        <rFont val="Arial"/>
        <family val="2"/>
      </rPr>
      <t xml:space="preserve">llow </t>
    </r>
    <r>
      <rPr>
        <u/>
        <sz val="9"/>
        <rFont val="Arial"/>
        <family val="2"/>
      </rPr>
      <t>L</t>
    </r>
    <r>
      <rPr>
        <sz val="9"/>
        <rFont val="Arial"/>
        <family val="2"/>
      </rPr>
      <t xml:space="preserve">ist with </t>
    </r>
    <r>
      <rPr>
        <u/>
        <sz val="9"/>
        <rFont val="Arial"/>
        <family val="2"/>
      </rPr>
      <t>I</t>
    </r>
    <r>
      <rPr>
        <sz val="9"/>
        <rFont val="Arial"/>
        <family val="2"/>
      </rPr>
      <t>n-cell dropdown selected</t>
    </r>
  </si>
  <si>
    <t>Unhighlight</t>
  </si>
  <si>
    <t>And one that isn't anymore</t>
  </si>
  <si>
    <t>NB All number styles use the decimal symbol and digit grouping symbol (thousands separator) defined under Regional Options in Control Panel. So if you want to change them do it there, and not here in Excel !</t>
  </si>
  <si>
    <t>(Table unshading)</t>
  </si>
  <si>
    <t>NB Most number styles leave space for a ')' to the right of the number, but only the Currency styles actually use '(…)' for negatives</t>
  </si>
  <si>
    <t>Input Estimate</t>
  </si>
  <si>
    <t>An estimate used in the absence of real data (only change if you have a better estimate, or real data )</t>
  </si>
  <si>
    <t>Use these styles to format headings</t>
  </si>
  <si>
    <t>Heading styles</t>
  </si>
  <si>
    <r>
      <t>Consider using F</t>
    </r>
    <r>
      <rPr>
        <u/>
        <sz val="9"/>
        <rFont val="Arial"/>
        <family val="2"/>
      </rPr>
      <t>o</t>
    </r>
    <r>
      <rPr>
        <sz val="9"/>
        <rFont val="Arial"/>
        <family val="2"/>
      </rPr>
      <t>rmat Con</t>
    </r>
    <r>
      <rPr>
        <u/>
        <sz val="9"/>
        <rFont val="Arial"/>
        <family val="2"/>
      </rPr>
      <t>d</t>
    </r>
    <r>
      <rPr>
        <sz val="9"/>
        <rFont val="Arial"/>
        <family val="2"/>
      </rPr>
      <t>itional Formatting to highlight unacceptable results of cross check calculations (e.g. non-zero)</t>
    </r>
  </si>
  <si>
    <t>Input cell styles</t>
  </si>
  <si>
    <t>Use these styles to identify inputs to a model</t>
  </si>
  <si>
    <t>Other cell styles</t>
  </si>
  <si>
    <t>Use these styles to identify the role of other cells in a model</t>
  </si>
  <si>
    <t>A note (NB smaller than standard font size)</t>
  </si>
  <si>
    <t>ADSL</t>
  </si>
  <si>
    <t>Cable Modem</t>
  </si>
  <si>
    <t>Dial-up</t>
  </si>
  <si>
    <t>Number of subscribers (year end)</t>
  </si>
  <si>
    <t>Total</t>
  </si>
  <si>
    <r>
      <t xml:space="preserve">NB Consider using </t>
    </r>
    <r>
      <rPr>
        <u/>
        <sz val="8"/>
        <rFont val="Arial"/>
        <family val="2"/>
      </rPr>
      <t>F</t>
    </r>
    <r>
      <rPr>
        <sz val="8"/>
        <rFont val="Arial"/>
        <family val="2"/>
      </rPr>
      <t>ile Page Set</t>
    </r>
    <r>
      <rPr>
        <u/>
        <sz val="8"/>
        <rFont val="Arial"/>
        <family val="2"/>
      </rPr>
      <t>u</t>
    </r>
    <r>
      <rPr>
        <sz val="8"/>
        <rFont val="Arial"/>
        <family val="2"/>
      </rPr>
      <t xml:space="preserve">p </t>
    </r>
    <r>
      <rPr>
        <u/>
        <sz val="8"/>
        <rFont val="Arial"/>
        <family val="2"/>
      </rPr>
      <t>S</t>
    </r>
    <r>
      <rPr>
        <sz val="8"/>
        <rFont val="Arial"/>
        <family val="2"/>
      </rPr>
      <t xml:space="preserve">heet </t>
    </r>
    <r>
      <rPr>
        <u/>
        <sz val="8"/>
        <rFont val="Arial"/>
        <family val="2"/>
      </rPr>
      <t>R</t>
    </r>
    <r>
      <rPr>
        <sz val="8"/>
        <rFont val="Arial"/>
        <family val="2"/>
      </rPr>
      <t>ows to repeat at top: $1:$1 to include row 1 at the top of all printed pages (as is done on this worksheet)</t>
    </r>
  </si>
  <si>
    <t>A simple table</t>
  </si>
  <si>
    <t>A more complex table</t>
  </si>
  <si>
    <t>NB Use Window Unfreeze Panes (on each worksheet) to have row 1 scroll with the rest of the worksheet</t>
  </si>
  <si>
    <t>Number of subscribers (simple year average)</t>
  </si>
  <si>
    <t>Version</t>
  </si>
  <si>
    <t>Objective</t>
  </si>
  <si>
    <t xml:space="preserve">Title </t>
  </si>
  <si>
    <t>Author</t>
  </si>
  <si>
    <t>Information</t>
  </si>
  <si>
    <t>Work in progress</t>
  </si>
  <si>
    <t>Under construction</t>
  </si>
  <si>
    <t>Approved for release</t>
  </si>
  <si>
    <t>Email</t>
  </si>
  <si>
    <t>Subscribers.Year Average.Total</t>
  </si>
  <si>
    <t>NB To avoid having spurious names in this template the names shown below have not actually been created</t>
  </si>
  <si>
    <t xml:space="preserve"> </t>
  </si>
  <si>
    <t>Column label</t>
  </si>
  <si>
    <t>Input Link (different Workbook)</t>
  </si>
  <si>
    <t>An input to this part of the model, which is linked to a source on a worksheet in a different workbook</t>
  </si>
  <si>
    <t>Checksum</t>
  </si>
  <si>
    <t>An input to this part of the model, which is linked to a source on this or another worksheet within this workbook</t>
  </si>
  <si>
    <t>Column label (left aligned)</t>
  </si>
  <si>
    <t>Column label (not bold)</t>
  </si>
  <si>
    <t>Subscribers.Year End.By Service</t>
  </si>
  <si>
    <t>Service</t>
  </si>
  <si>
    <t>Units</t>
  </si>
  <si>
    <t>Subscribers</t>
  </si>
  <si>
    <t>From above</t>
  </si>
  <si>
    <t>From Cable_modem.xls</t>
  </si>
  <si>
    <t>Linear interpolation</t>
  </si>
  <si>
    <t>Column label (no wrap)</t>
  </si>
  <si>
    <t>Ready for review</t>
  </si>
  <si>
    <t>Listas utilizadas en el modelo</t>
  </si>
  <si>
    <t>Hundred, thousand, million</t>
  </si>
  <si>
    <t>hundred</t>
  </si>
  <si>
    <t>thousand</t>
  </si>
  <si>
    <t>million</t>
  </si>
  <si>
    <t>Spare, void and not available</t>
  </si>
  <si>
    <t>espacio vacante</t>
  </si>
  <si>
    <t>spare</t>
  </si>
  <si>
    <t>void</t>
  </si>
  <si>
    <t>N/A</t>
  </si>
  <si>
    <t>not.available</t>
  </si>
  <si>
    <t>Lista de activos</t>
  </si>
  <si>
    <t>Predio</t>
  </si>
  <si>
    <t>Aire acondicionado</t>
  </si>
  <si>
    <t>lista.activos</t>
  </si>
  <si>
    <t>Sala coubicación externa</t>
  </si>
  <si>
    <t>Fuente de energia de respaldo</t>
  </si>
  <si>
    <t>Componentes de central de Telmex</t>
  </si>
  <si>
    <t>Sala coubicación CS</t>
  </si>
  <si>
    <t>Sala de control</t>
  </si>
  <si>
    <t>lista.componentes.central.telmex</t>
  </si>
  <si>
    <t>Número de CS</t>
  </si>
  <si>
    <t>Propiedad del predio</t>
  </si>
  <si>
    <t>Tercero en arrendamiento</t>
  </si>
  <si>
    <t>Tercero en comodato</t>
  </si>
  <si>
    <t>propiedad.predio</t>
  </si>
  <si>
    <t>Geotipo</t>
  </si>
  <si>
    <t>Distrito Federal</t>
  </si>
  <si>
    <t>Urbano</t>
  </si>
  <si>
    <t>Rural</t>
  </si>
  <si>
    <t>Carreteras</t>
  </si>
  <si>
    <t>geotipo</t>
  </si>
  <si>
    <t>Panel de control</t>
  </si>
  <si>
    <t>Elemento</t>
  </si>
  <si>
    <t>Unidad</t>
  </si>
  <si>
    <t>Valor</t>
  </si>
  <si>
    <t>Nombre</t>
  </si>
  <si>
    <t>Check</t>
  </si>
  <si>
    <t>Notas</t>
  </si>
  <si>
    <t>CHECK de los parametros eligidos</t>
  </si>
  <si>
    <t>OK</t>
  </si>
  <si>
    <t>Control</t>
  </si>
  <si>
    <t>Año</t>
  </si>
  <si>
    <t>años</t>
  </si>
  <si>
    <t>año</t>
  </si>
  <si>
    <t>Año de referencia</t>
  </si>
  <si>
    <t>WACC</t>
  </si>
  <si>
    <t>%</t>
  </si>
  <si>
    <t>#</t>
  </si>
  <si>
    <t>C1 activo</t>
  </si>
  <si>
    <t>CS2 activo</t>
  </si>
  <si>
    <t>año.activo</t>
  </si>
  <si>
    <t>wacc</t>
  </si>
  <si>
    <t>numero.CS</t>
  </si>
  <si>
    <t>numero.CS.activo</t>
  </si>
  <si>
    <t>cs1.activo</t>
  </si>
  <si>
    <t>cs2.activo</t>
  </si>
  <si>
    <t>Parametros de coubicacion</t>
  </si>
  <si>
    <t>Tipo de coubicación</t>
  </si>
  <si>
    <t>CI</t>
  </si>
  <si>
    <t>CE</t>
  </si>
  <si>
    <t>tipo.coubicacion</t>
  </si>
  <si>
    <t>CI = Coubicación Interna, CE = Coubicación Externa</t>
  </si>
  <si>
    <t>Características del sitio</t>
  </si>
  <si>
    <t>m2</t>
  </si>
  <si>
    <t>Espacio coubicación CS1</t>
  </si>
  <si>
    <t>Espacio coubicación CS2</t>
  </si>
  <si>
    <t>Actualizar selección</t>
  </si>
  <si>
    <t>ERROR</t>
  </si>
  <si>
    <t>actualizar.seleccion</t>
  </si>
  <si>
    <t>error</t>
  </si>
  <si>
    <t>ok</t>
  </si>
  <si>
    <t>espacio.coubicacion.activo.CS1</t>
  </si>
  <si>
    <t>espacio.coubicacion.activo.CS2</t>
  </si>
  <si>
    <t>Propriedad del predio</t>
  </si>
  <si>
    <t>ID del predio</t>
  </si>
  <si>
    <t>predio.activo</t>
  </si>
  <si>
    <t>geotipo.activo</t>
  </si>
  <si>
    <t>propriedad.predio.activo</t>
  </si>
  <si>
    <t>Telmex</t>
  </si>
  <si>
    <t>id.predio.activo</t>
  </si>
  <si>
    <t>Sí / No</t>
  </si>
  <si>
    <t>Sí</t>
  </si>
  <si>
    <t>No</t>
  </si>
  <si>
    <t>disponibilidad</t>
  </si>
  <si>
    <t>si</t>
  </si>
  <si>
    <t>no</t>
  </si>
  <si>
    <t>Resultados</t>
  </si>
  <si>
    <t>Mark-up de gastos comunes - capex y opex</t>
  </si>
  <si>
    <t>Overhead mark-up capex</t>
  </si>
  <si>
    <t>Overhead mark-up opex</t>
  </si>
  <si>
    <t>markup.overhead.capex</t>
  </si>
  <si>
    <t>markup.overhead.opex</t>
  </si>
  <si>
    <t>Solicitacion de aire acondicionado</t>
  </si>
  <si>
    <t>solicitacion.aire.acondicionado.activo</t>
  </si>
  <si>
    <t>aire.acondicionado.capacidad.superficie</t>
  </si>
  <si>
    <t>Mark-up area ocupada -&gt; area total, para predios urbanos</t>
  </si>
  <si>
    <t>Mark-up area predio urbano -&gt; area predio rural</t>
  </si>
  <si>
    <t>markup.predio</t>
  </si>
  <si>
    <t>markup.zona.rural</t>
  </si>
  <si>
    <t>Dimensionado</t>
  </si>
  <si>
    <t>Uso de Sitios, Predios y Espacios Físicos</t>
  </si>
  <si>
    <t>Área ocupada</t>
  </si>
  <si>
    <t>Mark-up para área total</t>
  </si>
  <si>
    <t>Mark-up zona rural</t>
  </si>
  <si>
    <t>Área total</t>
  </si>
  <si>
    <t>area.ocupada.predio</t>
  </si>
  <si>
    <t>area.total.predio</t>
  </si>
  <si>
    <t>Clima</t>
  </si>
  <si>
    <t>Costos unitarios</t>
  </si>
  <si>
    <t>Año activo</t>
  </si>
  <si>
    <t>Costeo</t>
  </si>
  <si>
    <t>Precio</t>
  </si>
  <si>
    <t>CAPEX</t>
  </si>
  <si>
    <t>OPEX</t>
  </si>
  <si>
    <t>NOTAS</t>
  </si>
  <si>
    <t>Costos totales incluindo overheads</t>
  </si>
  <si>
    <t>Inputs</t>
  </si>
  <si>
    <t>Cantidad</t>
  </si>
  <si>
    <t>Unidad capex unitario</t>
  </si>
  <si>
    <t>Obras civiles</t>
  </si>
  <si>
    <t>Adquisicion</t>
  </si>
  <si>
    <t>Capex total</t>
  </si>
  <si>
    <t>Vida útil</t>
  </si>
  <si>
    <t>Vida útil restante</t>
  </si>
  <si>
    <t>Unidad opex unitario 1</t>
  </si>
  <si>
    <t>Alquiler</t>
  </si>
  <si>
    <t>Unidad opex unitario 2</t>
  </si>
  <si>
    <t>Mantenimiento</t>
  </si>
  <si>
    <t>Opex total</t>
  </si>
  <si>
    <t>Gasto anual</t>
  </si>
  <si>
    <t>MXN</t>
  </si>
  <si>
    <t>MXN/año</t>
  </si>
  <si>
    <t>Sala de switching</t>
  </si>
  <si>
    <t>espacio.coubicacion.activo.CS3</t>
  </si>
  <si>
    <t>CS3 activo</t>
  </si>
  <si>
    <t>Subestación electrica</t>
  </si>
  <si>
    <t>Categorias tamaño de central de Telmex</t>
  </si>
  <si>
    <t>Pequeña</t>
  </si>
  <si>
    <t>Media</t>
  </si>
  <si>
    <t>Grande</t>
  </si>
  <si>
    <t>Muy grande</t>
  </si>
  <si>
    <t>tamaño.central.Telmex</t>
  </si>
  <si>
    <t>Dimensión de la central</t>
  </si>
  <si>
    <t>tipo.central.telmex.activa</t>
  </si>
  <si>
    <t>Número de plantas</t>
  </si>
  <si>
    <t>numero.plantas.central.telmex.activo</t>
  </si>
  <si>
    <t>ID de la central</t>
  </si>
  <si>
    <t>id.central.telmex.activo</t>
  </si>
  <si>
    <t>Mark-up para sala CS</t>
  </si>
  <si>
    <t>Mark-up para sala AEP</t>
  </si>
  <si>
    <t>markup.sala.AEP</t>
  </si>
  <si>
    <t>markup.sala.CS</t>
  </si>
  <si>
    <t>Espacio coubicacion CS1</t>
  </si>
  <si>
    <t>Espacio coubicacion CS2</t>
  </si>
  <si>
    <t>Espacio coubicacion CS3</t>
  </si>
  <si>
    <t>Dimensionamento sala de control</t>
  </si>
  <si>
    <t>Dimensionamento sala de switching</t>
  </si>
  <si>
    <t>Dimensionamento sala coubicacion CE - CS1</t>
  </si>
  <si>
    <t>Dimensionamento sala coubicacion CE - CS2</t>
  </si>
  <si>
    <t>Dimensionamento sala coubicacion CE - CS3</t>
  </si>
  <si>
    <t>Dimensionamento sala coubicacion CE</t>
  </si>
  <si>
    <t>1=Si, 0=No</t>
  </si>
  <si>
    <t>TRUE, FALSE</t>
  </si>
  <si>
    <t>true.false</t>
  </si>
  <si>
    <t>tipo.coubicacion.activo.CS1</t>
  </si>
  <si>
    <t>tipo.coubicacion.activo.CS2</t>
  </si>
  <si>
    <t>tipo.coubicacion.activo.CS3</t>
  </si>
  <si>
    <t>Tipo de coubicación CS1</t>
  </si>
  <si>
    <t>Tipo de coubicación CS2</t>
  </si>
  <si>
    <t>Tipo de coubicación CS3</t>
  </si>
  <si>
    <t>Componentes del predio</t>
  </si>
  <si>
    <t>Area caseta central</t>
  </si>
  <si>
    <t>Area sala coubicacion externa</t>
  </si>
  <si>
    <t>Area libre</t>
  </si>
  <si>
    <t>Area total</t>
  </si>
  <si>
    <t>lista.componentes.predio</t>
  </si>
  <si>
    <t>Sala subestacion electrica</t>
  </si>
  <si>
    <t>Sala planta de emergencia</t>
  </si>
  <si>
    <t>Sala baterias</t>
  </si>
  <si>
    <t>Consumo de los equipos del AEP</t>
  </si>
  <si>
    <t>Consumo de los equipos del CS1</t>
  </si>
  <si>
    <t>Consumo de los equipos del CS2</t>
  </si>
  <si>
    <t>Consumo de los equipos del CS3</t>
  </si>
  <si>
    <t>consumo.equipos.AEP</t>
  </si>
  <si>
    <t>consumo.equipos.CS1</t>
  </si>
  <si>
    <t>consumo.equipos.CS2</t>
  </si>
  <si>
    <t>consumo.equipos.CS3</t>
  </si>
  <si>
    <t>Dimensionamento sala de transmision</t>
  </si>
  <si>
    <t>Dimensionamento sala de subestacion electrica</t>
  </si>
  <si>
    <t>Dimensionamento sala de emergencia</t>
  </si>
  <si>
    <t>Dimensionamento sala de baterias</t>
  </si>
  <si>
    <t>Área de las salas</t>
  </si>
  <si>
    <t>area.salas.central.telmex</t>
  </si>
  <si>
    <t>Dimensionamento sala coubicacion CS</t>
  </si>
  <si>
    <t>area.sala.coubicacion.CS</t>
  </si>
  <si>
    <t>area.sala.control</t>
  </si>
  <si>
    <t>area.sala.switching</t>
  </si>
  <si>
    <t>area.sala.transmision</t>
  </si>
  <si>
    <t>area.sala.subestacion.electrica</t>
  </si>
  <si>
    <t>area.sala.emergencia</t>
  </si>
  <si>
    <t>area.sala.baterias</t>
  </si>
  <si>
    <t>Área exterior caseta central</t>
  </si>
  <si>
    <t>area.exterior.central.telmex</t>
  </si>
  <si>
    <t>Sala de coubicacion</t>
  </si>
  <si>
    <t>Caseta central</t>
  </si>
  <si>
    <t>Mark-up area salas  -&gt; area exterior</t>
  </si>
  <si>
    <t>markup.area.exterior.central.telmex</t>
  </si>
  <si>
    <t>area.sala.coubicacion.externa.CS</t>
  </si>
  <si>
    <t>calculos.secundarios.tamano.caseta</t>
  </si>
  <si>
    <t>Utilizacion de espacio de coubicacion externa CS1</t>
  </si>
  <si>
    <t>Utilizacion de espacio de coubicacion externa CS2</t>
  </si>
  <si>
    <t>Utilizacion de espacio de coubicacion externa CS3</t>
  </si>
  <si>
    <t>area.sala.coubicacion.externa.CS1</t>
  </si>
  <si>
    <t>area.sala.coubicacion.externa.CS2</t>
  </si>
  <si>
    <t>area.sala.coubicacion.externa.CS3</t>
  </si>
  <si>
    <t>Generador</t>
  </si>
  <si>
    <t>Compartición de aire acondicionado</t>
  </si>
  <si>
    <t>Capacidad utilizada</t>
  </si>
  <si>
    <t>tons</t>
  </si>
  <si>
    <t>Potencia fuente en % potencia transformadores</t>
  </si>
  <si>
    <t>capacidad.fuente.energia.respaldo</t>
  </si>
  <si>
    <t>Potencia transformadores subestacion electrica</t>
  </si>
  <si>
    <t>Potencia minima de la fuente de energia de respaldo</t>
  </si>
  <si>
    <t>Geotipo del predio</t>
  </si>
  <si>
    <t>Identificador</t>
  </si>
  <si>
    <t>CAPEX unitario obras civiles de adecuacion (MXN/m2)</t>
  </si>
  <si>
    <t>Tendencia de costos</t>
  </si>
  <si>
    <t>CAPEX unitario de adquisicion (MXN/m2)</t>
  </si>
  <si>
    <t>CAPEX unitario de adquisicion (MXN/m2) - Año activo</t>
  </si>
  <si>
    <t>OPEX anual alquiler (MXN/año/m2) - Año activo</t>
  </si>
  <si>
    <t>OPEX de mantenimiento (MXN/año/m2)</t>
  </si>
  <si>
    <t>OPEX de mantenimiento (MXN/año/m2)  - Año activo</t>
  </si>
  <si>
    <t>Vida util restante</t>
  </si>
  <si>
    <t>CAPEX unitario (MXN) - Año activo</t>
  </si>
  <si>
    <t>OPEX anual alquiler (MXN/año)</t>
  </si>
  <si>
    <t>OPEX anual alquiler (MXN/año) - Año activo</t>
  </si>
  <si>
    <t>OPEX de mantenimiento (MXN/año)</t>
  </si>
  <si>
    <t>OPEX de mantenimiento (MXN/año) - Año activo</t>
  </si>
  <si>
    <t>CAPEX unitario (MXN/ton)</t>
  </si>
  <si>
    <t>CAPEX unitario (MXN/ton) - Año activo</t>
  </si>
  <si>
    <t>OPEX de mantenimiento (% capex)</t>
  </si>
  <si>
    <t>Valores por ton</t>
  </si>
  <si>
    <t>Unidad --&gt;</t>
  </si>
  <si>
    <t>identificador.predio</t>
  </si>
  <si>
    <t>capex.unitario.acquisicion.predio</t>
  </si>
  <si>
    <t>opex.anual.alquiler.predio</t>
  </si>
  <si>
    <t>opex.anual.mantenimiento.predio</t>
  </si>
  <si>
    <t>vida.util.predio</t>
  </si>
  <si>
    <t>vida.util.restante.predio</t>
  </si>
  <si>
    <t>identificador.central.telmex</t>
  </si>
  <si>
    <t>capex.unitario.central.telmex</t>
  </si>
  <si>
    <t>opex.anual.alquiler.central.telmex</t>
  </si>
  <si>
    <t>opex.anual.mantenimiento.central.telmex</t>
  </si>
  <si>
    <t>vida.util.central.telmex</t>
  </si>
  <si>
    <t>vida.util.restante.central.telmex</t>
  </si>
  <si>
    <t>capex.unitario.sala.coubicacion.externa</t>
  </si>
  <si>
    <t>opex.anual.mantenimiento.sala.coubicacion.externa</t>
  </si>
  <si>
    <t>vida.util.sala.coubicacion.externa</t>
  </si>
  <si>
    <t>vida.util.restante.sala.coubicacion.externa</t>
  </si>
  <si>
    <t>capex.unitario.aire.acondicionado</t>
  </si>
  <si>
    <t>opex.anual.mantenimiento.aire.acondicionado</t>
  </si>
  <si>
    <t>vida.util.aire.acondicionado</t>
  </si>
  <si>
    <t>vida.util.restante.aire.acondicionado</t>
  </si>
  <si>
    <t>kW</t>
  </si>
  <si>
    <t>Opex</t>
  </si>
  <si>
    <t>MXN/m2</t>
  </si>
  <si>
    <t>CAPEX unitario obras civiles de adecuacion (MXN/m2) - Año activo</t>
  </si>
  <si>
    <t>capex.unitario.obras.adecuacion.predio</t>
  </si>
  <si>
    <t>Anualidad Capex</t>
  </si>
  <si>
    <t>capex.predio</t>
  </si>
  <si>
    <t>opex.predio</t>
  </si>
  <si>
    <t>gasto.anual.predio</t>
  </si>
  <si>
    <t>capex.central.telmex</t>
  </si>
  <si>
    <t>opex.central.telmex</t>
  </si>
  <si>
    <t>gasto.anual.central.telmex</t>
  </si>
  <si>
    <t>CAPEX unitario - adquisicion + instalacion + obras civiles (MXN/m2)</t>
  </si>
  <si>
    <t>capex.sala.coubicacion.externa</t>
  </si>
  <si>
    <t>opex.sala.coubicacion.externa</t>
  </si>
  <si>
    <t>gasto.anual.sala.coubicacion.externa</t>
  </si>
  <si>
    <t>consumo.equipos.subestacion.electrica</t>
  </si>
  <si>
    <t>potencia.minima.fuente.energia.respaldo</t>
  </si>
  <si>
    <t>capacidad.utilizada.aire.acondicionado</t>
  </si>
  <si>
    <t>MXN/tons</t>
  </si>
  <si>
    <t>capex.aire.acondicionado</t>
  </si>
  <si>
    <t>opex.aire.acondicionado</t>
  </si>
  <si>
    <t>gasto.anual.aire.acondicionado</t>
  </si>
  <si>
    <t>capex.subestacion.electrica</t>
  </si>
  <si>
    <t>opex.subestacion.electrica</t>
  </si>
  <si>
    <t>gasto.anual.subestacion.electrica</t>
  </si>
  <si>
    <t>capex.fuente.energia.respaldo</t>
  </si>
  <si>
    <t>opex.fuente.energia.respaldo</t>
  </si>
  <si>
    <t>gasto.anual.fuente.energia.respaldo</t>
  </si>
  <si>
    <t>Lista de servicios</t>
  </si>
  <si>
    <t>lista.servicios</t>
  </si>
  <si>
    <t>Inclusion de gastos</t>
  </si>
  <si>
    <t>Gastos incluidos</t>
  </si>
  <si>
    <t>Capex</t>
  </si>
  <si>
    <t>Inclusion AEP</t>
  </si>
  <si>
    <t>Inclusion CS1</t>
  </si>
  <si>
    <t>Inclusion CS2</t>
  </si>
  <si>
    <t>Inclusion CS3</t>
  </si>
  <si>
    <t>Servicios</t>
  </si>
  <si>
    <t>Asignacion de gastos</t>
  </si>
  <si>
    <t>Demanda (1 = Si, 0 = No)</t>
  </si>
  <si>
    <t>(1 = Si, 0 = No)</t>
  </si>
  <si>
    <t>AEP</t>
  </si>
  <si>
    <t>CS1</t>
  </si>
  <si>
    <t>CS2</t>
  </si>
  <si>
    <t>CS3</t>
  </si>
  <si>
    <t>Nota:</t>
  </si>
  <si>
    <t>Si un operador esta activo, ocupara estacio en piso</t>
  </si>
  <si>
    <t>cs3.activo</t>
  </si>
  <si>
    <t>Si un operador esta activo, se asignara costos en la caseta central, ya que hay servicios que son compartidos</t>
  </si>
  <si>
    <t>Drivers para asignacion de costos (unidades)</t>
  </si>
  <si>
    <t>Driver</t>
  </si>
  <si>
    <t>Cantidad driver por operador</t>
  </si>
  <si>
    <t>Sub-elemento</t>
  </si>
  <si>
    <t>Demanda para asignacion (unidades de costos)</t>
  </si>
  <si>
    <t>Asignacion de la demanda total de todos los operadores</t>
  </si>
  <si>
    <t>Desglose de gastos anuales</t>
  </si>
  <si>
    <t>Fuente: IFT</t>
  </si>
  <si>
    <t>% de la potencia de los transformadores que debe ser cubierta por la fuente de energia de respaldo (generador)</t>
  </si>
  <si>
    <t>horas</t>
  </si>
  <si>
    <t>Corriente</t>
  </si>
  <si>
    <t>Corriente de energia</t>
  </si>
  <si>
    <t>corriente.energia</t>
  </si>
  <si>
    <t>AC 127V</t>
  </si>
  <si>
    <t>DC 48V</t>
  </si>
  <si>
    <t>corriente.energia.activa</t>
  </si>
  <si>
    <t>identificador.subestacion.electrica</t>
  </si>
  <si>
    <t>CAPEX unitario (kW)</t>
  </si>
  <si>
    <t>vida.util.restante.subestacion.electrica</t>
  </si>
  <si>
    <t>opex.anual.mantenimiento.subestacion.electrica</t>
  </si>
  <si>
    <t>capex.unitario.fuente.energia.respaldo</t>
  </si>
  <si>
    <t>opex.unitario.fuente.energia.respaldo</t>
  </si>
  <si>
    <t>vida.util.fuente.energia.respaldo</t>
  </si>
  <si>
    <t>vida.util.restante.fuente.energia.respaldo</t>
  </si>
  <si>
    <t>MXN/kW</t>
  </si>
  <si>
    <t>capex.unitario.subestacion.electrica</t>
  </si>
  <si>
    <t>vida.util.subestacion.electrica</t>
  </si>
  <si>
    <t>identificador.fuente.energia.respaldo</t>
  </si>
  <si>
    <t>Dimensionado de las salas de energia</t>
  </si>
  <si>
    <t>calculos.secundarios.Sala subestacion electrica</t>
  </si>
  <si>
    <t>calculos.secundarios.Sala planta de emergencia</t>
  </si>
  <si>
    <t>Espacio requerido AEP</t>
  </si>
  <si>
    <t>Espacio requerido CS1</t>
  </si>
  <si>
    <t>Espacio requerido CS2</t>
  </si>
  <si>
    <t>Espacio requerido CS3</t>
  </si>
  <si>
    <t>area.sala.subestacion.electrica.AEP</t>
  </si>
  <si>
    <t>area.sala.subestacion.electrica.CS1</t>
  </si>
  <si>
    <t>area.sala.subestacion.electrica.CS2</t>
  </si>
  <si>
    <t>area.sala.subestacion.electrica.CS3</t>
  </si>
  <si>
    <t>area.sala.coubicacion.CS1</t>
  </si>
  <si>
    <t>area.sala.coubicacion.CS2</t>
  </si>
  <si>
    <t>area.sala.coubicacion.CS3</t>
  </si>
  <si>
    <t>Área de las salas con aire acondicionado</t>
  </si>
  <si>
    <t>Todas las salas tienen aire acondicionado con excepcion de la sala de coubicacion de los CS si estos no solicitaren aire acondcionado</t>
  </si>
  <si>
    <t xml:space="preserve">Consumo de energia </t>
  </si>
  <si>
    <t>Espacio coubicación CS3</t>
  </si>
  <si>
    <t>VIDA UTIL</t>
  </si>
  <si>
    <t>Vida util economica</t>
  </si>
  <si>
    <t>Vida util contable</t>
  </si>
  <si>
    <t>Vida util activa</t>
  </si>
  <si>
    <t>Costos considerados</t>
  </si>
  <si>
    <t>Perfil de la recuperación de costes</t>
  </si>
  <si>
    <t>vida.util.activo</t>
  </si>
  <si>
    <t>costos.considerados.activo</t>
  </si>
  <si>
    <t>perfil.recuperacion.costos.activo</t>
  </si>
  <si>
    <t>vida.util.activo.indice</t>
  </si>
  <si>
    <t>costos.considerados.activo.indice</t>
  </si>
  <si>
    <t>perfil.recuperacion.costos.activo.indice</t>
  </si>
  <si>
    <t>Anualidad</t>
  </si>
  <si>
    <t>Vida útil del activo</t>
  </si>
  <si>
    <t>Economica</t>
  </si>
  <si>
    <t>Contable</t>
  </si>
  <si>
    <t>vida.util</t>
  </si>
  <si>
    <t>Históricos</t>
  </si>
  <si>
    <t>costos.considerados</t>
  </si>
  <si>
    <t>Perfil de recuperación de costos</t>
  </si>
  <si>
    <t>Depreciación lineal</t>
  </si>
  <si>
    <t>perfil.recuperacion.costos</t>
  </si>
  <si>
    <t>Caracteristicas tecnicas</t>
  </si>
  <si>
    <t>Corrientes</t>
  </si>
  <si>
    <t>Sala MDF/ODF AEP</t>
  </si>
  <si>
    <t>DC_48V</t>
  </si>
  <si>
    <t>AC_127V</t>
  </si>
  <si>
    <t>Sala equipos de transmision del AEP</t>
  </si>
  <si>
    <t>sala.control.CS.activo</t>
  </si>
  <si>
    <t>sala.switching.CS.activo</t>
  </si>
  <si>
    <t>sala.equipos.transmision.CS.activo</t>
  </si>
  <si>
    <t xml:space="preserve">Utilización de las salas de la central del AEP de los CS </t>
  </si>
  <si>
    <t>identificador.sala.coubicacion.externa</t>
  </si>
  <si>
    <t>Espacio ocupado de las salas de la central (excl. aire acondicionado)</t>
  </si>
  <si>
    <t>Central del AEP</t>
  </si>
  <si>
    <t>Espacio exclusivo para AEP</t>
  </si>
  <si>
    <t>Sala equipos de transmisión del AEP</t>
  </si>
  <si>
    <t>Sala de switching del AEP</t>
  </si>
  <si>
    <t>calculos.secundarios.Sala de control</t>
  </si>
  <si>
    <t>calculos.secundarios.Sala de switching del AEP</t>
  </si>
  <si>
    <t>calculos.secundarios.Sala equipos de transmisión del AEP</t>
  </si>
  <si>
    <t>area.sala.MDF.AEP</t>
  </si>
  <si>
    <t>calculos.secundarios.Sala MDF</t>
  </si>
  <si>
    <t>La sala es de exclusiva utilizacion del AEP</t>
  </si>
  <si>
    <t>MIN</t>
  </si>
  <si>
    <t>MAX</t>
  </si>
  <si>
    <t>Espacio de overheads (pasillos, escaleras, servicios, etc.)</t>
  </si>
  <si>
    <t>espacio.overheads.CS.activo</t>
  </si>
  <si>
    <t>Espacio de overheads</t>
  </si>
  <si>
    <t>Dimensionamento de espacio de overheads</t>
  </si>
  <si>
    <t>area.espacio.overheads</t>
  </si>
  <si>
    <t>Mark-up espacio overheads</t>
  </si>
  <si>
    <t>markup.espacio.overheads</t>
  </si>
  <si>
    <t>Coubicación (CI/CE)</t>
  </si>
  <si>
    <t>Predio adicional con respecto al terreno necesario para el edificio de la central (area predio &gt;&gt; area central)</t>
  </si>
  <si>
    <t>Área libre asignada a CS</t>
  </si>
  <si>
    <t>area.libre.CS</t>
  </si>
  <si>
    <t>Espacio funcional utilizado por operador en la central</t>
  </si>
  <si>
    <t>Espacio para coubicación en CE por CS en CE</t>
  </si>
  <si>
    <t>Espacio funcional utilizado por operador</t>
  </si>
  <si>
    <t xml:space="preserve">Espacio dedicado al AEP y entonces asignado 100% al AEP
</t>
  </si>
  <si>
    <t>Espacio dedicado a los CSs y asignado a cada CS según su demanda de espacio en CI</t>
  </si>
  <si>
    <t>Pro-rata según los espacios dedicados a cada operador</t>
  </si>
  <si>
    <t>Energía requerida por cada operador</t>
  </si>
  <si>
    <t>Espacio funcional (excl. overhead) utilizado por operador en la central</t>
  </si>
  <si>
    <t>Espacio dedicado a los CSs y asignado a cada CS según su demanda de espacio en CE</t>
  </si>
  <si>
    <t>espacio.exclusivo.AEP</t>
  </si>
  <si>
    <t>Unidades</t>
  </si>
  <si>
    <t xml:space="preserve">Espacio funcional utilizado = espacio o sala dedicado/a a un operador, más cuota de espacio para usos comunes (sala subestación eléctrica, sala planta de emergencia, sala baterías, sala aire acondicionado, sala de control, espacios overhead)
</t>
  </si>
  <si>
    <t>Nota: ver abajo asignación de salas a servicios</t>
  </si>
  <si>
    <t>Sub-elemento de la Central del AEP</t>
  </si>
  <si>
    <t>Dimensiones estandar de un rack</t>
  </si>
  <si>
    <t>m</t>
  </si>
  <si>
    <t>Ancho</t>
  </si>
  <si>
    <t>Profundidad</t>
  </si>
  <si>
    <t>bucles</t>
  </si>
  <si>
    <t>Avg</t>
  </si>
  <si>
    <t>Bucles terminados en la central</t>
  </si>
  <si>
    <t>bucles.central.telmex</t>
  </si>
  <si>
    <t>Blucles promedio entrantes en la central</t>
  </si>
  <si>
    <t>Bucles para dimensionamiento de MDF</t>
  </si>
  <si>
    <t>Overhead para dimensionamiento MDF</t>
  </si>
  <si>
    <t>Espacio ocupado por un modulo MDF para 800 bucles</t>
  </si>
  <si>
    <t>Numero minimo de modulos</t>
  </si>
  <si>
    <t>Produndidad</t>
  </si>
  <si>
    <t>Numero de modulos requeridos</t>
  </si>
  <si>
    <t>Espacio de maniobra (por lado)</t>
  </si>
  <si>
    <t>(a)</t>
  </si>
  <si>
    <t>(p)</t>
  </si>
  <si>
    <t>(d)</t>
  </si>
  <si>
    <t>(n)</t>
  </si>
  <si>
    <t>=(n*a+2*d)*(p+2*d)</t>
  </si>
  <si>
    <t>Fuente / Notas</t>
  </si>
  <si>
    <t>Estimacion bottom-up del tamaño de la sala MDF</t>
  </si>
  <si>
    <t>Incluye espacio para aire acondicionados y nichos de acometida</t>
  </si>
  <si>
    <t>Dimensionado de las salas</t>
  </si>
  <si>
    <t>Numero de racks</t>
  </si>
  <si>
    <t>Dimensiones sala MDF</t>
  </si>
  <si>
    <t>Dimensiones sala switching / DSLAM</t>
  </si>
  <si>
    <t>Sala de switching / DSLAM del AEP</t>
  </si>
  <si>
    <t>ton/m2</t>
  </si>
  <si>
    <t>Capacidad de aire acondicionado requerida / utilizada por unidad de superficie</t>
  </si>
  <si>
    <t>ton</t>
  </si>
  <si>
    <t>Factores de conversion</t>
  </si>
  <si>
    <t>kW.por.ton</t>
  </si>
  <si>
    <t>horas.por.dia</t>
  </si>
  <si>
    <t>dias.por.mes</t>
  </si>
  <si>
    <t>meses.por.año</t>
  </si>
  <si>
    <t>OPEX de energia (MXN/kWh)</t>
  </si>
  <si>
    <t>OPEX de energia (MXN/kWh) - Año activo</t>
  </si>
  <si>
    <t>Precio de energia por kWh</t>
  </si>
  <si>
    <t>opex.energia.kWh</t>
  </si>
  <si>
    <t>m2/kW</t>
  </si>
  <si>
    <t>Potencia de los equipos del AEP</t>
  </si>
  <si>
    <t>Potencia de los equipos del CS1</t>
  </si>
  <si>
    <t>Potencia de los equipos del CS2</t>
  </si>
  <si>
    <t>Potencia de los equipos del CS3</t>
  </si>
  <si>
    <t>Potencia de los equipos</t>
  </si>
  <si>
    <t>Determinar precios orientados a costos para el servicio de acceso a la infraestructura pasiva fija del AEP</t>
  </si>
  <si>
    <t>Estimacion bottom-up del tamaño de la sala switch / DSLAM</t>
  </si>
  <si>
    <t>Fuente de energia de respaldo (planta de emergencia)</t>
  </si>
  <si>
    <t>Horas de respaldo (baterias)</t>
  </si>
  <si>
    <t>Horas de respaldo (generador diesel)</t>
  </si>
  <si>
    <t>horas.backup.fuente.energia.respaldo.baterias</t>
  </si>
  <si>
    <t>horas.backup.fuente.energia.respaldo.generador.diesel</t>
  </si>
  <si>
    <t>Equipos electricos</t>
  </si>
  <si>
    <t>Baterias</t>
  </si>
  <si>
    <t>Potencia del generador diesel (kVA)</t>
  </si>
  <si>
    <t>Ah</t>
  </si>
  <si>
    <t>V</t>
  </si>
  <si>
    <t>power</t>
  </si>
  <si>
    <t>minutes</t>
  </si>
  <si>
    <t>x1</t>
  </si>
  <si>
    <t>y1</t>
  </si>
  <si>
    <t>x2</t>
  </si>
  <si>
    <t>y2</t>
  </si>
  <si>
    <t>Slope:</t>
  </si>
  <si>
    <t>Equation</t>
  </si>
  <si>
    <t>Dimensionamento de baterias</t>
  </si>
  <si>
    <t>Horas minimas de backup</t>
  </si>
  <si>
    <t>Numero de baterias</t>
  </si>
  <si>
    <t>h</t>
  </si>
  <si>
    <t>kVA</t>
  </si>
  <si>
    <t>Fuente de energia de respaldo (grupos electrogenos Diesel + baterias)</t>
  </si>
  <si>
    <t>Factor de conversión kW a kVA</t>
  </si>
  <si>
    <t>Factor de conversión kVA a kW</t>
  </si>
  <si>
    <t>factor.conversion.kW.kVA</t>
  </si>
  <si>
    <t>factor.conversion.kVA.kW</t>
  </si>
  <si>
    <t>m2/bateria</t>
  </si>
  <si>
    <t>Modelo</t>
  </si>
  <si>
    <t>KWe</t>
  </si>
  <si>
    <t>Motor</t>
  </si>
  <si>
    <t>Cilindros</t>
  </si>
  <si>
    <t>Consumo de combustible @ 100% de la carga en litros/hr</t>
  </si>
  <si>
    <t>Dimensiones (largo x ancho x alto) cm</t>
  </si>
  <si>
    <t>KG</t>
  </si>
  <si>
    <t>Kva</t>
  </si>
  <si>
    <t>TLY250</t>
  </si>
  <si>
    <t>6R1600G70S</t>
  </si>
  <si>
    <t>LSA46.2L6</t>
  </si>
  <si>
    <t>315 x 118 x 190</t>
  </si>
  <si>
    <t>TLY300</t>
  </si>
  <si>
    <t>6R1600G80S</t>
  </si>
  <si>
    <t>TLY350</t>
  </si>
  <si>
    <t>8V1600G70S</t>
  </si>
  <si>
    <t>LSA47.2VS2</t>
  </si>
  <si>
    <t>315 x 125 x 196</t>
  </si>
  <si>
    <t>TLY400</t>
  </si>
  <si>
    <t>8V1600G80S</t>
  </si>
  <si>
    <t>315 x 130 x 199</t>
  </si>
  <si>
    <t>TLY450</t>
  </si>
  <si>
    <t>10V1600G70S</t>
  </si>
  <si>
    <t>LSA47.2S4</t>
  </si>
  <si>
    <t>345 x 125 x 204</t>
  </si>
  <si>
    <t>TLY500</t>
  </si>
  <si>
    <t>10V1600G80S</t>
  </si>
  <si>
    <t>LSA47.2S5</t>
  </si>
  <si>
    <t>TLY600</t>
  </si>
  <si>
    <t>12V1600G80S</t>
  </si>
  <si>
    <t>LSA47.2M8</t>
  </si>
  <si>
    <t>345 x 165 x 218</t>
  </si>
  <si>
    <t>TLY700</t>
  </si>
  <si>
    <t>12V2000G45</t>
  </si>
  <si>
    <t>LSA49.1S4</t>
  </si>
  <si>
    <t>435 x 193 x 231</t>
  </si>
  <si>
    <t>TLY800</t>
  </si>
  <si>
    <t>12V2000G85</t>
  </si>
  <si>
    <t>LSA49.1M7</t>
  </si>
  <si>
    <t>TLY900</t>
  </si>
  <si>
    <t>16V2000G45</t>
  </si>
  <si>
    <t>LSA49.1L9</t>
  </si>
  <si>
    <t>465 x 219 x 249</t>
  </si>
  <si>
    <t>TLY1000</t>
  </si>
  <si>
    <t>16V2000G85</t>
  </si>
  <si>
    <t>LSA49.1L11</t>
  </si>
  <si>
    <t>TLY1200</t>
  </si>
  <si>
    <t>18V2000G85</t>
  </si>
  <si>
    <t>LSA50.2M6</t>
  </si>
  <si>
    <t>465 x 219 x 253</t>
  </si>
  <si>
    <t>TLY1250</t>
  </si>
  <si>
    <t>12V4000G43</t>
  </si>
  <si>
    <t>528 x 226 x 285</t>
  </si>
  <si>
    <t>TLY1500</t>
  </si>
  <si>
    <t>LSA50.2L7</t>
  </si>
  <si>
    <t>TLY1750</t>
  </si>
  <si>
    <t>12V4000G83</t>
  </si>
  <si>
    <t>LSA50.2VL10</t>
  </si>
  <si>
    <t>TLY2000</t>
  </si>
  <si>
    <t>16V4000G43</t>
  </si>
  <si>
    <t>LS641S55</t>
  </si>
  <si>
    <t>720 x 380 x 300</t>
  </si>
  <si>
    <t>TLY2250</t>
  </si>
  <si>
    <t>16V4000G83</t>
  </si>
  <si>
    <t>LS641L70</t>
  </si>
  <si>
    <t>C/F</t>
  </si>
  <si>
    <t>TLY2500</t>
  </si>
  <si>
    <t>16V4000G83L</t>
  </si>
  <si>
    <t>LS641VL90</t>
  </si>
  <si>
    <t>20V4000G43</t>
  </si>
  <si>
    <t>750 x 400 x 320</t>
  </si>
  <si>
    <t>TLY2800</t>
  </si>
  <si>
    <t>20V4000G83</t>
  </si>
  <si>
    <t>LS841M70</t>
  </si>
  <si>
    <t>TLY3250</t>
  </si>
  <si>
    <t>20V4000G83L</t>
  </si>
  <si>
    <t>LS841VL85</t>
  </si>
  <si>
    <t>Generador diesel</t>
  </si>
  <si>
    <t>consumo (l/h) @ 100%</t>
  </si>
  <si>
    <t>m2 (motor + generador)</t>
  </si>
  <si>
    <t>consumo (l/h) @ 100% @ backup</t>
  </si>
  <si>
    <t>litros</t>
  </si>
  <si>
    <t>Largo (cm)</t>
  </si>
  <si>
    <t>Ancho (cm)</t>
  </si>
  <si>
    <t>Alto (cm)</t>
  </si>
  <si>
    <t>metros cubicos requeridos</t>
  </si>
  <si>
    <t>altura (m)</t>
  </si>
  <si>
    <t>metros cuadrados requeridos</t>
  </si>
  <si>
    <t>Mark-up espacio de operación</t>
  </si>
  <si>
    <t>numero.baterias</t>
  </si>
  <si>
    <t>Consumo de los equipos subestación eléctrica para FER</t>
  </si>
  <si>
    <t>Consumo de los equipos para FER</t>
  </si>
  <si>
    <t>Capacidad de baterias con con el backup definido</t>
  </si>
  <si>
    <t>Tipo de fuente de energia de respaldo</t>
  </si>
  <si>
    <t>OPEX de mantenimiento (MXN/año/kW)</t>
  </si>
  <si>
    <t>OPEX de mantenimiento (MXN/año/kW) - Año activo</t>
  </si>
  <si>
    <t>OPEX de mantenimiento (MXN/kW/año)</t>
  </si>
  <si>
    <t>OPEX de mantenimiento (MXN/kW/año) - Año activo</t>
  </si>
  <si>
    <t xml:space="preserve">Analisis de sensibilidad sobre los capex unitarios </t>
  </si>
  <si>
    <t>sens.capex.unitarios</t>
  </si>
  <si>
    <t xml:space="preserve">Analisis de sensibilidad sobre los opex unitarios </t>
  </si>
  <si>
    <t>sens.opex.unitarios</t>
  </si>
  <si>
    <t>Opción de fuente de energia de respaldo</t>
  </si>
  <si>
    <t>opcion.fuente.energia.respaldo</t>
  </si>
  <si>
    <t>opcion.fuente.energia.respaldo.activa</t>
  </si>
  <si>
    <t>Backup (horas) en zonas urbanas</t>
  </si>
  <si>
    <t>Backup (horas) en zonas rurales</t>
  </si>
  <si>
    <t>backup.minimo.baterias.urbano</t>
  </si>
  <si>
    <t>backup.minimo.baterias.rural</t>
  </si>
  <si>
    <t>backup.minimo.generador.diesel.urbano</t>
  </si>
  <si>
    <t>backup.minimo.generador.diesel.rural</t>
  </si>
  <si>
    <t xml:space="preserve">Tamaño central </t>
  </si>
  <si>
    <t>Generador + baterias</t>
  </si>
  <si>
    <t>Generador Diesel + Baterias</t>
  </si>
  <si>
    <t>Gasto anual incluido</t>
  </si>
  <si>
    <t>Nota: Si la central es pequeña, no hay subestación eléctrica</t>
  </si>
  <si>
    <t>Número de CS activos</t>
  </si>
  <si>
    <t>Parámetros de escenario</t>
  </si>
  <si>
    <t>Check / Indices</t>
  </si>
  <si>
    <t>Nombre 2</t>
  </si>
  <si>
    <t>Nombre 1</t>
  </si>
  <si>
    <t>CI / CE</t>
  </si>
  <si>
    <t>Reglas de dimensionamiento</t>
  </si>
  <si>
    <t>Parámetros para el dimensionamiento</t>
  </si>
  <si>
    <t xml:space="preserve">Máquina de emergencia (Motor de Combustión Interna acoplado a un Generador), el cual genera corriente alterna a 220/127 V y que sustituye a la acometida de CFE en caso de interrupción. </t>
  </si>
  <si>
    <t>Bancos de Baterías, proporciona la energía eléctrica de corriente directa en caso de pérdida de corriente alterna de la máquina de emergencia y/o de la acometida de CFE.</t>
  </si>
  <si>
    <t>El tiempo de respaldo de las baterías depende de si se cuenta o no con máquina de emergencia en el sitio y el tiempo que tarda en llegar personal de mantenimiento desde el centro de mantenimiento más próximo. El tiempo de respaldo puede variar, siendo el mínimo de 4 horas.</t>
  </si>
  <si>
    <t>Otros parametros de dimensionamiento</t>
  </si>
  <si>
    <t>Demanda</t>
  </si>
  <si>
    <t>CAPEX unitario obras civiles (MXN/m2)</t>
  </si>
  <si>
    <t>CAPEX unitario (MXN/m2) - Año activo</t>
  </si>
  <si>
    <t>CAPEX unitario (MXM/kW)</t>
  </si>
  <si>
    <t>Energia</t>
  </si>
  <si>
    <t>Nota: incluimos autoaprovisionamiento del AEP</t>
  </si>
  <si>
    <t>Servicios  --&gt;</t>
  </si>
  <si>
    <t>Espacio ocupado por la planta de emergencia (sin espacio de manobra)</t>
  </si>
  <si>
    <t>Espacio ocupado por subestacion electrica (sin espacio de manobra)</t>
  </si>
  <si>
    <t>El calculo del espacio ya incluye el espacio de manobra</t>
  </si>
  <si>
    <t>m2.por.bateria</t>
  </si>
  <si>
    <t>Espacio ocupado por bateria de c. 200-230Ah (sin espacio de manobra)</t>
  </si>
  <si>
    <t>Tipo de baterias que el modelo asume</t>
  </si>
  <si>
    <t>Todos o ninguno, porque estan en la misma sala de CI</t>
  </si>
  <si>
    <t>Solicitación de fuente de energia de respaldo - CS1</t>
  </si>
  <si>
    <t>Solicitación de fuente de energia de respaldo - CS2</t>
  </si>
  <si>
    <t>Solicitación de fuente de energia de respaldo - CS3</t>
  </si>
  <si>
    <t>solicitacion.fuente.energia.respaldo.activo.CS1</t>
  </si>
  <si>
    <t>solicitacion.fuente.energia.respaldo.activo.CS2</t>
  </si>
  <si>
    <t>solicitacion.fuente.energia.respaldo.activo.CS3</t>
  </si>
  <si>
    <t>fuente.energia.respaldo.activo.AEP</t>
  </si>
  <si>
    <t>Potencia transformadores subestacion electrica - AEP</t>
  </si>
  <si>
    <t>Potencia transformadores subestacion electrica - CS1</t>
  </si>
  <si>
    <t>Potencia transformadores subestacion electrica - CS2</t>
  </si>
  <si>
    <t>Potencia transformadores subestacion electrica - CS3</t>
  </si>
  <si>
    <t>El mark-up representa la área adicional al espacio ocupado por la central y sala de coubicacion externa</t>
  </si>
  <si>
    <t>Permite elegir si los costos de la área no ocupada del predio son asignados a los CS</t>
  </si>
  <si>
    <t>opex.anual.alquiler.sala.coubicacion.externa</t>
  </si>
  <si>
    <t>asignacion.coubicacion.cs1</t>
  </si>
  <si>
    <t>asignacion.subestacion.electrica.cs1</t>
  </si>
  <si>
    <t>asignacion.fuente.energia.respaldo.cs1</t>
  </si>
  <si>
    <t>asignacion.aireacondicionado.cs1</t>
  </si>
  <si>
    <t>asignacion.coubicacion.cs2</t>
  </si>
  <si>
    <t>asignacion.subestacion.electrica.cs2</t>
  </si>
  <si>
    <t>asignacion.fuente.energia.respaldo.cs2</t>
  </si>
  <si>
    <t>asignacion.aireacondicionado.cs2</t>
  </si>
  <si>
    <t>asignacion.coubicacion.cs3</t>
  </si>
  <si>
    <t>asignacion.subestacion.electrica.cs3</t>
  </si>
  <si>
    <t>asignacion.fuente.energia.respaldo.cs3</t>
  </si>
  <si>
    <t>asignacion.aireacondicionado.cs3</t>
  </si>
  <si>
    <t>Costo total anual</t>
  </si>
  <si>
    <t>Solicitación de fuente de energia de respaldo - AEP</t>
  </si>
  <si>
    <t>Espacio maniobra (% del espacio de las salas)</t>
  </si>
  <si>
    <t>aire.acondicionado.espacio.maniobra</t>
  </si>
  <si>
    <t>Matrices de mapeo de elementos de red a servicios</t>
  </si>
  <si>
    <t>Estimacion bottom-up del tamaño de la sala transmisión</t>
  </si>
  <si>
    <t>Dimensiones sala transmisión</t>
  </si>
  <si>
    <t>capex.central.telmex.para.movil</t>
  </si>
  <si>
    <t>opex.central.telmex.para.movil</t>
  </si>
  <si>
    <t>Modelo de costos coubicacion fija - modelo de consulta</t>
  </si>
  <si>
    <t>Modelo anonimizado</t>
  </si>
  <si>
    <t>Nota: datos anonimizados</t>
  </si>
  <si>
    <t>Se dimensionan por la carga que deben soportar en cada sitio atendiendo principalmente plantas de rectificación, aire acondicionado y alumbrado de emergencia. El combustible (Diesel) normado es para 52 horas continuas de operación. Para area urbanas elegimos reflejar una eficiencia mayor debido a la mayor calidad de la red electrica en zonas urbanas.</t>
  </si>
  <si>
    <t>Se dimensionan por la carga que deben soportar en cada sitio atendiendo principalmente plantas de rectificación, aire acondicionado y alumbrado de emergencia. El combustible (Diesel) normado es para 52 horas continuas de operación.</t>
  </si>
  <si>
    <t>Se asume 10 horas en zonas rurales para reflejar la mayor probabilided de cortes</t>
  </si>
  <si>
    <t>IFT</t>
  </si>
  <si>
    <t>Interpolacion de datos</t>
  </si>
  <si>
    <t>Nota: La area exterior de la central de  es la suma de la area de las salas, didivido por el numero de pisos, multiplicado por un mark-up (para se considerar las areas comunes y de construccion)</t>
  </si>
</sst>
</file>

<file path=xl/styles.xml><?xml version="1.0" encoding="utf-8"?>
<styleSheet xmlns="http://schemas.openxmlformats.org/spreadsheetml/2006/main" xmlns:mc="http://schemas.openxmlformats.org/markup-compatibility/2006" xmlns:x14ac="http://schemas.microsoft.com/office/spreadsheetml/2009/9/ac" mc:Ignorable="x14ac">
  <numFmts count="49">
    <numFmt numFmtId="43" formatCode="_-* #,##0.00_-;\-* #,##0.00_-;_-* &quot;-&quot;??_-;_-@_-"/>
    <numFmt numFmtId="164" formatCode="#,##0_);[Red]\-#,##0_);0_);@_)"/>
    <numFmt numFmtId="165" formatCode="#,##0.00_);[Red]\-#,##0.00_);0.00_);@_)"/>
    <numFmt numFmtId="166" formatCode="#,##0%;[Red]\-#,##0%;0%;@_)"/>
    <numFmt numFmtId="167" formatCode="#,##0.00%;[Red]\-#,##0.00%;0.00%;@_)"/>
    <numFmt numFmtId="168" formatCode="dd\ mmm\ yy_)"/>
    <numFmt numFmtId="169" formatCode="* _(#,##0_);[Red]* \(#,##0\);* _(&quot;-&quot;?_);@_)"/>
    <numFmt numFmtId="170" formatCode="* _(#,##0.00_);[Red]* \(#,##0.00\);* _(&quot;-&quot;?_);@_)"/>
    <numFmt numFmtId="171" formatCode="\€\ * _(#,##0_);[Red]\€\ * \(#,##0\);\€\ * _(&quot;-&quot;?_);@_)"/>
    <numFmt numFmtId="172" formatCode="\€\ * _(#,##0.00_);[Red]\€\ * \(#,##0.00\);\€\ * _(&quot;-&quot;?_);@_)"/>
    <numFmt numFmtId="173" formatCode="[$EUR]\ * _(#,##0_);[Red][$EUR]\ * \(#,##0\);[$EUR]\ * _(&quot;-&quot;?_);@_)"/>
    <numFmt numFmtId="174" formatCode="[$EUR]\ * _(#,##0.00_);[Red][$EUR]\ * \(#,##0.00\);[$EUR]\ * _(&quot;-&quot;?_);@_)"/>
    <numFmt numFmtId="175" formatCode="\$\ * _(#,##0_);[Red]\$\ * \(#,##0\);\$\ * _(&quot;-&quot;?_);@_)"/>
    <numFmt numFmtId="176" formatCode="\$\ * _(#,##0.00_);[Red]\$\ * \(#,##0.00\);\$\ * _(&quot;-&quot;?_);@_)"/>
    <numFmt numFmtId="177" formatCode="[$USD]\ * _(#,##0_);[Red][$USD]\ * \(#,##0\);[$USD]\ * _(&quot;-&quot;?_);@_)"/>
    <numFmt numFmtId="178" formatCode="[$USD]\ * _(#,##0.00_);[Red][$USD]\ * \(#,##0.00\);[$USD]\ * _(&quot;-&quot;?_);@_)"/>
    <numFmt numFmtId="179" formatCode="\£\ * _(#,##0_);[Red]\£\ * \(#,##0\);\£\ * _(&quot;-&quot;?_);@_)"/>
    <numFmt numFmtId="180" formatCode="\£\ * _(#,##0.00_);[Red]\£\ * \(#,##0.00\);\£\ * _(&quot;-&quot;?_);@_)"/>
    <numFmt numFmtId="181" formatCode="[$GBP]\ * _(#,##0_);[Red][$GBP]\ * \(#,##0\);[$GBP]\ * _(&quot;-&quot;?_);@_)"/>
    <numFmt numFmtId="182" formatCode="[$GBP]\ * _(#,##0.00_);[Red][$GBP]\ * \(#,##0.00\);[$GBP]\ * _(&quot;-&quot;?_);@_)"/>
    <numFmt numFmtId="183" formatCode="mmm\ yy_)"/>
    <numFmt numFmtId="184" formatCode="yyyy_)"/>
    <numFmt numFmtId="185" formatCode="0.0%"/>
    <numFmt numFmtId="186" formatCode="* _(#,##0.0_);[Red]* \(#,##0.0\);* _(&quot;-&quot;?_);@_)"/>
    <numFmt numFmtId="187" formatCode="#,##0_);[Red]\-#,##0_);* _(&quot;-&quot;?_);@_)"/>
    <numFmt numFmtId="188" formatCode="#,##0%;[Red]\-#,##0%;\-\%;@_)"/>
    <numFmt numFmtId="189" formatCode="#,##0.0%;[Red]\-#,##0.0%;\-\%;@_)"/>
    <numFmt numFmtId="190" formatCode="_-* #,##0.00\ &quot;€&quot;_-;\-* #,##0.00\ &quot;€&quot;_-;_-* &quot;-&quot;??\ &quot;€&quot;_-;_-@_-"/>
    <numFmt numFmtId="191" formatCode="_-* #,##0.00\ _€_-;\-* #,##0.00\ _€_-;_-* &quot;-&quot;??\ _€_-;_-@_-"/>
    <numFmt numFmtId="192" formatCode="#,##0.0"/>
    <numFmt numFmtId="193" formatCode="0.0_)\%;\(0.0\)\%;0.0_)\%;@_)_%"/>
    <numFmt numFmtId="194" formatCode="#,##0.0_)_%;\(#,##0.0\)_%;0.0_)_%;@_)_%"/>
    <numFmt numFmtId="195" formatCode="#,##0.0_);\(#,##0.0\);#,##0.0_);@_)"/>
    <numFmt numFmtId="196" formatCode="&quot;£&quot;_(#,##0.00_);&quot;£&quot;\(#,##0.00\);&quot;£&quot;_(0.00_);@_)"/>
    <numFmt numFmtId="197" formatCode="#,##0.00_);\(#,##0.00\);0.00_);@_)"/>
    <numFmt numFmtId="198" formatCode="\€_(#,##0.00_);\€\(#,##0.00\);\€_(0.00_);@_)"/>
    <numFmt numFmtId="199" formatCode="#,##0_)\x;\(#,##0\)\x;0_)\x;@_)_x"/>
    <numFmt numFmtId="200" formatCode="#,##0_)_x;\(#,##0\)_x;0_)_x;@_)_x"/>
    <numFmt numFmtId="201" formatCode="_-* #,##0\ _F_-;* \(#,##0\)\ _F_-;_-* &quot;-&quot;\ _F_-;_-@_-"/>
    <numFmt numFmtId="202" formatCode="_-* #,##0.0\ _F_-;* \(#,##0.0\)\ _F_-;_-* &quot;-&quot;?\ _F_-;_-@_-"/>
    <numFmt numFmtId="203" formatCode="_-* #,##0.00\ _F_-;* \(#,##0.00\)\ _F_-;_-* &quot;-&quot;??\ _F_-;_-@_-"/>
    <numFmt numFmtId="204" formatCode="mmmm"/>
    <numFmt numFmtId="205" formatCode="#,##0.0_);[Red]\-#,##0.0_);* _(&quot;-&quot;?_);@_)"/>
    <numFmt numFmtId="206" formatCode="#,##0_);[Red]\-#,##0_);\-_);@_)"/>
    <numFmt numFmtId="207" formatCode="#,##0.0_);[Red]\-#,##0.0_);\-_);@_)"/>
    <numFmt numFmtId="208" formatCode="_-* #,##0_-;\-* #,##0_-;_-* &quot;-&quot;??_-;_-@_-"/>
    <numFmt numFmtId="209" formatCode="#,##0.0_);[Red]\-#,##0.0_);0.0_);@_)"/>
    <numFmt numFmtId="210" formatCode="#,##0%;[Red]\-#,##0%;\-;@_)"/>
    <numFmt numFmtId="211" formatCode="#,##0.00_);[Red]\-#,##0.00_);\-_);@_)"/>
  </numFmts>
  <fonts count="63" x14ac:knownFonts="1">
    <font>
      <sz val="9"/>
      <name val="Arial"/>
      <family val="2"/>
    </font>
    <font>
      <b/>
      <sz val="12"/>
      <name val="Arial"/>
      <family val="2"/>
    </font>
    <font>
      <sz val="9"/>
      <name val="Arial"/>
      <family val="2"/>
    </font>
    <font>
      <b/>
      <sz val="18"/>
      <name val="Arial"/>
      <family val="2"/>
    </font>
    <font>
      <b/>
      <sz val="14"/>
      <name val="Arial"/>
      <family val="2"/>
    </font>
    <font>
      <b/>
      <sz val="9"/>
      <name val="Arial"/>
      <family val="2"/>
    </font>
    <font>
      <b/>
      <sz val="22"/>
      <name val="Arial"/>
      <family val="2"/>
    </font>
    <font>
      <sz val="8"/>
      <name val="Arial"/>
      <family val="2"/>
    </font>
    <font>
      <i/>
      <sz val="9"/>
      <color indexed="55"/>
      <name val="Arial"/>
      <family val="2"/>
    </font>
    <font>
      <u/>
      <sz val="9"/>
      <name val="Arial"/>
      <family val="2"/>
    </font>
    <font>
      <u/>
      <sz val="8"/>
      <name val="Arial"/>
      <family val="2"/>
    </font>
    <font>
      <i/>
      <sz val="9"/>
      <color indexed="16"/>
      <name val="Arial"/>
      <family val="2"/>
    </font>
    <font>
      <i/>
      <sz val="9"/>
      <name val="Arial"/>
      <family val="2"/>
    </font>
    <font>
      <sz val="11"/>
      <color theme="1"/>
      <name val="Arial"/>
      <family val="2"/>
      <scheme val="minor"/>
    </font>
    <font>
      <sz val="11"/>
      <color theme="0"/>
      <name val="Arial"/>
      <family val="2"/>
      <scheme val="minor"/>
    </font>
    <font>
      <sz val="11"/>
      <color rgb="FF9C0006"/>
      <name val="Arial"/>
      <family val="2"/>
      <scheme val="minor"/>
    </font>
    <font>
      <b/>
      <sz val="11"/>
      <color theme="0"/>
      <name val="Arial"/>
      <family val="2"/>
      <scheme val="minor"/>
    </font>
    <font>
      <i/>
      <sz val="11"/>
      <color rgb="FF7F7F7F"/>
      <name val="Arial"/>
      <family val="2"/>
      <scheme val="minor"/>
    </font>
    <font>
      <sz val="11"/>
      <color rgb="FF006100"/>
      <name val="Arial"/>
      <family val="2"/>
      <scheme val="minor"/>
    </font>
    <font>
      <b/>
      <sz val="15"/>
      <color theme="3"/>
      <name val="Arial"/>
      <family val="2"/>
      <scheme val="minor"/>
    </font>
    <font>
      <b/>
      <sz val="13"/>
      <color theme="3"/>
      <name val="Arial"/>
      <family val="2"/>
      <scheme val="minor"/>
    </font>
    <font>
      <b/>
      <sz val="11"/>
      <color theme="3"/>
      <name val="Arial"/>
      <family val="2"/>
      <scheme val="minor"/>
    </font>
    <font>
      <sz val="11"/>
      <color rgb="FF3F3F76"/>
      <name val="Arial"/>
      <family val="2"/>
      <scheme val="minor"/>
    </font>
    <font>
      <sz val="11"/>
      <color rgb="FFFA7D00"/>
      <name val="Arial"/>
      <family val="2"/>
      <scheme val="minor"/>
    </font>
    <font>
      <sz val="11"/>
      <color rgb="FF9C6500"/>
      <name val="Arial"/>
      <family val="2"/>
      <scheme val="minor"/>
    </font>
    <font>
      <b/>
      <sz val="18"/>
      <color theme="3"/>
      <name val="Arial"/>
      <family val="2"/>
      <scheme val="major"/>
    </font>
    <font>
      <sz val="11"/>
      <color rgb="FFFF0000"/>
      <name val="Arial"/>
      <family val="2"/>
      <scheme val="minor"/>
    </font>
    <font>
      <b/>
      <sz val="9"/>
      <color theme="0"/>
      <name val="Arial"/>
      <family val="2"/>
    </font>
    <font>
      <sz val="9"/>
      <color theme="0"/>
      <name val="Arial"/>
      <family val="2"/>
    </font>
    <font>
      <sz val="10"/>
      <name val="Times New Roman"/>
      <family val="1"/>
      <charset val="204"/>
    </font>
    <font>
      <b/>
      <sz val="11"/>
      <color rgb="FF3F3F3F"/>
      <name val="Arial"/>
      <family val="2"/>
      <scheme val="minor"/>
    </font>
    <font>
      <b/>
      <sz val="11"/>
      <color rgb="FFFA7D00"/>
      <name val="Arial"/>
      <family val="2"/>
      <scheme val="minor"/>
    </font>
    <font>
      <b/>
      <sz val="11"/>
      <color theme="1"/>
      <name val="Arial"/>
      <family val="2"/>
      <scheme val="minor"/>
    </font>
    <font>
      <sz val="10"/>
      <name val="Arial"/>
      <family val="2"/>
    </font>
    <font>
      <sz val="10"/>
      <color indexed="8"/>
      <name val="Arial"/>
      <family val="2"/>
    </font>
    <font>
      <b/>
      <sz val="10"/>
      <color indexed="8"/>
      <name val="Arial"/>
      <family val="2"/>
    </font>
    <font>
      <sz val="12"/>
      <name val="Times New Roman"/>
      <family val="1"/>
    </font>
    <font>
      <sz val="10"/>
      <name val="Helv"/>
    </font>
    <font>
      <sz val="10"/>
      <name val="MS Sans Serif"/>
      <family val="2"/>
    </font>
    <font>
      <sz val="8"/>
      <name val="Calibri"/>
      <family val="2"/>
    </font>
    <font>
      <sz val="10"/>
      <color indexed="10"/>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b/>
      <u/>
      <sz val="20"/>
      <name val="Times New Roman"/>
      <family val="1"/>
    </font>
    <font>
      <b/>
      <sz val="14"/>
      <name val="Times New Roman"/>
      <family val="1"/>
    </font>
    <font>
      <u/>
      <sz val="10"/>
      <name val="Times New Roman"/>
      <family val="1"/>
    </font>
    <font>
      <b/>
      <sz val="12"/>
      <name val="Helv"/>
    </font>
    <font>
      <b/>
      <sz val="18"/>
      <color indexed="24"/>
      <name val="Arial"/>
      <family val="2"/>
    </font>
    <font>
      <b/>
      <sz val="10"/>
      <name val="Times New Roman"/>
      <family val="1"/>
    </font>
    <font>
      <b/>
      <i/>
      <sz val="10"/>
      <name val="Times New Roman"/>
      <family val="1"/>
    </font>
    <font>
      <i/>
      <sz val="10"/>
      <name val="Times New Roman"/>
      <family val="1"/>
    </font>
    <font>
      <sz val="10"/>
      <name val="Times New Roman"/>
      <family val="1"/>
    </font>
    <font>
      <sz val="12"/>
      <color indexed="24"/>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b/>
      <i/>
      <sz val="9"/>
      <color indexed="55"/>
      <name val="Arial"/>
      <family val="2"/>
    </font>
    <font>
      <u/>
      <sz val="9"/>
      <color theme="10"/>
      <name val="Arial"/>
      <family val="2"/>
    </font>
    <font>
      <b/>
      <sz val="9"/>
      <color rgb="FFFF0000"/>
      <name val="Arial"/>
      <family val="2"/>
    </font>
  </fonts>
  <fills count="67">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51"/>
      </patternFill>
    </fill>
    <fill>
      <patternFill patternType="solid">
        <fgColor indexed="13"/>
        <bgColor indexed="15"/>
      </patternFill>
    </fill>
    <fill>
      <patternFill patternType="solid">
        <fgColor indexed="42"/>
        <bgColor indexed="64"/>
      </patternFill>
    </fill>
    <fill>
      <patternFill patternType="solid">
        <fgColor indexed="11"/>
        <bgColor indexed="64"/>
      </patternFill>
    </fill>
    <fill>
      <patternFill patternType="solid">
        <fgColor indexed="51"/>
        <bgColor indexed="64"/>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theme="1"/>
        <bgColor indexed="64"/>
      </patternFill>
    </fill>
    <fill>
      <patternFill patternType="solid">
        <fgColor rgb="FFF2F2F2"/>
      </patternFill>
    </fill>
    <fill>
      <patternFill patternType="solid">
        <fgColor rgb="FFFFFFCC"/>
      </patternFill>
    </fill>
    <fill>
      <patternFill patternType="solid">
        <fgColor indexed="43"/>
        <bgColor indexed="64"/>
      </patternFill>
    </fill>
    <fill>
      <patternFill patternType="solid">
        <fgColor indexed="43"/>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26"/>
        <bgColor indexed="64"/>
      </patternFill>
    </fill>
    <fill>
      <patternFill patternType="solid">
        <fgColor indexed="15"/>
      </patternFill>
    </fill>
    <fill>
      <patternFill patternType="solid">
        <fgColor theme="1" tint="0.249977111117893"/>
        <bgColor indexed="64"/>
      </patternFill>
    </fill>
    <fill>
      <patternFill patternType="solid">
        <fgColor theme="1" tint="9.9978637043366805E-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9"/>
        <bgColor indexed="64"/>
      </patternFill>
    </fill>
    <fill>
      <patternFill patternType="solid">
        <fgColor theme="9"/>
        <bgColor indexed="15"/>
      </patternFill>
    </fill>
    <fill>
      <patternFill patternType="solid">
        <fgColor theme="8" tint="0.39997558519241921"/>
        <bgColor indexed="64"/>
      </patternFill>
    </fill>
  </fills>
  <borders count="24">
    <border>
      <left/>
      <right/>
      <top/>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right/>
      <top style="medium">
        <color indexed="41"/>
      </top>
      <bottom style="medium">
        <color indexed="41"/>
      </bottom>
      <diagonal/>
    </border>
    <border>
      <left/>
      <right/>
      <top style="medium">
        <color indexed="41"/>
      </top>
      <bottom/>
      <diagonal/>
    </border>
    <border>
      <left/>
      <right/>
      <top style="thin">
        <color indexed="8"/>
      </top>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hair">
        <color indexed="8"/>
      </top>
      <bottom style="hair">
        <color indexed="8"/>
      </bottom>
      <diagonal/>
    </border>
    <border>
      <left/>
      <right/>
      <top/>
      <bottom style="medium">
        <color indexed="18"/>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theme="0"/>
      </left>
      <right/>
      <top/>
      <bottom/>
      <diagonal/>
    </border>
    <border>
      <left/>
      <right/>
      <top style="thin">
        <color theme="0"/>
      </top>
      <bottom style="thin">
        <color theme="0"/>
      </bottom>
      <diagonal/>
    </border>
    <border>
      <left style="medium">
        <color theme="0"/>
      </left>
      <right/>
      <top style="thin">
        <color theme="0"/>
      </top>
      <bottom style="thin">
        <color theme="0"/>
      </bottom>
      <diagonal/>
    </border>
    <border>
      <left/>
      <right/>
      <top/>
      <bottom style="thin">
        <color theme="0"/>
      </bottom>
      <diagonal/>
    </border>
  </borders>
  <cellStyleXfs count="345">
    <xf numFmtId="0" fontId="0" fillId="0" borderId="0">
      <alignment vertical="center"/>
    </xf>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5" fillId="34" borderId="0" applyNumberFormat="0" applyBorder="0" applyAlignment="0" applyProtection="0"/>
    <xf numFmtId="0" fontId="2" fillId="0" borderId="0" applyNumberFormat="0" applyAlignment="0">
      <alignment vertical="center"/>
    </xf>
    <xf numFmtId="0" fontId="16" fillId="35" borderId="7" applyNumberFormat="0" applyAlignment="0" applyProtection="0"/>
    <xf numFmtId="165" fontId="8" fillId="0" borderId="0" applyNumberFormat="0" applyAlignment="0">
      <alignment vertical="center"/>
    </xf>
    <xf numFmtId="0" fontId="5" fillId="2" borderId="0" applyNumberFormat="0">
      <alignment horizontal="center" vertical="top" wrapText="1"/>
    </xf>
    <xf numFmtId="0" fontId="5" fillId="2" borderId="0" applyNumberFormat="0">
      <alignment horizontal="left" vertical="top" wrapText="1"/>
    </xf>
    <xf numFmtId="0" fontId="5" fillId="2" borderId="0" applyNumberFormat="0">
      <alignment horizontal="centerContinuous" vertical="top"/>
    </xf>
    <xf numFmtId="0" fontId="2" fillId="2" borderId="0" applyNumberFormat="0">
      <alignment horizontal="center" vertical="top" wrapText="1"/>
    </xf>
    <xf numFmtId="169" fontId="2" fillId="0" borderId="0" applyFont="0" applyFill="0" applyBorder="0" applyAlignment="0" applyProtection="0">
      <alignment vertical="center"/>
    </xf>
    <xf numFmtId="169" fontId="2" fillId="0" borderId="0">
      <alignment vertical="center"/>
    </xf>
    <xf numFmtId="170" fontId="2" fillId="0" borderId="0" applyFont="0" applyFill="0" applyBorder="0" applyAlignment="0" applyProtection="0">
      <alignment vertical="center"/>
    </xf>
    <xf numFmtId="175" fontId="2" fillId="0" borderId="0" applyFont="0" applyFill="0" applyBorder="0" applyAlignment="0" applyProtection="0">
      <alignment vertical="center"/>
    </xf>
    <xf numFmtId="176" fontId="2" fillId="0" borderId="0" applyFont="0" applyFill="0" applyBorder="0" applyAlignment="0" applyProtection="0">
      <alignment vertical="center"/>
    </xf>
    <xf numFmtId="173" fontId="2" fillId="0" borderId="0" applyFont="0" applyFill="0" applyBorder="0" applyAlignment="0" applyProtection="0">
      <alignment vertical="center"/>
    </xf>
    <xf numFmtId="174" fontId="2" fillId="0" borderId="0" applyFont="0" applyFill="0" applyBorder="0" applyAlignment="0" applyProtection="0">
      <alignment vertical="center"/>
    </xf>
    <xf numFmtId="171" fontId="2" fillId="0" borderId="0" applyFont="0" applyFill="0" applyBorder="0" applyAlignment="0" applyProtection="0">
      <alignment vertical="center"/>
    </xf>
    <xf numFmtId="172" fontId="2" fillId="0" borderId="0" applyFont="0" applyFill="0" applyBorder="0" applyAlignment="0" applyProtection="0">
      <alignment vertical="center"/>
    </xf>
    <xf numFmtId="181" fontId="2" fillId="0" borderId="0" applyFont="0" applyFill="0" applyBorder="0" applyAlignment="0" applyProtection="0">
      <alignment vertical="center"/>
    </xf>
    <xf numFmtId="182" fontId="2" fillId="0" borderId="0" applyFont="0" applyFill="0" applyBorder="0" applyAlignment="0" applyProtection="0">
      <alignment vertical="center"/>
    </xf>
    <xf numFmtId="179" fontId="2" fillId="0" borderId="0" applyFont="0" applyFill="0" applyBorder="0" applyAlignment="0" applyProtection="0">
      <alignment vertical="center"/>
    </xf>
    <xf numFmtId="180" fontId="2" fillId="0" borderId="0" applyFont="0" applyFill="0" applyBorder="0" applyAlignment="0" applyProtection="0">
      <alignment vertical="center"/>
    </xf>
    <xf numFmtId="177" fontId="2" fillId="0" borderId="0" applyFont="0" applyFill="0" applyBorder="0" applyAlignment="0" applyProtection="0">
      <alignment vertical="center"/>
    </xf>
    <xf numFmtId="178" fontId="2" fillId="0" borderId="0" applyFont="0" applyFill="0" applyBorder="0" applyAlignment="0" applyProtection="0">
      <alignment vertical="center"/>
    </xf>
    <xf numFmtId="168" fontId="2" fillId="0" borderId="0" applyFont="0" applyFill="0" applyBorder="0" applyAlignment="0" applyProtection="0">
      <alignment vertical="center"/>
    </xf>
    <xf numFmtId="183" fontId="2" fillId="0" borderId="0" applyFont="0" applyFill="0" applyBorder="0" applyAlignment="0" applyProtection="0">
      <alignment vertical="center"/>
    </xf>
    <xf numFmtId="184" fontId="2" fillId="0" borderId="0" applyFont="0" applyFill="0" applyBorder="0" applyAlignment="0" applyProtection="0">
      <alignment vertical="center"/>
    </xf>
    <xf numFmtId="0" fontId="17" fillId="0" borderId="0" applyNumberFormat="0" applyFill="0" applyBorder="0" applyAlignment="0" applyProtection="0"/>
    <xf numFmtId="0" fontId="18" fillId="36" borderId="0" applyNumberFormat="0" applyBorder="0" applyAlignment="0" applyProtection="0"/>
    <xf numFmtId="0" fontId="6" fillId="2" borderId="0" applyNumberFormat="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 fillId="0" borderId="0" applyNumberFormat="0" applyFill="0" applyBorder="0" applyAlignment="0" applyProtection="0">
      <alignment horizontal="left" vertical="center"/>
    </xf>
    <xf numFmtId="0" fontId="5" fillId="0" borderId="0" applyNumberFormat="0" applyFill="0" applyBorder="0" applyAlignment="0" applyProtection="0">
      <alignment vertical="center"/>
    </xf>
    <xf numFmtId="0" fontId="19" fillId="0" borderId="8" applyNumberFormat="0" applyFill="0" applyAlignment="0" applyProtection="0"/>
    <xf numFmtId="0" fontId="20" fillId="0" borderId="9" applyNumberFormat="0" applyFill="0" applyAlignment="0" applyProtection="0"/>
    <xf numFmtId="0" fontId="21" fillId="0" borderId="10" applyNumberFormat="0" applyFill="0" applyAlignment="0" applyProtection="0"/>
    <xf numFmtId="0" fontId="21" fillId="0" borderId="0" applyNumberFormat="0" applyFill="0" applyBorder="0" applyAlignment="0" applyProtection="0"/>
    <xf numFmtId="0" fontId="2" fillId="3" borderId="0" applyNumberFormat="0" applyFont="0" applyBorder="0" applyAlignment="0" applyProtection="0">
      <alignment vertical="center"/>
    </xf>
    <xf numFmtId="0" fontId="22" fillId="37" borderId="11" applyNumberFormat="0" applyAlignment="0" applyProtection="0"/>
    <xf numFmtId="0" fontId="2" fillId="0" borderId="1" applyNumberFormat="0" applyAlignment="0">
      <alignment vertical="center"/>
    </xf>
    <xf numFmtId="0" fontId="2" fillId="0" borderId="2" applyNumberFormat="0" applyAlignment="0">
      <alignment vertical="center"/>
      <protection locked="0"/>
    </xf>
    <xf numFmtId="164" fontId="2" fillId="5" borderId="2" applyNumberFormat="0" applyAlignment="0">
      <alignment vertical="center"/>
      <protection locked="0"/>
    </xf>
    <xf numFmtId="0" fontId="2" fillId="6" borderId="0" applyNumberFormat="0" applyAlignment="0">
      <alignment vertical="center"/>
    </xf>
    <xf numFmtId="0" fontId="2" fillId="7" borderId="0" applyNumberFormat="0" applyAlignment="0">
      <alignment vertical="center"/>
    </xf>
    <xf numFmtId="0" fontId="2" fillId="0" borderId="3" applyNumberFormat="0" applyAlignment="0">
      <alignment vertical="center"/>
      <protection locked="0"/>
    </xf>
    <xf numFmtId="0" fontId="23" fillId="0" borderId="12" applyNumberFormat="0" applyFill="0" applyAlignment="0" applyProtection="0"/>
    <xf numFmtId="0" fontId="11" fillId="0" borderId="0" applyNumberFormat="0" applyAlignment="0">
      <alignment vertical="center"/>
    </xf>
    <xf numFmtId="0" fontId="24" fillId="38" borderId="0" applyNumberFormat="0" applyBorder="0" applyAlignment="0" applyProtection="0"/>
    <xf numFmtId="0" fontId="7" fillId="0" borderId="0" applyNumberFormat="0" applyFill="0" applyBorder="0" applyAlignment="0" applyProtection="0">
      <alignment vertical="center"/>
    </xf>
    <xf numFmtId="206" fontId="2" fillId="0" borderId="0" applyFont="0" applyFill="0" applyBorder="0" applyAlignment="0" applyProtection="0">
      <alignment vertical="center"/>
    </xf>
    <xf numFmtId="207" fontId="2" fillId="0" borderId="0" applyFont="0" applyFill="0" applyBorder="0" applyAlignment="0" applyProtection="0">
      <alignment vertical="center"/>
    </xf>
    <xf numFmtId="0" fontId="2" fillId="8" borderId="0" applyNumberFormat="0" applyFont="0" applyBorder="0" applyAlignment="0" applyProtection="0">
      <alignment vertical="center"/>
    </xf>
    <xf numFmtId="210" fontId="2" fillId="0" borderId="0" applyFont="0" applyFill="0" applyBorder="0" applyAlignment="0" applyProtection="0">
      <alignment horizontal="right" vertical="center"/>
    </xf>
    <xf numFmtId="167" fontId="2" fillId="0" borderId="0" applyFont="0" applyFill="0" applyBorder="0" applyAlignment="0" applyProtection="0">
      <alignment vertical="center"/>
    </xf>
    <xf numFmtId="0" fontId="5" fillId="0" borderId="0" applyNumberFormat="0" applyFill="0" applyBorder="0">
      <alignment horizontal="left" vertical="center" wrapText="1"/>
    </xf>
    <xf numFmtId="0" fontId="2" fillId="0" borderId="0" applyNumberFormat="0" applyFill="0" applyBorder="0">
      <alignment horizontal="left" vertical="center" wrapText="1" indent="1"/>
    </xf>
    <xf numFmtId="164" fontId="5" fillId="0" borderId="4" applyNumberFormat="0" applyFill="0" applyAlignment="0" applyProtection="0">
      <alignment vertical="center"/>
    </xf>
    <xf numFmtId="164" fontId="2" fillId="0" borderId="5" applyNumberFormat="0" applyFont="0" applyFill="0" applyAlignment="0" applyProtection="0">
      <alignment vertical="center"/>
    </xf>
    <xf numFmtId="0" fontId="2" fillId="9" borderId="0" applyNumberFormat="0" applyFont="0" applyBorder="0" applyAlignment="0" applyProtection="0">
      <alignment vertical="center"/>
    </xf>
    <xf numFmtId="0" fontId="2" fillId="0" borderId="0" applyNumberFormat="0" applyFont="0" applyFill="0" applyAlignment="0" applyProtection="0">
      <alignment vertical="center"/>
    </xf>
    <xf numFmtId="164" fontId="2" fillId="0" borderId="0" applyNumberFormat="0" applyFont="0" applyBorder="0" applyAlignment="0" applyProtection="0">
      <alignment vertical="center"/>
    </xf>
    <xf numFmtId="49" fontId="2" fillId="0" borderId="0" applyFont="0" applyFill="0" applyBorder="0" applyAlignment="0" applyProtection="0">
      <alignment horizontal="center" vertical="center"/>
    </xf>
    <xf numFmtId="0" fontId="25" fillId="0" borderId="0" applyNumberFormat="0" applyFill="0" applyBorder="0" applyAlignment="0" applyProtection="0"/>
    <xf numFmtId="164" fontId="5" fillId="0" borderId="0" applyNumberFormat="0" applyFill="0" applyBorder="0" applyAlignment="0" applyProtection="0">
      <alignment vertical="center"/>
    </xf>
    <xf numFmtId="164" fontId="5" fillId="2" borderId="0" applyNumberFormat="0" applyAlignment="0" applyProtection="0">
      <alignment vertical="center"/>
    </xf>
    <xf numFmtId="0" fontId="2" fillId="0" borderId="0" applyNumberFormat="0" applyFont="0" applyBorder="0" applyAlignment="0" applyProtection="0">
      <alignment vertical="center"/>
    </xf>
    <xf numFmtId="0" fontId="2" fillId="0" borderId="0" applyNumberFormat="0" applyFont="0" applyAlignment="0" applyProtection="0">
      <alignment vertical="center"/>
    </xf>
    <xf numFmtId="0" fontId="26" fillId="0" borderId="0" applyNumberFormat="0" applyFill="0" applyBorder="0" applyAlignment="0" applyProtection="0"/>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7"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0" fontId="27" fillId="39" borderId="0" applyNumberFormat="0">
      <alignment horizontal="center" vertical="top" wrapText="1"/>
    </xf>
    <xf numFmtId="0" fontId="27" fillId="39" borderId="0" applyNumberFormat="0">
      <alignment horizontal="left" vertical="top" wrapText="1"/>
    </xf>
    <xf numFmtId="0" fontId="27" fillId="39" borderId="0" applyNumberFormat="0">
      <alignment horizontal="centerContinuous" vertical="top"/>
    </xf>
    <xf numFmtId="0" fontId="28" fillId="39" borderId="0" applyNumberFormat="0">
      <alignment horizontal="center" vertical="top" wrapText="1"/>
    </xf>
    <xf numFmtId="0" fontId="27" fillId="39" borderId="0" applyNumberFormat="0">
      <alignment horizontal="center" vertical="top" wrapText="1"/>
    </xf>
    <xf numFmtId="186" fontId="2" fillId="0" borderId="0" applyFont="0" applyFill="0" applyBorder="0" applyAlignment="0" applyProtection="0">
      <alignment vertical="center"/>
    </xf>
    <xf numFmtId="0" fontId="27" fillId="39" borderId="0" applyNumberFormat="0">
      <alignment horizontal="center" vertical="top" wrapText="1"/>
    </xf>
    <xf numFmtId="0" fontId="27" fillId="39" borderId="0" applyNumberFormat="0">
      <alignment horizontal="center" vertical="top" wrapText="1"/>
    </xf>
    <xf numFmtId="188" fontId="2" fillId="0" borderId="0" applyFont="0" applyFill="0" applyBorder="0" applyAlignment="0" applyProtection="0">
      <alignment horizontal="right" vertical="center"/>
    </xf>
    <xf numFmtId="187" fontId="2" fillId="0" borderId="0" applyFont="0" applyFill="0" applyBorder="0" applyAlignment="0" applyProtection="0">
      <alignment vertical="center"/>
    </xf>
    <xf numFmtId="187" fontId="2" fillId="0" borderId="0" applyFont="0" applyFill="0" applyBorder="0" applyAlignment="0" applyProtection="0">
      <alignment vertical="center"/>
    </xf>
    <xf numFmtId="188" fontId="2" fillId="0" borderId="0" applyFont="0" applyFill="0" applyBorder="0" applyAlignment="0" applyProtection="0">
      <alignment horizontal="right" vertical="center"/>
    </xf>
    <xf numFmtId="187" fontId="2" fillId="0" borderId="0" applyFont="0" applyFill="0" applyBorder="0" applyAlignment="0" applyProtection="0">
      <alignment vertical="center"/>
    </xf>
    <xf numFmtId="188" fontId="2" fillId="0" borderId="0" applyFont="0" applyFill="0" applyBorder="0" applyAlignment="0" applyProtection="0">
      <alignment horizontal="right" vertical="center"/>
    </xf>
    <xf numFmtId="189" fontId="2" fillId="0" borderId="0" applyFont="0" applyFill="0" applyBorder="0" applyAlignment="0" applyProtection="0">
      <alignment vertical="center"/>
    </xf>
    <xf numFmtId="0" fontId="27" fillId="39" borderId="0" applyNumberFormat="0">
      <alignment horizontal="center" vertical="top" wrapText="1"/>
    </xf>
    <xf numFmtId="187" fontId="2" fillId="0" borderId="0" applyFont="0" applyFill="0" applyBorder="0" applyAlignment="0" applyProtection="0">
      <alignment vertical="center"/>
    </xf>
    <xf numFmtId="0" fontId="27" fillId="39" borderId="0" applyNumberFormat="0">
      <alignment horizontal="center" vertical="top" wrapText="1"/>
    </xf>
    <xf numFmtId="187" fontId="2" fillId="0" borderId="0" applyFont="0" applyFill="0" applyBorder="0" applyAlignment="0" applyProtection="0">
      <alignment vertical="center"/>
    </xf>
    <xf numFmtId="0" fontId="27" fillId="39" borderId="0" applyNumberFormat="0">
      <alignment horizontal="center" vertical="top" wrapText="1"/>
    </xf>
    <xf numFmtId="188" fontId="2" fillId="0" borderId="0" applyFont="0" applyFill="0" applyBorder="0" applyAlignment="0" applyProtection="0">
      <alignment horizontal="right" vertical="center"/>
    </xf>
    <xf numFmtId="0" fontId="27" fillId="39" borderId="0" applyNumberFormat="0">
      <alignment horizontal="center" vertical="top" wrapText="1"/>
    </xf>
    <xf numFmtId="188" fontId="2" fillId="0" borderId="0" applyFont="0" applyFill="0" applyBorder="0" applyAlignment="0" applyProtection="0">
      <alignment horizontal="right" vertical="center"/>
    </xf>
    <xf numFmtId="187" fontId="2" fillId="0" borderId="0" applyFont="0" applyFill="0" applyBorder="0" applyAlignment="0" applyProtection="0">
      <alignment vertical="center"/>
    </xf>
    <xf numFmtId="0" fontId="27" fillId="39" borderId="0" applyNumberFormat="0">
      <alignment horizontal="center" vertical="top" wrapText="1"/>
    </xf>
    <xf numFmtId="0" fontId="29" fillId="0" borderId="0" applyNumberFormat="0" applyFill="0" applyBorder="0" applyProtection="0">
      <alignment vertical="top" wrapText="1"/>
    </xf>
    <xf numFmtId="0" fontId="30" fillId="40" borderId="13" applyNumberFormat="0" applyAlignment="0" applyProtection="0"/>
    <xf numFmtId="0" fontId="31" fillId="40" borderId="11" applyNumberFormat="0" applyAlignment="0" applyProtection="0"/>
    <xf numFmtId="0" fontId="13" fillId="41" borderId="14" applyNumberFormat="0" applyFont="0" applyAlignment="0" applyProtection="0"/>
    <xf numFmtId="0" fontId="32" fillId="0" borderId="15" applyNumberFormat="0" applyFill="0" applyAlignment="0" applyProtection="0"/>
    <xf numFmtId="0" fontId="33" fillId="0" borderId="0"/>
    <xf numFmtId="0" fontId="36" fillId="0" borderId="0"/>
    <xf numFmtId="0" fontId="33" fillId="0" borderId="0"/>
    <xf numFmtId="190" fontId="33" fillId="0" borderId="0" applyFont="0" applyFill="0" applyBorder="0" applyAlignment="0" applyProtection="0"/>
    <xf numFmtId="191" fontId="33" fillId="0" borderId="0" applyFont="0" applyFill="0" applyBorder="0" applyAlignment="0" applyProtection="0"/>
    <xf numFmtId="0" fontId="13" fillId="0" borderId="0"/>
    <xf numFmtId="9" fontId="33" fillId="0" borderId="0" applyFont="0" applyFill="0" applyBorder="0" applyAlignment="0" applyProtection="0"/>
    <xf numFmtId="0" fontId="39" fillId="0" borderId="0"/>
    <xf numFmtId="9" fontId="39" fillId="0" borderId="0" applyFont="0" applyFill="0" applyBorder="0" applyAlignment="0" applyProtection="0"/>
    <xf numFmtId="0" fontId="13" fillId="0" borderId="0"/>
    <xf numFmtId="9" fontId="13" fillId="0" borderId="0" applyFont="0" applyFill="0" applyBorder="0" applyAlignment="0" applyProtection="0"/>
    <xf numFmtId="9" fontId="29" fillId="0" borderId="0" applyFont="0" applyFill="0" applyBorder="0" applyAlignment="0" applyProtection="0"/>
    <xf numFmtId="0" fontId="13" fillId="0" borderId="0"/>
    <xf numFmtId="191" fontId="29" fillId="0" borderId="0" applyFont="0" applyFill="0" applyBorder="0" applyAlignment="0" applyProtection="0"/>
    <xf numFmtId="0" fontId="38" fillId="0" borderId="0"/>
    <xf numFmtId="9" fontId="38" fillId="0" borderId="0" applyFont="0" applyFill="0" applyBorder="0" applyAlignment="0" applyProtection="0"/>
    <xf numFmtId="191" fontId="38" fillId="0" borderId="0" applyFont="0" applyFill="0" applyBorder="0" applyAlignment="0" applyProtection="0"/>
    <xf numFmtId="0" fontId="13" fillId="0" borderId="0"/>
    <xf numFmtId="0" fontId="13" fillId="0" borderId="0"/>
    <xf numFmtId="191" fontId="33" fillId="0" borderId="0" applyFont="0" applyFill="0" applyBorder="0" applyAlignment="0" applyProtection="0"/>
    <xf numFmtId="193" fontId="33" fillId="0" borderId="0" applyFont="0" applyFill="0" applyBorder="0" applyAlignment="0" applyProtection="0"/>
    <xf numFmtId="194" fontId="33" fillId="0" borderId="0" applyFont="0" applyFill="0" applyBorder="0" applyAlignment="0" applyProtection="0"/>
    <xf numFmtId="195" fontId="33" fillId="0" borderId="0" applyFont="0" applyFill="0" applyBorder="0" applyAlignment="0" applyProtection="0"/>
    <xf numFmtId="196" fontId="33" fillId="0" borderId="0" applyFont="0" applyFill="0" applyBorder="0" applyAlignment="0" applyProtection="0"/>
    <xf numFmtId="197" fontId="33" fillId="0" borderId="0" applyFont="0" applyFill="0" applyBorder="0" applyAlignment="0" applyProtection="0"/>
    <xf numFmtId="198" fontId="33" fillId="0" borderId="0" applyFont="0" applyFill="0" applyBorder="0" applyAlignment="0" applyProtection="0"/>
    <xf numFmtId="0" fontId="41" fillId="0" borderId="0" applyNumberFormat="0" applyFill="0" applyBorder="0" applyAlignment="0" applyProtection="0"/>
    <xf numFmtId="0" fontId="33" fillId="43" borderId="0" applyNumberFormat="0" applyFont="0" applyAlignment="0" applyProtection="0"/>
    <xf numFmtId="199" fontId="33" fillId="0" borderId="0" applyFont="0" applyFill="0" applyBorder="0" applyAlignment="0" applyProtection="0"/>
    <xf numFmtId="200" fontId="33" fillId="0" borderId="0" applyFont="0" applyFill="0" applyBorder="0" applyProtection="0">
      <alignment horizontal="right"/>
    </xf>
    <xf numFmtId="0" fontId="42" fillId="0" borderId="0" applyNumberFormat="0" applyFill="0" applyBorder="0" applyProtection="0">
      <alignment vertical="top"/>
    </xf>
    <xf numFmtId="0" fontId="43" fillId="0" borderId="16" applyNumberFormat="0" applyFill="0" applyAlignment="0" applyProtection="0"/>
    <xf numFmtId="0" fontId="44" fillId="0" borderId="17" applyNumberFormat="0" applyFill="0" applyProtection="0">
      <alignment horizontal="center"/>
    </xf>
    <xf numFmtId="0" fontId="44" fillId="0" borderId="0" applyNumberFormat="0" applyFill="0" applyBorder="0" applyProtection="0">
      <alignment horizontal="left"/>
    </xf>
    <xf numFmtId="0" fontId="45" fillId="0" borderId="0" applyNumberFormat="0" applyFill="0" applyBorder="0" applyProtection="0">
      <alignment horizontal="centerContinuous"/>
    </xf>
    <xf numFmtId="0" fontId="33" fillId="0" borderId="0"/>
    <xf numFmtId="0" fontId="46" fillId="0" borderId="0" applyNumberFormat="0" applyFill="0" applyBorder="0" applyAlignment="0" applyProtection="0"/>
    <xf numFmtId="0" fontId="47" fillId="0" borderId="0" applyNumberFormat="0" applyFill="0" applyBorder="0" applyProtection="0">
      <alignment vertical="center"/>
    </xf>
    <xf numFmtId="0" fontId="48" fillId="0" borderId="0" applyNumberFormat="0" applyFill="0" applyBorder="0" applyAlignment="0" applyProtection="0"/>
    <xf numFmtId="0" fontId="49" fillId="0" borderId="0"/>
    <xf numFmtId="0" fontId="50" fillId="0" borderId="0" applyNumberFormat="0" applyFill="0" applyBorder="0" applyAlignment="0" applyProtection="0"/>
    <xf numFmtId="201" fontId="51" fillId="0" borderId="0" applyFill="0" applyBorder="0" applyAlignment="0" applyProtection="0"/>
    <xf numFmtId="202" fontId="51" fillId="0" borderId="0" applyFill="0" applyBorder="0" applyAlignment="0" applyProtection="0"/>
    <xf numFmtId="203" fontId="51" fillId="0" borderId="0" applyFill="0" applyBorder="0" applyAlignment="0" applyProtection="0"/>
    <xf numFmtId="201" fontId="52" fillId="0" borderId="0" applyFill="0" applyBorder="0" applyAlignment="0" applyProtection="0"/>
    <xf numFmtId="202" fontId="52" fillId="0" borderId="0" applyFill="0" applyBorder="0" applyAlignment="0" applyProtection="0"/>
    <xf numFmtId="203" fontId="52" fillId="0" borderId="0" applyFill="0" applyBorder="0" applyAlignment="0" applyProtection="0"/>
    <xf numFmtId="201" fontId="53" fillId="0" borderId="0" applyFill="0" applyBorder="0" applyAlignment="0" applyProtection="0"/>
    <xf numFmtId="202" fontId="53" fillId="0" borderId="0" applyFill="0" applyBorder="0" applyAlignment="0" applyProtection="0"/>
    <xf numFmtId="203" fontId="53" fillId="0" borderId="0" applyFill="0" applyBorder="0" applyAlignment="0" applyProtection="0"/>
    <xf numFmtId="0" fontId="37" fillId="0" borderId="0"/>
    <xf numFmtId="0" fontId="37" fillId="0" borderId="0"/>
    <xf numFmtId="192" fontId="33" fillId="0" borderId="0" applyFill="0" applyBorder="0" applyAlignment="0" applyProtection="0"/>
    <xf numFmtId="201" fontId="54" fillId="0" borderId="0" applyFill="0" applyBorder="0" applyAlignment="0" applyProtection="0"/>
    <xf numFmtId="202" fontId="54" fillId="0" borderId="0" applyFill="0" applyBorder="0" applyAlignment="0" applyProtection="0"/>
    <xf numFmtId="203" fontId="54" fillId="0" borderId="0" applyFill="0" applyBorder="0" applyAlignment="0" applyProtection="0"/>
    <xf numFmtId="3" fontId="33" fillId="0" borderId="0" applyFill="0" applyBorder="0" applyAlignment="0" applyProtection="0"/>
    <xf numFmtId="204" fontId="51" fillId="0" borderId="0" applyFill="0" applyBorder="0" applyProtection="0">
      <alignment horizontal="center" vertical="center"/>
    </xf>
    <xf numFmtId="185" fontId="54" fillId="0" borderId="0" applyFont="0" applyFill="0" applyBorder="0" applyAlignment="0" applyProtection="0"/>
    <xf numFmtId="185" fontId="55" fillId="0" borderId="0" applyFont="0" applyFill="0" applyBorder="0" applyAlignment="0" applyProtection="0"/>
    <xf numFmtId="4" fontId="35" fillId="43" borderId="18" applyNumberFormat="0" applyProtection="0">
      <alignment vertical="center"/>
    </xf>
    <xf numFmtId="4" fontId="56" fillId="42" borderId="18" applyNumberFormat="0" applyProtection="0">
      <alignment vertical="center"/>
    </xf>
    <xf numFmtId="4" fontId="35" fillId="42" borderId="18" applyNumberFormat="0" applyProtection="0">
      <alignment horizontal="left" vertical="center" indent="1"/>
    </xf>
    <xf numFmtId="0" fontId="35" fillId="42" borderId="18" applyNumberFormat="0" applyProtection="0">
      <alignment horizontal="left" vertical="top" indent="1"/>
    </xf>
    <xf numFmtId="4" fontId="35" fillId="44" borderId="0" applyNumberFormat="0" applyProtection="0">
      <alignment horizontal="left" vertical="center" indent="1"/>
    </xf>
    <xf numFmtId="4" fontId="34" fillId="45" borderId="18" applyNumberFormat="0" applyProtection="0">
      <alignment horizontal="right" vertical="center"/>
    </xf>
    <xf numFmtId="4" fontId="34" fillId="46" borderId="18" applyNumberFormat="0" applyProtection="0">
      <alignment horizontal="right" vertical="center"/>
    </xf>
    <xf numFmtId="4" fontId="34" fillId="47" borderId="18" applyNumberFormat="0" applyProtection="0">
      <alignment horizontal="right" vertical="center"/>
    </xf>
    <xf numFmtId="4" fontId="34" fillId="4" borderId="18" applyNumberFormat="0" applyProtection="0">
      <alignment horizontal="right" vertical="center"/>
    </xf>
    <xf numFmtId="4" fontId="34" fillId="48" borderId="18" applyNumberFormat="0" applyProtection="0">
      <alignment horizontal="right" vertical="center"/>
    </xf>
    <xf numFmtId="4" fontId="34" fillId="49" borderId="18" applyNumberFormat="0" applyProtection="0">
      <alignment horizontal="right" vertical="center"/>
    </xf>
    <xf numFmtId="4" fontId="34" fillId="50" borderId="18" applyNumberFormat="0" applyProtection="0">
      <alignment horizontal="right" vertical="center"/>
    </xf>
    <xf numFmtId="4" fontId="34" fillId="51" borderId="18" applyNumberFormat="0" applyProtection="0">
      <alignment horizontal="right" vertical="center"/>
    </xf>
    <xf numFmtId="4" fontId="34" fillId="52" borderId="18" applyNumberFormat="0" applyProtection="0">
      <alignment horizontal="right" vertical="center"/>
    </xf>
    <xf numFmtId="4" fontId="35" fillId="53" borderId="19" applyNumberFormat="0" applyProtection="0">
      <alignment horizontal="left" vertical="center" indent="1"/>
    </xf>
    <xf numFmtId="4" fontId="34" fillId="54" borderId="0" applyNumberFormat="0" applyProtection="0">
      <alignment horizontal="left" vertical="center" indent="1"/>
    </xf>
    <xf numFmtId="4" fontId="57" fillId="55" borderId="0" applyNumberFormat="0" applyProtection="0">
      <alignment horizontal="left" vertical="center" indent="1"/>
    </xf>
    <xf numFmtId="4" fontId="34" fillId="56" borderId="18" applyNumberFormat="0" applyProtection="0">
      <alignment horizontal="right" vertical="center"/>
    </xf>
    <xf numFmtId="4" fontId="34" fillId="54" borderId="0" applyNumberFormat="0" applyProtection="0">
      <alignment horizontal="left" vertical="center" indent="1"/>
    </xf>
    <xf numFmtId="4" fontId="34" fillId="44" borderId="0" applyNumberFormat="0" applyProtection="0">
      <alignment horizontal="left" vertical="center" indent="1"/>
    </xf>
    <xf numFmtId="0" fontId="33" fillId="55" borderId="18" applyNumberFormat="0" applyProtection="0">
      <alignment horizontal="left" vertical="center" indent="1"/>
    </xf>
    <xf numFmtId="0" fontId="33" fillId="55" borderId="18" applyNumberFormat="0" applyProtection="0">
      <alignment horizontal="left" vertical="top" indent="1"/>
    </xf>
    <xf numFmtId="0" fontId="33" fillId="44" borderId="18" applyNumberFormat="0" applyProtection="0">
      <alignment horizontal="left" vertical="center" indent="1"/>
    </xf>
    <xf numFmtId="0" fontId="33" fillId="44" borderId="18" applyNumberFormat="0" applyProtection="0">
      <alignment horizontal="left" vertical="top" indent="1"/>
    </xf>
    <xf numFmtId="0" fontId="33" fillId="57" borderId="18" applyNumberFormat="0" applyProtection="0">
      <alignment horizontal="left" vertical="center" indent="1"/>
    </xf>
    <xf numFmtId="0" fontId="33" fillId="57" borderId="18" applyNumberFormat="0" applyProtection="0">
      <alignment horizontal="left" vertical="top" indent="1"/>
    </xf>
    <xf numFmtId="0" fontId="33" fillId="2" borderId="18" applyNumberFormat="0" applyProtection="0">
      <alignment horizontal="left" vertical="center" indent="1"/>
    </xf>
    <xf numFmtId="0" fontId="33" fillId="2" borderId="18" applyNumberFormat="0" applyProtection="0">
      <alignment horizontal="left" vertical="top" indent="1"/>
    </xf>
    <xf numFmtId="4" fontId="34" fillId="58" borderId="18" applyNumberFormat="0" applyProtection="0">
      <alignment vertical="center"/>
    </xf>
    <xf numFmtId="4" fontId="58" fillId="58" borderId="18" applyNumberFormat="0" applyProtection="0">
      <alignment vertical="center"/>
    </xf>
    <xf numFmtId="4" fontId="34" fillId="58" borderId="18" applyNumberFormat="0" applyProtection="0">
      <alignment horizontal="left" vertical="center" indent="1"/>
    </xf>
    <xf numFmtId="0" fontId="34" fillId="58" borderId="18" applyNumberFormat="0" applyProtection="0">
      <alignment horizontal="left" vertical="top" indent="1"/>
    </xf>
    <xf numFmtId="4" fontId="34" fillId="54" borderId="18" applyNumberFormat="0" applyProtection="0">
      <alignment horizontal="right" vertical="center"/>
    </xf>
    <xf numFmtId="4" fontId="58" fillId="54" borderId="18" applyNumberFormat="0" applyProtection="0">
      <alignment horizontal="right" vertical="center"/>
    </xf>
    <xf numFmtId="4" fontId="34" fillId="56" borderId="18" applyNumberFormat="0" applyProtection="0">
      <alignment horizontal="left" vertical="center" indent="1"/>
    </xf>
    <xf numFmtId="0" fontId="34" fillId="44" borderId="18" applyNumberFormat="0" applyProtection="0">
      <alignment horizontal="left" vertical="top" indent="1"/>
    </xf>
    <xf numFmtId="4" fontId="59" fillId="59" borderId="0" applyNumberFormat="0" applyProtection="0">
      <alignment horizontal="left" vertical="center" indent="1"/>
    </xf>
    <xf numFmtId="4" fontId="40" fillId="54" borderId="18" applyNumberFormat="0" applyProtection="0">
      <alignment horizontal="right" vertical="center"/>
    </xf>
    <xf numFmtId="0" fontId="13" fillId="0" borderId="0"/>
    <xf numFmtId="0" fontId="13" fillId="0" borderId="0"/>
    <xf numFmtId="0" fontId="13" fillId="0" borderId="0"/>
    <xf numFmtId="0" fontId="13" fillId="0" borderId="0"/>
    <xf numFmtId="9" fontId="29" fillId="0" borderId="0" applyFont="0" applyFill="0" applyBorder="0" applyAlignment="0" applyProtection="0"/>
    <xf numFmtId="191" fontId="29" fillId="0" borderId="0" applyFont="0" applyFill="0" applyBorder="0" applyAlignment="0" applyProtection="0"/>
    <xf numFmtId="191" fontId="13" fillId="0" borderId="0" applyFont="0" applyFill="0" applyBorder="0" applyAlignment="0" applyProtection="0"/>
    <xf numFmtId="9" fontId="13" fillId="0" borderId="0" applyFont="0" applyFill="0" applyBorder="0" applyAlignment="0" applyProtection="0"/>
    <xf numFmtId="0" fontId="33" fillId="0" borderId="0"/>
    <xf numFmtId="187" fontId="2" fillId="0" borderId="0" applyFont="0" applyFill="0" applyBorder="0" applyAlignment="0" applyProtection="0">
      <alignment vertical="center"/>
    </xf>
    <xf numFmtId="187" fontId="2" fillId="0" borderId="0" applyFont="0" applyFill="0" applyBorder="0" applyAlignment="0" applyProtection="0">
      <alignment vertical="center"/>
    </xf>
    <xf numFmtId="0" fontId="13" fillId="0" borderId="0"/>
    <xf numFmtId="187" fontId="2" fillId="0" borderId="0" applyFont="0" applyFill="0" applyBorder="0" applyAlignment="0" applyProtection="0">
      <alignment vertical="center"/>
    </xf>
    <xf numFmtId="187" fontId="2" fillId="0" borderId="0" applyFont="0" applyFill="0" applyBorder="0" applyAlignment="0" applyProtection="0">
      <alignment vertical="center"/>
    </xf>
    <xf numFmtId="0" fontId="27" fillId="39" borderId="0" applyNumberFormat="0">
      <alignment horizontal="center" vertical="top" wrapText="1"/>
    </xf>
    <xf numFmtId="188" fontId="2" fillId="0" borderId="0" applyFont="0" applyFill="0" applyBorder="0" applyAlignment="0" applyProtection="0">
      <alignment horizontal="right" vertical="center"/>
    </xf>
    <xf numFmtId="0" fontId="27" fillId="39" borderId="0" applyNumberFormat="0">
      <alignment horizontal="center" vertical="top" wrapText="1"/>
    </xf>
    <xf numFmtId="188" fontId="2" fillId="0" borderId="0" applyFont="0" applyFill="0" applyBorder="0" applyAlignment="0" applyProtection="0">
      <alignment horizontal="right" vertical="center"/>
    </xf>
    <xf numFmtId="188" fontId="2" fillId="0" borderId="0" applyFont="0" applyFill="0" applyBorder="0" applyAlignment="0" applyProtection="0">
      <alignment horizontal="right" vertical="center"/>
    </xf>
    <xf numFmtId="188" fontId="2" fillId="0" borderId="0" applyFont="0" applyFill="0" applyBorder="0" applyAlignment="0" applyProtection="0">
      <alignment horizontal="right" vertical="center"/>
    </xf>
    <xf numFmtId="188" fontId="2" fillId="0" borderId="0" applyFont="0" applyFill="0" applyBorder="0" applyAlignment="0" applyProtection="0">
      <alignment horizontal="right" vertical="center"/>
    </xf>
    <xf numFmtId="0" fontId="27" fillId="39" borderId="0" applyNumberFormat="0">
      <alignment horizontal="center" vertical="top" wrapText="1"/>
    </xf>
    <xf numFmtId="187" fontId="2" fillId="0" borderId="0" applyFont="0" applyFill="0" applyBorder="0" applyAlignment="0" applyProtection="0">
      <alignment vertical="center"/>
    </xf>
    <xf numFmtId="0" fontId="27" fillId="39" borderId="0" applyNumberFormat="0">
      <alignment horizontal="center" vertical="top" wrapText="1"/>
    </xf>
    <xf numFmtId="0" fontId="27" fillId="39" borderId="0" applyNumberFormat="0">
      <alignment horizontal="center" vertical="top" wrapText="1"/>
    </xf>
    <xf numFmtId="188" fontId="2" fillId="0" borderId="0" applyFont="0" applyFill="0" applyBorder="0" applyAlignment="0" applyProtection="0">
      <alignment horizontal="right" vertical="center"/>
    </xf>
    <xf numFmtId="188" fontId="2" fillId="0" borderId="0" applyFont="0" applyFill="0" applyBorder="0" applyAlignment="0" applyProtection="0">
      <alignment horizontal="right" vertical="center"/>
    </xf>
    <xf numFmtId="187" fontId="2" fillId="0" borderId="0" applyFont="0" applyFill="0" applyBorder="0" applyAlignment="0" applyProtection="0">
      <alignment vertical="center"/>
    </xf>
    <xf numFmtId="187" fontId="2" fillId="0" borderId="0" applyFont="0" applyFill="0" applyBorder="0" applyAlignment="0" applyProtection="0">
      <alignment vertical="center"/>
    </xf>
    <xf numFmtId="188" fontId="2" fillId="0" borderId="0" applyFont="0" applyFill="0" applyBorder="0" applyAlignment="0" applyProtection="0">
      <alignment horizontal="right" vertical="center"/>
    </xf>
    <xf numFmtId="188" fontId="2" fillId="0" borderId="0" applyFont="0" applyFill="0" applyBorder="0" applyAlignment="0" applyProtection="0">
      <alignment horizontal="right" vertical="center"/>
    </xf>
    <xf numFmtId="0" fontId="5" fillId="2" borderId="0" applyNumberFormat="0">
      <alignment horizontal="center" vertical="top" wrapText="1"/>
    </xf>
    <xf numFmtId="0" fontId="27" fillId="39" borderId="0" applyNumberFormat="0">
      <alignment horizontal="center" vertical="top" wrapText="1"/>
    </xf>
    <xf numFmtId="187" fontId="2" fillId="0" borderId="0" applyFont="0" applyFill="0" applyBorder="0" applyAlignment="0" applyProtection="0">
      <alignment vertical="center"/>
    </xf>
    <xf numFmtId="205" fontId="2" fillId="0" borderId="0" applyFont="0" applyFill="0" applyBorder="0" applyAlignment="0" applyProtection="0">
      <alignment vertical="center"/>
    </xf>
    <xf numFmtId="0" fontId="2" fillId="0" borderId="0">
      <alignment vertical="center"/>
    </xf>
    <xf numFmtId="0" fontId="27" fillId="39" borderId="0" applyNumberFormat="0">
      <alignment horizontal="center" vertical="top" wrapText="1"/>
    </xf>
    <xf numFmtId="187" fontId="2" fillId="0" borderId="0" applyFont="0" applyFill="0" applyBorder="0" applyAlignment="0" applyProtection="0">
      <alignment vertical="center"/>
    </xf>
    <xf numFmtId="9" fontId="2" fillId="0" borderId="0" applyFont="0" applyFill="0" applyBorder="0" applyAlignment="0" applyProtection="0"/>
    <xf numFmtId="188" fontId="2" fillId="0" borderId="0" applyFont="0" applyFill="0" applyBorder="0" applyAlignment="0" applyProtection="0">
      <alignment horizontal="right" vertical="center"/>
    </xf>
    <xf numFmtId="187" fontId="2" fillId="0" borderId="0" applyFont="0" applyFill="0" applyBorder="0" applyAlignment="0" applyProtection="0">
      <alignment vertical="center"/>
    </xf>
    <xf numFmtId="0" fontId="27" fillId="39" borderId="0" applyNumberFormat="0">
      <alignment horizontal="center" vertical="top" wrapText="1"/>
    </xf>
    <xf numFmtId="188" fontId="2" fillId="0" borderId="0" applyFont="0" applyFill="0" applyBorder="0" applyAlignment="0" applyProtection="0">
      <alignment horizontal="right" vertical="center"/>
    </xf>
    <xf numFmtId="187" fontId="2" fillId="0" borderId="0" applyFont="0" applyFill="0" applyBorder="0" applyAlignment="0" applyProtection="0">
      <alignment vertical="center"/>
    </xf>
    <xf numFmtId="188" fontId="2" fillId="0" borderId="0" applyFont="0" applyFill="0" applyBorder="0" applyAlignment="0" applyProtection="0">
      <alignment horizontal="right" vertical="center"/>
    </xf>
    <xf numFmtId="9" fontId="2" fillId="0" borderId="0" applyFont="0" applyFill="0" applyBorder="0" applyAlignment="0" applyProtection="0"/>
    <xf numFmtId="43" fontId="2" fillId="0" borderId="0" applyFont="0" applyFill="0" applyBorder="0" applyAlignment="0" applyProtection="0"/>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206" fontId="2" fillId="0" borderId="0" applyFont="0" applyFill="0" applyBorder="0" applyAlignment="0" applyProtection="0">
      <alignment vertical="center"/>
    </xf>
    <xf numFmtId="43" fontId="2" fillId="0" borderId="0" applyFont="0" applyFill="0" applyBorder="0" applyAlignment="0" applyProtection="0"/>
    <xf numFmtId="0" fontId="61" fillId="0" borderId="0" applyNumberFormat="0" applyFill="0" applyBorder="0" applyAlignment="0" applyProtection="0">
      <alignment vertical="center"/>
    </xf>
    <xf numFmtId="164" fontId="2" fillId="0" borderId="0" applyFont="0" applyFill="0" applyBorder="0" applyAlignment="0" applyProtection="0">
      <alignment vertical="center"/>
    </xf>
    <xf numFmtId="166" fontId="2" fillId="0" borderId="0" applyFont="0" applyFill="0" applyBorder="0" applyAlignment="0" applyProtection="0">
      <alignment horizontal="right" vertical="center"/>
    </xf>
    <xf numFmtId="164" fontId="2" fillId="0" borderId="0" applyFont="0" applyFill="0" applyBorder="0" applyAlignment="0" applyProtection="0">
      <alignment vertical="center"/>
    </xf>
    <xf numFmtId="166" fontId="2" fillId="0" borderId="0" applyFont="0" applyFill="0" applyBorder="0" applyAlignment="0" applyProtection="0">
      <alignment horizontal="right" vertical="center"/>
    </xf>
    <xf numFmtId="166" fontId="2" fillId="0" borderId="0" applyFont="0" applyFill="0" applyBorder="0" applyAlignment="0" applyProtection="0">
      <alignment horizontal="right" vertical="center"/>
    </xf>
    <xf numFmtId="164" fontId="2" fillId="0" borderId="0" applyFont="0" applyFill="0" applyBorder="0" applyAlignment="0" applyProtection="0">
      <alignment vertical="center"/>
    </xf>
    <xf numFmtId="164" fontId="2" fillId="0" borderId="0" applyFont="0" applyFill="0" applyBorder="0" applyAlignment="0" applyProtection="0">
      <alignment vertical="center"/>
    </xf>
    <xf numFmtId="165" fontId="2" fillId="0" borderId="0" applyFont="0" applyFill="0" applyBorder="0" applyAlignment="0" applyProtection="0">
      <alignment vertical="center"/>
    </xf>
    <xf numFmtId="166" fontId="2" fillId="0" borderId="0" applyFont="0" applyFill="0" applyBorder="0" applyAlignment="0" applyProtection="0">
      <alignment horizontal="right" vertical="center"/>
    </xf>
    <xf numFmtId="164" fontId="2" fillId="0" borderId="0" applyFont="0" applyFill="0" applyBorder="0" applyAlignment="0" applyProtection="0">
      <alignment vertical="center"/>
    </xf>
    <xf numFmtId="166" fontId="2" fillId="0" borderId="0" applyFont="0" applyFill="0" applyBorder="0" applyAlignment="0" applyProtection="0">
      <alignment horizontal="right" vertical="center"/>
    </xf>
    <xf numFmtId="166" fontId="2" fillId="0" borderId="0" applyFont="0" applyFill="0" applyBorder="0" applyAlignment="0" applyProtection="0">
      <alignment horizontal="right" vertical="center"/>
    </xf>
    <xf numFmtId="166" fontId="2" fillId="0" borderId="0" applyFont="0" applyFill="0" applyBorder="0" applyAlignment="0" applyProtection="0">
      <alignment horizontal="right" vertical="center"/>
    </xf>
    <xf numFmtId="164" fontId="2" fillId="0" borderId="0" applyFont="0" applyFill="0" applyBorder="0" applyAlignment="0" applyProtection="0">
      <alignment vertical="center"/>
    </xf>
    <xf numFmtId="164" fontId="2" fillId="0" borderId="0" applyFont="0" applyFill="0" applyBorder="0" applyAlignment="0" applyProtection="0">
      <alignment vertical="center"/>
    </xf>
    <xf numFmtId="9" fontId="2" fillId="0" borderId="0" applyFont="0" applyFill="0" applyBorder="0" applyAlignment="0" applyProtection="0"/>
  </cellStyleXfs>
  <cellXfs count="384">
    <xf numFmtId="0" fontId="0" fillId="0" borderId="0" xfId="0">
      <alignment vertical="center"/>
    </xf>
    <xf numFmtId="0" fontId="5" fillId="2" borderId="0" xfId="29">
      <alignment horizontal="center" vertical="top" wrapText="1"/>
    </xf>
    <xf numFmtId="0" fontId="0" fillId="0" borderId="0" xfId="0" applyFill="1">
      <alignment vertical="center"/>
    </xf>
    <xf numFmtId="206" fontId="0" fillId="0" borderId="0" xfId="74" applyFont="1">
      <alignment vertical="center"/>
    </xf>
    <xf numFmtId="0" fontId="2" fillId="0" borderId="0" xfId="80">
      <alignment horizontal="left" vertical="center" wrapText="1" indent="1"/>
    </xf>
    <xf numFmtId="0" fontId="5" fillId="0" borderId="0" xfId="79">
      <alignment horizontal="left" vertical="center" wrapText="1"/>
    </xf>
    <xf numFmtId="0" fontId="5" fillId="2" borderId="0" xfId="89" applyNumberFormat="1" applyAlignment="1">
      <alignment horizontal="left" vertical="center" wrapText="1"/>
    </xf>
    <xf numFmtId="0" fontId="5" fillId="0" borderId="4" xfId="81" applyNumberFormat="1" applyAlignment="1">
      <alignment horizontal="left" vertical="center" wrapText="1" indent="1"/>
    </xf>
    <xf numFmtId="0" fontId="4" fillId="0" borderId="0" xfId="55">
      <alignment vertical="center"/>
    </xf>
    <xf numFmtId="164" fontId="2" fillId="0" borderId="3" xfId="69" applyNumberFormat="1">
      <alignment vertical="center"/>
      <protection locked="0"/>
    </xf>
    <xf numFmtId="164" fontId="2" fillId="0" borderId="1" xfId="64" applyNumberFormat="1">
      <alignment vertical="center"/>
    </xf>
    <xf numFmtId="164" fontId="2" fillId="0" borderId="2" xfId="65" applyNumberFormat="1">
      <alignment vertical="center"/>
      <protection locked="0"/>
    </xf>
    <xf numFmtId="164" fontId="2" fillId="6" borderId="0" xfId="67" applyNumberFormat="1">
      <alignment vertical="center"/>
    </xf>
    <xf numFmtId="164" fontId="2" fillId="0" borderId="0" xfId="26" applyNumberFormat="1">
      <alignment vertical="center"/>
    </xf>
    <xf numFmtId="164" fontId="2" fillId="8" borderId="0" xfId="76" applyNumberFormat="1">
      <alignment vertical="center"/>
    </xf>
    <xf numFmtId="164" fontId="2" fillId="3" borderId="0" xfId="62" applyNumberFormat="1">
      <alignment vertical="center"/>
    </xf>
    <xf numFmtId="207" fontId="0" fillId="0" borderId="0" xfId="75" applyFont="1">
      <alignment vertical="center"/>
    </xf>
    <xf numFmtId="169" fontId="0" fillId="0" borderId="0" xfId="33" applyFont="1">
      <alignment vertical="center"/>
    </xf>
    <xf numFmtId="170" fontId="0" fillId="0" borderId="0" xfId="35" applyFont="1">
      <alignment vertical="center"/>
    </xf>
    <xf numFmtId="171" fontId="0" fillId="0" borderId="0" xfId="40" applyFont="1">
      <alignment vertical="center"/>
    </xf>
    <xf numFmtId="172" fontId="0" fillId="0" borderId="0" xfId="41" applyFont="1">
      <alignment vertical="center"/>
    </xf>
    <xf numFmtId="173" fontId="0" fillId="0" borderId="0" xfId="38" applyFont="1">
      <alignment vertical="center"/>
    </xf>
    <xf numFmtId="174" fontId="0" fillId="0" borderId="0" xfId="39" applyFont="1">
      <alignment vertical="center"/>
    </xf>
    <xf numFmtId="168" fontId="0" fillId="0" borderId="0" xfId="48" applyFont="1">
      <alignment vertical="center"/>
    </xf>
    <xf numFmtId="0" fontId="7" fillId="0" borderId="0" xfId="73">
      <alignment vertical="center"/>
    </xf>
    <xf numFmtId="175" fontId="0" fillId="0" borderId="0" xfId="36" applyFont="1">
      <alignment vertical="center"/>
    </xf>
    <xf numFmtId="176" fontId="0" fillId="0" borderId="0" xfId="37" applyFont="1">
      <alignment vertical="center"/>
    </xf>
    <xf numFmtId="177" fontId="0" fillId="0" borderId="0" xfId="46" applyFont="1">
      <alignment vertical="center"/>
    </xf>
    <xf numFmtId="178" fontId="0" fillId="0" borderId="0" xfId="47" applyFont="1">
      <alignment vertical="center"/>
    </xf>
    <xf numFmtId="179" fontId="0" fillId="0" borderId="0" xfId="44" applyFont="1">
      <alignment vertical="center"/>
    </xf>
    <xf numFmtId="180" fontId="0" fillId="0" borderId="0" xfId="45" applyFont="1">
      <alignment vertical="center"/>
    </xf>
    <xf numFmtId="181" fontId="0" fillId="0" borderId="0" xfId="42" applyFont="1">
      <alignment vertical="center"/>
    </xf>
    <xf numFmtId="182" fontId="0" fillId="0" borderId="0" xfId="43" applyFont="1">
      <alignment vertical="center"/>
    </xf>
    <xf numFmtId="184" fontId="0" fillId="0" borderId="0" xfId="50" applyFont="1">
      <alignment vertical="center"/>
    </xf>
    <xf numFmtId="0" fontId="5" fillId="0" borderId="0" xfId="57">
      <alignment vertical="center"/>
    </xf>
    <xf numFmtId="0" fontId="1" fillId="0" borderId="0" xfId="56" applyAlignment="1">
      <alignment vertical="center"/>
    </xf>
    <xf numFmtId="0" fontId="5" fillId="0" borderId="4" xfId="81" applyNumberFormat="1">
      <alignment vertical="center"/>
    </xf>
    <xf numFmtId="0" fontId="5" fillId="2" borderId="0" xfId="89" applyNumberFormat="1">
      <alignment vertical="center"/>
    </xf>
    <xf numFmtId="0" fontId="0" fillId="9" borderId="0" xfId="83" applyFont="1">
      <alignment vertical="center"/>
    </xf>
    <xf numFmtId="0" fontId="0" fillId="0" borderId="5" xfId="82" applyNumberFormat="1" applyFont="1">
      <alignment vertical="center"/>
    </xf>
    <xf numFmtId="164" fontId="11" fillId="0" borderId="0" xfId="71" applyNumberFormat="1">
      <alignment vertical="center"/>
    </xf>
    <xf numFmtId="164" fontId="7" fillId="0" borderId="0" xfId="73" applyNumberFormat="1">
      <alignment vertical="center"/>
    </xf>
    <xf numFmtId="0" fontId="3" fillId="0" borderId="0" xfId="54">
      <alignment vertical="center"/>
    </xf>
    <xf numFmtId="0" fontId="11" fillId="0" borderId="0" xfId="71">
      <alignment vertical="center"/>
    </xf>
    <xf numFmtId="0" fontId="0" fillId="3" borderId="0" xfId="62" applyFont="1">
      <alignment vertical="center"/>
    </xf>
    <xf numFmtId="0" fontId="5" fillId="3" borderId="0" xfId="57" applyFill="1">
      <alignment vertical="center"/>
    </xf>
    <xf numFmtId="0" fontId="7" fillId="0" borderId="0" xfId="73" applyFont="1">
      <alignment vertical="center"/>
    </xf>
    <xf numFmtId="164" fontId="0" fillId="9" borderId="0" xfId="83" applyNumberFormat="1" applyFont="1">
      <alignment vertical="center"/>
    </xf>
    <xf numFmtId="166" fontId="0" fillId="9" borderId="0" xfId="83" applyNumberFormat="1" applyFont="1">
      <alignment vertical="center"/>
    </xf>
    <xf numFmtId="166" fontId="0" fillId="0" borderId="0" xfId="85" applyNumberFormat="1" applyFont="1">
      <alignment vertical="center"/>
    </xf>
    <xf numFmtId="167" fontId="0" fillId="0" borderId="0" xfId="85" applyNumberFormat="1" applyFont="1">
      <alignment vertical="center"/>
    </xf>
    <xf numFmtId="0" fontId="0" fillId="0" borderId="0" xfId="90" applyFont="1">
      <alignment vertical="center"/>
    </xf>
    <xf numFmtId="164" fontId="2" fillId="0" borderId="0" xfId="90" applyNumberFormat="1">
      <alignment vertical="center"/>
    </xf>
    <xf numFmtId="0" fontId="0" fillId="0" borderId="0" xfId="85" applyNumberFormat="1" applyFont="1">
      <alignment vertical="center"/>
    </xf>
    <xf numFmtId="164" fontId="2" fillId="5" borderId="2" xfId="66">
      <alignment vertical="center"/>
      <protection locked="0"/>
    </xf>
    <xf numFmtId="0" fontId="5" fillId="0" borderId="0" xfId="79" applyAlignment="1">
      <alignment horizontal="left" vertical="center" wrapText="1"/>
    </xf>
    <xf numFmtId="0" fontId="0" fillId="0" borderId="0" xfId="0" applyBorder="1">
      <alignment vertical="center"/>
    </xf>
    <xf numFmtId="164" fontId="5" fillId="2" borderId="0" xfId="89">
      <alignment vertical="center"/>
    </xf>
    <xf numFmtId="0" fontId="4" fillId="0" borderId="0" xfId="55" applyFill="1" applyAlignment="1">
      <alignment horizontal="left"/>
    </xf>
    <xf numFmtId="0" fontId="5" fillId="0" borderId="0" xfId="79" applyAlignment="1">
      <alignment horizontal="left" vertical="center" wrapText="1" indent="1"/>
    </xf>
    <xf numFmtId="0" fontId="5" fillId="9" borderId="5" xfId="83" applyFont="1" applyBorder="1">
      <alignment vertical="center"/>
    </xf>
    <xf numFmtId="164" fontId="5" fillId="8" borderId="0" xfId="76" applyNumberFormat="1" applyFont="1">
      <alignment vertical="center"/>
    </xf>
    <xf numFmtId="0" fontId="5" fillId="8" borderId="0" xfId="76" applyFont="1" applyAlignment="1">
      <alignment horizontal="left" vertical="center" wrapText="1"/>
    </xf>
    <xf numFmtId="49" fontId="0" fillId="0" borderId="0" xfId="86" applyFont="1" applyAlignment="1">
      <alignment vertical="center"/>
    </xf>
    <xf numFmtId="164" fontId="2" fillId="7" borderId="0" xfId="68" applyNumberFormat="1" applyFill="1">
      <alignment vertical="center"/>
    </xf>
    <xf numFmtId="165" fontId="8" fillId="0" borderId="0" xfId="28">
      <alignment vertical="center"/>
    </xf>
    <xf numFmtId="0" fontId="5" fillId="2" borderId="0" xfId="30">
      <alignment horizontal="left" vertical="top" wrapText="1"/>
    </xf>
    <xf numFmtId="0" fontId="2" fillId="2" borderId="0" xfId="32">
      <alignment horizontal="center" vertical="top" wrapText="1"/>
    </xf>
    <xf numFmtId="164" fontId="2" fillId="7" borderId="0" xfId="68" applyNumberFormat="1">
      <alignment vertical="center"/>
    </xf>
    <xf numFmtId="164" fontId="5" fillId="0" borderId="0" xfId="88">
      <alignment vertical="center"/>
    </xf>
    <xf numFmtId="0" fontId="5" fillId="2" borderId="0" xfId="31">
      <alignment horizontal="centerContinuous" vertical="top"/>
    </xf>
    <xf numFmtId="183" fontId="0" fillId="0" borderId="0" xfId="49" applyFont="1">
      <alignment vertical="center"/>
    </xf>
    <xf numFmtId="0" fontId="5" fillId="8" borderId="0" xfId="76" applyFont="1">
      <alignment vertical="center"/>
    </xf>
    <xf numFmtId="49" fontId="2" fillId="0" borderId="0" xfId="86" applyFont="1" applyAlignment="1">
      <alignment vertical="center"/>
    </xf>
    <xf numFmtId="0" fontId="0" fillId="0" borderId="0" xfId="0" applyAlignment="1">
      <alignment horizontal="center" vertical="center"/>
    </xf>
    <xf numFmtId="0" fontId="6" fillId="0" borderId="0" xfId="53" applyFill="1" applyAlignment="1">
      <alignment horizontal="center" vertical="center"/>
    </xf>
    <xf numFmtId="38" fontId="6" fillId="0" borderId="0" xfId="53" applyNumberFormat="1" applyFill="1" applyBorder="1" applyAlignment="1">
      <alignment horizontal="center" vertical="center"/>
    </xf>
    <xf numFmtId="38" fontId="6" fillId="0" borderId="0" xfId="53" applyNumberFormat="1" applyFill="1" applyBorder="1">
      <alignment vertical="center"/>
    </xf>
    <xf numFmtId="0" fontId="6" fillId="0" borderId="0" xfId="53" applyFill="1" applyBorder="1">
      <alignment vertical="center"/>
    </xf>
    <xf numFmtId="0" fontId="6" fillId="0" borderId="0" xfId="53" applyFill="1">
      <alignment vertical="center"/>
    </xf>
    <xf numFmtId="0" fontId="0" fillId="0" borderId="6" xfId="0" applyBorder="1">
      <alignment vertical="center"/>
    </xf>
    <xf numFmtId="0" fontId="6" fillId="0" borderId="0" xfId="53" applyFill="1" applyAlignment="1">
      <alignment horizontal="left" vertical="center"/>
    </xf>
    <xf numFmtId="0" fontId="0" fillId="0" borderId="0" xfId="0">
      <alignment vertical="center"/>
    </xf>
    <xf numFmtId="0" fontId="5" fillId="0" borderId="0" xfId="57">
      <alignment vertical="center"/>
    </xf>
    <xf numFmtId="0" fontId="11" fillId="0" borderId="0" xfId="71">
      <alignment vertical="center"/>
    </xf>
    <xf numFmtId="0" fontId="0" fillId="0" borderId="0" xfId="0">
      <alignment vertical="center"/>
    </xf>
    <xf numFmtId="0" fontId="5" fillId="0" borderId="0" xfId="57">
      <alignment vertical="center"/>
    </xf>
    <xf numFmtId="0" fontId="11" fillId="0" borderId="0" xfId="71">
      <alignment vertical="center"/>
    </xf>
    <xf numFmtId="0" fontId="2" fillId="0" borderId="3" xfId="69">
      <alignment vertical="center"/>
      <protection locked="0"/>
    </xf>
    <xf numFmtId="0" fontId="11" fillId="0" borderId="0" xfId="71" applyFill="1" applyBorder="1">
      <alignment vertical="center"/>
    </xf>
    <xf numFmtId="0" fontId="2" fillId="0" borderId="3" xfId="69" applyNumberFormat="1">
      <alignment vertical="center"/>
      <protection locked="0"/>
    </xf>
    <xf numFmtId="187" fontId="2" fillId="0" borderId="3" xfId="282" applyBorder="1" applyProtection="1">
      <alignment vertical="center"/>
      <protection locked="0"/>
    </xf>
    <xf numFmtId="0" fontId="0" fillId="0" borderId="0" xfId="0">
      <alignment vertical="center"/>
    </xf>
    <xf numFmtId="0" fontId="11" fillId="0" borderId="0" xfId="71">
      <alignment vertical="center"/>
    </xf>
    <xf numFmtId="0" fontId="2" fillId="0" borderId="2" xfId="65">
      <alignment vertical="center"/>
      <protection locked="0"/>
    </xf>
    <xf numFmtId="0" fontId="8" fillId="0" borderId="0" xfId="28" applyNumberFormat="1">
      <alignment vertical="center"/>
    </xf>
    <xf numFmtId="0" fontId="5" fillId="0" borderId="0" xfId="0" applyFont="1">
      <alignment vertical="center"/>
    </xf>
    <xf numFmtId="0" fontId="0" fillId="0" borderId="0" xfId="0" applyFill="1" applyBorder="1">
      <alignment vertical="center"/>
    </xf>
    <xf numFmtId="0" fontId="11" fillId="0" borderId="0" xfId="71">
      <alignment vertical="center"/>
    </xf>
    <xf numFmtId="0" fontId="0" fillId="0" borderId="0" xfId="0">
      <alignment vertical="center"/>
    </xf>
    <xf numFmtId="0" fontId="11" fillId="0" borderId="0" xfId="71">
      <alignment vertical="center"/>
    </xf>
    <xf numFmtId="0" fontId="5" fillId="0" borderId="0" xfId="0" applyFont="1">
      <alignment vertical="center"/>
    </xf>
    <xf numFmtId="0" fontId="0" fillId="0" borderId="0" xfId="0">
      <alignment vertical="center"/>
    </xf>
    <xf numFmtId="0" fontId="11" fillId="0" borderId="0" xfId="71">
      <alignment vertical="center"/>
    </xf>
    <xf numFmtId="0" fontId="6" fillId="0" borderId="0" xfId="53" applyFill="1" applyBorder="1">
      <alignment vertical="center"/>
    </xf>
    <xf numFmtId="0" fontId="5" fillId="0" borderId="0" xfId="0" applyFont="1">
      <alignment vertical="center"/>
    </xf>
    <xf numFmtId="0" fontId="6" fillId="0" borderId="0" xfId="53" applyFill="1">
      <alignment vertical="center"/>
    </xf>
    <xf numFmtId="0" fontId="27" fillId="39" borderId="0" xfId="121">
      <alignment horizontal="center" vertical="top" wrapText="1"/>
    </xf>
    <xf numFmtId="0" fontId="5" fillId="0" borderId="0" xfId="0" applyFont="1">
      <alignment vertical="center"/>
    </xf>
    <xf numFmtId="0" fontId="5" fillId="8" borderId="0" xfId="76" applyNumberFormat="1" applyFont="1" applyAlignment="1">
      <alignment vertical="center" wrapText="1"/>
    </xf>
    <xf numFmtId="0" fontId="0" fillId="0" borderId="0" xfId="0">
      <alignment vertical="center"/>
    </xf>
    <xf numFmtId="0" fontId="27" fillId="39" borderId="0" xfId="123">
      <alignment horizontal="centerContinuous" vertical="top"/>
    </xf>
    <xf numFmtId="0" fontId="27" fillId="39" borderId="0" xfId="140" applyAlignment="1">
      <alignment horizontal="left" vertical="top"/>
    </xf>
    <xf numFmtId="187" fontId="8" fillId="0" borderId="0" xfId="276" applyFont="1">
      <alignment vertical="center"/>
    </xf>
    <xf numFmtId="187" fontId="8" fillId="0" borderId="0" xfId="258" applyFont="1">
      <alignment vertical="center"/>
    </xf>
    <xf numFmtId="0" fontId="0" fillId="0" borderId="0" xfId="0">
      <alignment vertical="center"/>
    </xf>
    <xf numFmtId="0" fontId="11" fillId="0" borderId="0" xfId="71">
      <alignment vertical="center"/>
    </xf>
    <xf numFmtId="0" fontId="2" fillId="0" borderId="3" xfId="69">
      <alignment vertical="center"/>
      <protection locked="0"/>
    </xf>
    <xf numFmtId="0" fontId="2" fillId="0" borderId="2" xfId="65">
      <alignment vertical="center"/>
      <protection locked="0"/>
    </xf>
    <xf numFmtId="0" fontId="8" fillId="0" borderId="0" xfId="28" applyNumberFormat="1">
      <alignment vertical="center"/>
    </xf>
    <xf numFmtId="0" fontId="5" fillId="0" borderId="0" xfId="0" applyFont="1">
      <alignment vertical="center"/>
    </xf>
    <xf numFmtId="0" fontId="2" fillId="0" borderId="1" xfId="64">
      <alignment vertical="center"/>
    </xf>
    <xf numFmtId="0" fontId="0" fillId="0" borderId="0" xfId="0">
      <alignment vertical="center"/>
    </xf>
    <xf numFmtId="0" fontId="11" fillId="0" borderId="0" xfId="71">
      <alignment vertical="center"/>
    </xf>
    <xf numFmtId="0" fontId="11" fillId="0" borderId="0" xfId="71">
      <alignment vertical="center"/>
    </xf>
    <xf numFmtId="0" fontId="5" fillId="0" borderId="0" xfId="0" applyFont="1">
      <alignment vertical="center"/>
    </xf>
    <xf numFmtId="0" fontId="27" fillId="60" borderId="0" xfId="0" applyFont="1" applyFill="1">
      <alignment vertical="center"/>
    </xf>
    <xf numFmtId="0" fontId="0" fillId="0" borderId="0" xfId="0">
      <alignment vertical="center"/>
    </xf>
    <xf numFmtId="0" fontId="11" fillId="0" borderId="0" xfId="71">
      <alignment vertical="center"/>
    </xf>
    <xf numFmtId="0" fontId="5" fillId="0" borderId="0" xfId="0" applyFont="1">
      <alignment vertical="center"/>
    </xf>
    <xf numFmtId="0" fontId="27" fillId="60" borderId="0" xfId="0" applyFont="1" applyFill="1">
      <alignment vertical="center"/>
    </xf>
    <xf numFmtId="0" fontId="0" fillId="0" borderId="0" xfId="0">
      <alignment vertical="center"/>
    </xf>
    <xf numFmtId="0" fontId="0" fillId="0" borderId="0" xfId="0">
      <alignment vertical="center"/>
    </xf>
    <xf numFmtId="0" fontId="11" fillId="0" borderId="0" xfId="71" applyFill="1">
      <alignment vertical="center"/>
    </xf>
    <xf numFmtId="0" fontId="11" fillId="0" borderId="0" xfId="71" applyFill="1" applyBorder="1">
      <alignment vertical="center"/>
    </xf>
    <xf numFmtId="0" fontId="11" fillId="0" borderId="0" xfId="71" applyFill="1" applyBorder="1">
      <alignment vertical="center"/>
    </xf>
    <xf numFmtId="0" fontId="5" fillId="0" borderId="0" xfId="0" applyFont="1">
      <alignment vertical="center"/>
    </xf>
    <xf numFmtId="0" fontId="2" fillId="0" borderId="1" xfId="64">
      <alignment vertical="center"/>
    </xf>
    <xf numFmtId="0" fontId="11" fillId="0" borderId="0" xfId="71" applyFill="1" applyBorder="1">
      <alignment vertical="center"/>
    </xf>
    <xf numFmtId="0" fontId="11" fillId="0" borderId="0" xfId="71">
      <alignment vertical="center"/>
    </xf>
    <xf numFmtId="0" fontId="11" fillId="0" borderId="0" xfId="71" applyFill="1" applyBorder="1">
      <alignment vertical="center"/>
    </xf>
    <xf numFmtId="187" fontId="8" fillId="0" borderId="0" xfId="277" applyFont="1">
      <alignment vertical="center"/>
    </xf>
    <xf numFmtId="0" fontId="27" fillId="60" borderId="0" xfId="0" applyFont="1" applyFill="1">
      <alignment vertical="center"/>
    </xf>
    <xf numFmtId="0" fontId="27" fillId="61" borderId="0" xfId="0" applyFont="1" applyFill="1">
      <alignment vertical="center"/>
    </xf>
    <xf numFmtId="0" fontId="5" fillId="0" borderId="0" xfId="57">
      <alignment vertical="center"/>
    </xf>
    <xf numFmtId="0" fontId="5" fillId="0" borderId="0" xfId="0" applyFont="1">
      <alignment vertical="center"/>
    </xf>
    <xf numFmtId="0" fontId="0" fillId="0" borderId="0" xfId="0">
      <alignment vertical="center"/>
    </xf>
    <xf numFmtId="0" fontId="27" fillId="39" borderId="0" xfId="123">
      <alignment horizontal="centerContinuous" vertical="top"/>
    </xf>
    <xf numFmtId="0" fontId="27" fillId="39" borderId="0" xfId="285" applyAlignment="1">
      <alignment horizontal="left" vertical="top"/>
    </xf>
    <xf numFmtId="0" fontId="27" fillId="61" borderId="0" xfId="0" applyFont="1" applyFill="1">
      <alignment vertical="center"/>
    </xf>
    <xf numFmtId="0" fontId="0" fillId="0" borderId="0" xfId="0">
      <alignment vertical="center"/>
    </xf>
    <xf numFmtId="0" fontId="27" fillId="60" borderId="0" xfId="0" applyFont="1" applyFill="1">
      <alignment vertical="center"/>
    </xf>
    <xf numFmtId="0" fontId="0" fillId="0" borderId="0" xfId="0">
      <alignment vertical="center"/>
    </xf>
    <xf numFmtId="9" fontId="2" fillId="0" borderId="3" xfId="69" applyNumberFormat="1">
      <alignment vertical="center"/>
      <protection locked="0"/>
    </xf>
    <xf numFmtId="0" fontId="5" fillId="0" borderId="0" xfId="0" applyFont="1">
      <alignment vertical="center"/>
    </xf>
    <xf numFmtId="0" fontId="11" fillId="0" borderId="0" xfId="71">
      <alignment vertical="center"/>
    </xf>
    <xf numFmtId="0" fontId="2" fillId="0" borderId="0" xfId="57" applyFont="1" applyAlignment="1">
      <alignment horizontal="left" vertical="center" indent="1"/>
    </xf>
    <xf numFmtId="0" fontId="0" fillId="0" borderId="0" xfId="0">
      <alignment vertical="center"/>
    </xf>
    <xf numFmtId="0" fontId="11" fillId="0" borderId="0" xfId="71" applyFill="1" applyBorder="1">
      <alignment vertical="center"/>
    </xf>
    <xf numFmtId="0" fontId="0" fillId="0" borderId="0" xfId="0" applyFill="1" applyBorder="1">
      <alignment vertical="center"/>
    </xf>
    <xf numFmtId="0" fontId="0" fillId="0" borderId="0" xfId="0">
      <alignment vertical="center"/>
    </xf>
    <xf numFmtId="0" fontId="11" fillId="0" borderId="0" xfId="71" applyFill="1" applyBorder="1">
      <alignment vertical="center"/>
    </xf>
    <xf numFmtId="0" fontId="2" fillId="0" borderId="0" xfId="57" applyFont="1" applyAlignment="1">
      <alignment horizontal="left" vertical="center" indent="1"/>
    </xf>
    <xf numFmtId="0" fontId="0" fillId="0" borderId="0" xfId="0">
      <alignment vertical="center"/>
    </xf>
    <xf numFmtId="0" fontId="5" fillId="0" borderId="0" xfId="0" applyFont="1">
      <alignment vertical="center"/>
    </xf>
    <xf numFmtId="188" fontId="2" fillId="0" borderId="3" xfId="69" applyNumberFormat="1" applyAlignment="1">
      <alignment vertical="center"/>
      <protection locked="0"/>
    </xf>
    <xf numFmtId="0" fontId="0" fillId="0" borderId="0" xfId="0">
      <alignment vertical="center"/>
    </xf>
    <xf numFmtId="0" fontId="6" fillId="0" borderId="0" xfId="53" applyFill="1" applyBorder="1">
      <alignment vertical="center"/>
    </xf>
    <xf numFmtId="0" fontId="6" fillId="0" borderId="0" xfId="53" applyFont="1" applyFill="1">
      <alignment vertical="center"/>
    </xf>
    <xf numFmtId="0" fontId="11" fillId="0" borderId="0" xfId="71" applyFill="1" applyBorder="1">
      <alignment vertical="center"/>
    </xf>
    <xf numFmtId="0" fontId="0" fillId="0" borderId="0" xfId="0">
      <alignment vertical="center"/>
    </xf>
    <xf numFmtId="0" fontId="27" fillId="39" borderId="0" xfId="123">
      <alignment horizontal="centerContinuous" vertical="top"/>
    </xf>
    <xf numFmtId="0" fontId="27" fillId="39" borderId="0" xfId="290" applyAlignment="1">
      <alignment horizontal="left" vertical="top"/>
    </xf>
    <xf numFmtId="0" fontId="0" fillId="0" borderId="0" xfId="0">
      <alignment vertical="center"/>
    </xf>
    <xf numFmtId="187" fontId="8" fillId="0" borderId="0" xfId="286" applyFont="1">
      <alignment vertical="center"/>
    </xf>
    <xf numFmtId="0" fontId="27" fillId="61" borderId="0" xfId="0" applyFont="1" applyFill="1">
      <alignment vertical="center"/>
    </xf>
    <xf numFmtId="0" fontId="0" fillId="0" borderId="0" xfId="0">
      <alignment vertical="center"/>
    </xf>
    <xf numFmtId="0" fontId="27" fillId="39" borderId="0" xfId="263">
      <alignment horizontal="center" vertical="top" wrapText="1"/>
    </xf>
    <xf numFmtId="187" fontId="8" fillId="0" borderId="0" xfId="286" applyFont="1">
      <alignment vertical="center"/>
    </xf>
    <xf numFmtId="0" fontId="27" fillId="61" borderId="0" xfId="0" applyFont="1" applyFill="1">
      <alignment vertical="center"/>
    </xf>
    <xf numFmtId="0" fontId="0" fillId="0" borderId="0" xfId="0">
      <alignment vertical="center"/>
    </xf>
    <xf numFmtId="0" fontId="0" fillId="0" borderId="0" xfId="0">
      <alignment vertical="center"/>
    </xf>
    <xf numFmtId="0" fontId="11" fillId="0" borderId="0" xfId="71">
      <alignment vertical="center"/>
    </xf>
    <xf numFmtId="0" fontId="0" fillId="0" borderId="0" xfId="0">
      <alignment vertical="center"/>
    </xf>
    <xf numFmtId="0" fontId="6" fillId="0" borderId="0" xfId="53" applyFill="1" applyBorder="1">
      <alignment vertical="center"/>
    </xf>
    <xf numFmtId="0" fontId="6" fillId="0" borderId="0" xfId="53" applyFont="1" applyFill="1">
      <alignment vertical="center"/>
    </xf>
    <xf numFmtId="0" fontId="27" fillId="39" borderId="0" xfId="123">
      <alignment horizontal="centerContinuous" vertical="top"/>
    </xf>
    <xf numFmtId="187" fontId="8" fillId="0" borderId="0" xfId="286" applyFont="1">
      <alignment vertical="center"/>
    </xf>
    <xf numFmtId="0" fontId="27" fillId="39" borderId="0" xfId="290" applyAlignment="1">
      <alignment horizontal="left" vertical="top"/>
    </xf>
    <xf numFmtId="0" fontId="27" fillId="60" borderId="0" xfId="0" applyFont="1" applyFill="1">
      <alignment vertical="center"/>
    </xf>
    <xf numFmtId="0" fontId="27" fillId="61" borderId="0" xfId="0" applyFont="1" applyFill="1">
      <alignment vertical="center"/>
    </xf>
    <xf numFmtId="0" fontId="0" fillId="0" borderId="0" xfId="0">
      <alignment vertical="center"/>
    </xf>
    <xf numFmtId="0" fontId="6" fillId="0" borderId="0" xfId="53" applyFill="1" applyBorder="1">
      <alignment vertical="center"/>
    </xf>
    <xf numFmtId="0" fontId="6" fillId="0" borderId="0" xfId="53" applyFont="1" applyFill="1">
      <alignment vertical="center"/>
    </xf>
    <xf numFmtId="0" fontId="5" fillId="0" borderId="0" xfId="0" applyFont="1">
      <alignment vertical="center"/>
    </xf>
    <xf numFmtId="0" fontId="8" fillId="0" borderId="0" xfId="28" applyNumberFormat="1">
      <alignment vertical="center"/>
    </xf>
    <xf numFmtId="0" fontId="2" fillId="6" borderId="0" xfId="67">
      <alignment vertical="center"/>
    </xf>
    <xf numFmtId="0" fontId="2" fillId="0" borderId="1" xfId="64">
      <alignment vertical="center"/>
    </xf>
    <xf numFmtId="0" fontId="27" fillId="39" borderId="0" xfId="123">
      <alignment horizontal="centerContinuous" vertical="top"/>
    </xf>
    <xf numFmtId="0" fontId="27" fillId="39" borderId="0" xfId="290" applyAlignment="1">
      <alignment horizontal="left" vertical="top"/>
    </xf>
    <xf numFmtId="0" fontId="0" fillId="0" borderId="0" xfId="0">
      <alignment vertical="center"/>
    </xf>
    <xf numFmtId="0" fontId="27" fillId="39" borderId="0" xfId="136">
      <alignment horizontal="center" vertical="top" wrapText="1"/>
    </xf>
    <xf numFmtId="0" fontId="27" fillId="39" borderId="20" xfId="136" applyBorder="1" applyAlignment="1">
      <alignment horizontal="center" vertical="top"/>
    </xf>
    <xf numFmtId="0" fontId="5" fillId="0" borderId="0" xfId="57" applyAlignment="1">
      <alignment horizontal="center" vertical="center"/>
    </xf>
    <xf numFmtId="0" fontId="0" fillId="0" borderId="0" xfId="0">
      <alignment vertical="center"/>
    </xf>
    <xf numFmtId="0" fontId="11" fillId="0" borderId="0" xfId="71">
      <alignment vertical="center"/>
    </xf>
    <xf numFmtId="0" fontId="6" fillId="0" borderId="0" xfId="53" applyFill="1" applyBorder="1">
      <alignment vertical="center"/>
    </xf>
    <xf numFmtId="0" fontId="6" fillId="0" borderId="0" xfId="53" applyFont="1" applyFill="1">
      <alignment vertical="center"/>
    </xf>
    <xf numFmtId="0" fontId="2" fillId="0" borderId="3" xfId="69">
      <alignment vertical="center"/>
      <protection locked="0"/>
    </xf>
    <xf numFmtId="0" fontId="2" fillId="0" borderId="2" xfId="65">
      <alignment vertical="center"/>
      <protection locked="0"/>
    </xf>
    <xf numFmtId="0" fontId="11" fillId="0" borderId="0" xfId="71" applyFill="1" applyBorder="1">
      <alignment vertical="center"/>
    </xf>
    <xf numFmtId="0" fontId="27" fillId="39" borderId="0" xfId="123">
      <alignment horizontal="centerContinuous" vertical="top"/>
    </xf>
    <xf numFmtId="0" fontId="8" fillId="0" borderId="0" xfId="28" applyNumberFormat="1">
      <alignment vertical="center"/>
    </xf>
    <xf numFmtId="0" fontId="2" fillId="6" borderId="0" xfId="67">
      <alignment vertical="center"/>
    </xf>
    <xf numFmtId="0" fontId="5" fillId="0" borderId="0" xfId="0" applyFont="1">
      <alignment vertical="center"/>
    </xf>
    <xf numFmtId="0" fontId="2" fillId="0" borderId="1" xfId="64">
      <alignment vertical="center"/>
    </xf>
    <xf numFmtId="187" fontId="8" fillId="0" borderId="0" xfId="286" applyFont="1">
      <alignment vertical="center"/>
    </xf>
    <xf numFmtId="0" fontId="27" fillId="39" borderId="0" xfId="136" applyAlignment="1">
      <alignment horizontal="left" vertical="top"/>
    </xf>
    <xf numFmtId="188" fontId="2" fillId="0" borderId="3" xfId="69" applyNumberFormat="1" applyAlignment="1">
      <alignment vertical="center"/>
      <protection locked="0"/>
    </xf>
    <xf numFmtId="0" fontId="27" fillId="60" borderId="0" xfId="0" applyFont="1" applyFill="1">
      <alignment vertical="center"/>
    </xf>
    <xf numFmtId="0" fontId="0" fillId="0" borderId="0" xfId="0" applyAlignment="1">
      <alignment horizontal="left" vertical="center" indent="1"/>
    </xf>
    <xf numFmtId="0" fontId="27" fillId="39" borderId="0" xfId="136">
      <alignment horizontal="center" vertical="top" wrapText="1"/>
    </xf>
    <xf numFmtId="0" fontId="2" fillId="0" borderId="0" xfId="57" applyFont="1" applyAlignment="1">
      <alignment horizontal="left" vertical="center" indent="1"/>
    </xf>
    <xf numFmtId="0" fontId="8" fillId="0" borderId="0" xfId="28" applyNumberFormat="1" applyFill="1">
      <alignment vertical="center"/>
    </xf>
    <xf numFmtId="1" fontId="2" fillId="0" borderId="1" xfId="64" applyNumberFormat="1">
      <alignment vertical="center"/>
    </xf>
    <xf numFmtId="0" fontId="0" fillId="0" borderId="0" xfId="0" applyFont="1" applyFill="1" applyBorder="1">
      <alignment vertical="center"/>
    </xf>
    <xf numFmtId="0" fontId="0" fillId="0" borderId="0" xfId="0" applyAlignment="1">
      <alignment vertical="center" wrapText="1"/>
    </xf>
    <xf numFmtId="0" fontId="0" fillId="0" borderId="0" xfId="0" applyFont="1">
      <alignment vertical="center"/>
    </xf>
    <xf numFmtId="208" fontId="2" fillId="0" borderId="1" xfId="327" applyNumberFormat="1" applyBorder="1" applyAlignment="1">
      <alignment vertical="center"/>
    </xf>
    <xf numFmtId="0" fontId="5" fillId="0" borderId="0" xfId="0" applyFont="1" applyAlignment="1">
      <alignment vertical="center" wrapText="1"/>
    </xf>
    <xf numFmtId="0" fontId="11" fillId="0" borderId="0" xfId="71" applyNumberFormat="1">
      <alignment vertical="center"/>
    </xf>
    <xf numFmtId="208" fontId="2" fillId="0" borderId="1" xfId="64" applyNumberFormat="1" applyAlignment="1">
      <alignment vertical="center"/>
    </xf>
    <xf numFmtId="0" fontId="5" fillId="0" borderId="0" xfId="57" applyAlignment="1">
      <alignment vertical="center"/>
    </xf>
    <xf numFmtId="0" fontId="60" fillId="0" borderId="0" xfId="28" applyNumberFormat="1" applyFont="1">
      <alignment vertical="center"/>
    </xf>
    <xf numFmtId="208" fontId="2" fillId="6" borderId="0" xfId="327" applyNumberFormat="1" applyFill="1" applyAlignment="1">
      <alignment vertical="center"/>
    </xf>
    <xf numFmtId="0" fontId="5" fillId="63" borderId="0" xfId="0" applyFont="1" applyFill="1" applyAlignment="1">
      <alignment horizontal="centerContinuous" vertical="center"/>
    </xf>
    <xf numFmtId="0" fontId="0" fillId="63" borderId="0" xfId="0" applyFill="1" applyAlignment="1">
      <alignment horizontal="centerContinuous" vertical="center"/>
    </xf>
    <xf numFmtId="206" fontId="5" fillId="0" borderId="0" xfId="113" applyFont="1" applyAlignment="1">
      <alignment horizontal="center" vertical="center"/>
    </xf>
    <xf numFmtId="206" fontId="5" fillId="0" borderId="0" xfId="113" applyFont="1">
      <alignment vertical="center"/>
    </xf>
    <xf numFmtId="0" fontId="12" fillId="0" borderId="0" xfId="0" applyFont="1">
      <alignment vertical="center"/>
    </xf>
    <xf numFmtId="164" fontId="2" fillId="5" borderId="2" xfId="66" applyNumberFormat="1">
      <alignment vertical="center"/>
      <protection locked="0"/>
    </xf>
    <xf numFmtId="0" fontId="2" fillId="0" borderId="3" xfId="69" applyAlignment="1">
      <alignment horizontal="right" vertical="center"/>
      <protection locked="0"/>
    </xf>
    <xf numFmtId="43" fontId="2" fillId="0" borderId="1" xfId="327" applyNumberFormat="1" applyBorder="1" applyAlignment="1">
      <alignment vertical="center"/>
    </xf>
    <xf numFmtId="49" fontId="0" fillId="0" borderId="0" xfId="0" applyNumberFormat="1" applyAlignment="1">
      <alignment vertical="center" wrapText="1"/>
    </xf>
    <xf numFmtId="0" fontId="2" fillId="6" borderId="0" xfId="67" applyAlignment="1">
      <alignment vertical="center" wrapText="1"/>
    </xf>
    <xf numFmtId="208" fontId="5" fillId="0" borderId="0" xfId="327" applyNumberFormat="1" applyFont="1" applyAlignment="1">
      <alignment vertical="center"/>
    </xf>
    <xf numFmtId="208" fontId="5" fillId="6" borderId="0" xfId="327" applyNumberFormat="1" applyFont="1" applyFill="1" applyAlignment="1">
      <alignment vertical="center"/>
    </xf>
    <xf numFmtId="208" fontId="2" fillId="6" borderId="0" xfId="327" applyNumberFormat="1" applyFont="1" applyFill="1" applyAlignment="1">
      <alignment vertical="center"/>
    </xf>
    <xf numFmtId="208" fontId="0" fillId="0" borderId="0" xfId="327" applyNumberFormat="1" applyFont="1" applyAlignment="1">
      <alignment vertical="center"/>
    </xf>
    <xf numFmtId="208" fontId="5" fillId="8" borderId="1" xfId="327" applyNumberFormat="1" applyFont="1" applyFill="1" applyBorder="1" applyAlignment="1">
      <alignment vertical="center"/>
    </xf>
    <xf numFmtId="208" fontId="5" fillId="8" borderId="0" xfId="327" applyNumberFormat="1" applyFont="1" applyFill="1" applyAlignment="1">
      <alignment vertical="center"/>
    </xf>
    <xf numFmtId="207" fontId="2" fillId="0" borderId="3" xfId="75" applyBorder="1" applyProtection="1">
      <alignment vertical="center"/>
      <protection locked="0"/>
    </xf>
    <xf numFmtId="206" fontId="2" fillId="0" borderId="2" xfId="74" applyBorder="1" applyProtection="1">
      <alignment vertical="center"/>
      <protection locked="0"/>
    </xf>
    <xf numFmtId="43" fontId="0" fillId="0" borderId="0" xfId="0" applyNumberFormat="1">
      <alignment vertical="center"/>
    </xf>
    <xf numFmtId="166" fontId="2" fillId="0" borderId="1" xfId="64" applyNumberFormat="1">
      <alignment vertical="center"/>
    </xf>
    <xf numFmtId="206" fontId="2" fillId="0" borderId="1" xfId="74" applyBorder="1">
      <alignment vertical="center"/>
    </xf>
    <xf numFmtId="207" fontId="2" fillId="0" borderId="2" xfId="75" applyBorder="1" applyProtection="1">
      <alignment vertical="center"/>
      <protection locked="0"/>
    </xf>
    <xf numFmtId="0" fontId="0" fillId="0" borderId="0" xfId="0" applyFill="1" applyBorder="1" applyAlignment="1">
      <alignment horizontal="left" vertical="center" indent="1"/>
    </xf>
    <xf numFmtId="206" fontId="2" fillId="6" borderId="0" xfId="74" applyFill="1">
      <alignment vertical="center"/>
    </xf>
    <xf numFmtId="43" fontId="0" fillId="0" borderId="0" xfId="327" applyFont="1" applyAlignment="1">
      <alignment vertical="center"/>
    </xf>
    <xf numFmtId="210" fontId="2" fillId="5" borderId="2" xfId="77" applyFill="1" applyBorder="1" applyAlignment="1" applyProtection="1">
      <alignment vertical="center"/>
      <protection locked="0"/>
    </xf>
    <xf numFmtId="0" fontId="27" fillId="39" borderId="0" xfId="123" applyAlignment="1">
      <alignment horizontal="left" vertical="top"/>
    </xf>
    <xf numFmtId="165" fontId="2" fillId="6" borderId="0" xfId="67" applyNumberFormat="1">
      <alignment vertical="center"/>
    </xf>
    <xf numFmtId="207" fontId="2" fillId="6" borderId="0" xfId="75" applyFill="1">
      <alignment vertical="center"/>
    </xf>
    <xf numFmtId="0" fontId="0" fillId="0" borderId="0" xfId="0" quotePrefix="1">
      <alignment vertical="center"/>
    </xf>
    <xf numFmtId="0" fontId="0" fillId="0" borderId="0" xfId="0" applyFill="1" applyBorder="1" applyAlignment="1">
      <alignment horizontal="left" vertical="center" indent="2"/>
    </xf>
    <xf numFmtId="0" fontId="0" fillId="8" borderId="0" xfId="76" applyFont="1" applyBorder="1" applyAlignment="1">
      <alignment horizontal="left" vertical="center" indent="1"/>
    </xf>
    <xf numFmtId="0" fontId="0" fillId="8" borderId="0" xfId="76" applyFont="1" applyBorder="1">
      <alignment vertical="center"/>
    </xf>
    <xf numFmtId="209" fontId="0" fillId="8" borderId="0" xfId="76" applyNumberFormat="1" applyFont="1">
      <alignment vertical="center"/>
    </xf>
    <xf numFmtId="164" fontId="0" fillId="8" borderId="0" xfId="76" applyNumberFormat="1" applyFont="1">
      <alignment vertical="center"/>
    </xf>
    <xf numFmtId="0" fontId="0" fillId="0" borderId="0" xfId="0" applyAlignment="1">
      <alignment horizontal="left" vertical="center" indent="2"/>
    </xf>
    <xf numFmtId="9" fontId="2" fillId="5" borderId="2" xfId="66" applyNumberFormat="1">
      <alignment vertical="center"/>
      <protection locked="0"/>
    </xf>
    <xf numFmtId="206" fontId="2" fillId="5" borderId="2" xfId="74" applyFill="1" applyBorder="1" applyProtection="1">
      <alignment vertical="center"/>
      <protection locked="0"/>
    </xf>
    <xf numFmtId="0" fontId="0" fillId="0" borderId="0" xfId="0" applyFill="1" applyAlignment="1">
      <alignment horizontal="left" vertical="center" wrapText="1" indent="1"/>
    </xf>
    <xf numFmtId="207" fontId="2" fillId="0" borderId="3" xfId="75" applyFill="1" applyBorder="1" applyAlignment="1" applyProtection="1">
      <alignment vertical="center"/>
      <protection locked="0"/>
    </xf>
    <xf numFmtId="207" fontId="2" fillId="0" borderId="2" xfId="114" applyBorder="1" applyProtection="1">
      <alignment vertical="center"/>
      <protection locked="0"/>
    </xf>
    <xf numFmtId="187" fontId="2" fillId="0" borderId="2" xfId="65" applyNumberFormat="1">
      <alignment vertical="center"/>
      <protection locked="0"/>
    </xf>
    <xf numFmtId="206" fontId="6" fillId="0" borderId="0" xfId="74" applyFont="1" applyFill="1" applyBorder="1">
      <alignment vertical="center"/>
    </xf>
    <xf numFmtId="206" fontId="27" fillId="39" borderId="21" xfId="74" applyFont="1" applyFill="1" applyBorder="1" applyAlignment="1">
      <alignment horizontal="centerContinuous" vertical="top"/>
    </xf>
    <xf numFmtId="206" fontId="27" fillId="39" borderId="22" xfId="74" applyFont="1" applyFill="1" applyBorder="1" applyAlignment="1">
      <alignment horizontal="centerContinuous" vertical="top"/>
    </xf>
    <xf numFmtId="206" fontId="27" fillId="39" borderId="0" xfId="74" applyFont="1" applyFill="1" applyAlignment="1">
      <alignment horizontal="center" vertical="top" wrapText="1"/>
    </xf>
    <xf numFmtId="206" fontId="27" fillId="39" borderId="20" xfId="74" applyFont="1" applyFill="1" applyBorder="1" applyAlignment="1">
      <alignment horizontal="center" vertical="top" wrapText="1"/>
    </xf>
    <xf numFmtId="206" fontId="5" fillId="0" borderId="0" xfId="74" applyFont="1" applyAlignment="1">
      <alignment horizontal="center" vertical="center"/>
    </xf>
    <xf numFmtId="206" fontId="27" fillId="39" borderId="0" xfId="74" applyFont="1" applyFill="1" applyAlignment="1">
      <alignment horizontal="centerContinuous" vertical="top"/>
    </xf>
    <xf numFmtId="206" fontId="27" fillId="61" borderId="0" xfId="74" applyFont="1" applyFill="1">
      <alignment vertical="center"/>
    </xf>
    <xf numFmtId="206" fontId="2" fillId="0" borderId="1" xfId="74" applyBorder="1" applyAlignment="1">
      <alignment vertical="center"/>
    </xf>
    <xf numFmtId="206" fontId="2" fillId="0" borderId="2" xfId="74" applyBorder="1" applyAlignment="1" applyProtection="1">
      <alignment vertical="center"/>
      <protection locked="0"/>
    </xf>
    <xf numFmtId="206" fontId="2" fillId="6" borderId="0" xfId="74" applyFill="1" applyAlignment="1">
      <alignment vertical="center"/>
    </xf>
    <xf numFmtId="207" fontId="2" fillId="6" borderId="0" xfId="75" applyFill="1" applyAlignment="1">
      <alignment vertical="center"/>
    </xf>
    <xf numFmtId="207" fontId="6" fillId="0" borderId="0" xfId="75" applyFont="1" applyFill="1" applyBorder="1">
      <alignment vertical="center"/>
    </xf>
    <xf numFmtId="207" fontId="27" fillId="39" borderId="0" xfId="75" applyFont="1" applyFill="1" applyAlignment="1">
      <alignment horizontal="center" vertical="top" wrapText="1"/>
    </xf>
    <xf numFmtId="207" fontId="27" fillId="39" borderId="0" xfId="75" applyFont="1" applyFill="1" applyAlignment="1">
      <alignment horizontal="centerContinuous" vertical="top"/>
    </xf>
    <xf numFmtId="207" fontId="27" fillId="61" borderId="0" xfId="75" applyFont="1" applyFill="1">
      <alignment vertical="center"/>
    </xf>
    <xf numFmtId="206" fontId="27" fillId="39" borderId="20" xfId="74" applyFont="1" applyFill="1" applyBorder="1" applyAlignment="1">
      <alignment horizontal="center" vertical="top"/>
    </xf>
    <xf numFmtId="206" fontId="2" fillId="8" borderId="1" xfId="74" applyFill="1" applyBorder="1" applyAlignment="1">
      <alignment vertical="center"/>
    </xf>
    <xf numFmtId="206" fontId="11" fillId="0" borderId="0" xfId="74" applyFont="1">
      <alignment vertical="center"/>
    </xf>
    <xf numFmtId="207" fontId="2" fillId="0" borderId="1" xfId="75" applyBorder="1" applyAlignment="1">
      <alignment vertical="center"/>
    </xf>
    <xf numFmtId="207" fontId="2" fillId="0" borderId="2" xfId="75" applyBorder="1" applyAlignment="1" applyProtection="1">
      <alignment vertical="center"/>
      <protection locked="0"/>
    </xf>
    <xf numFmtId="207" fontId="0" fillId="0" borderId="0" xfId="75" applyFont="1" applyAlignment="1">
      <alignment vertical="center"/>
    </xf>
    <xf numFmtId="207" fontId="2" fillId="0" borderId="1" xfId="75" applyBorder="1">
      <alignment vertical="center"/>
    </xf>
    <xf numFmtId="207" fontId="5" fillId="0" borderId="0" xfId="75" applyFont="1">
      <alignment vertical="center"/>
    </xf>
    <xf numFmtId="207" fontId="8" fillId="0" borderId="0" xfId="75" applyFont="1" applyAlignment="1">
      <alignment vertical="center"/>
    </xf>
    <xf numFmtId="207" fontId="8" fillId="0" borderId="0" xfId="75" applyFont="1">
      <alignment vertical="center"/>
    </xf>
    <xf numFmtId="210" fontId="2" fillId="0" borderId="1" xfId="77" applyBorder="1" applyAlignment="1">
      <alignment vertical="center"/>
    </xf>
    <xf numFmtId="210" fontId="8" fillId="0" borderId="0" xfId="77" applyFont="1" applyAlignment="1">
      <alignment vertical="center"/>
    </xf>
    <xf numFmtId="206" fontId="0" fillId="0" borderId="0" xfId="74" applyFont="1" applyAlignment="1">
      <alignment vertical="center"/>
    </xf>
    <xf numFmtId="206" fontId="5" fillId="0" borderId="0" xfId="74" applyFont="1" applyAlignment="1">
      <alignment vertical="center"/>
    </xf>
    <xf numFmtId="206" fontId="5" fillId="8" borderId="1" xfId="74" applyFont="1" applyFill="1" applyBorder="1" applyAlignment="1">
      <alignment vertical="center"/>
    </xf>
    <xf numFmtId="206" fontId="5" fillId="0" borderId="0" xfId="74" applyFont="1" applyAlignment="1">
      <alignment vertical="center" wrapText="1"/>
    </xf>
    <xf numFmtId="9" fontId="2" fillId="5" borderId="2" xfId="66" applyNumberFormat="1" applyAlignment="1">
      <alignment vertical="center"/>
      <protection locked="0"/>
    </xf>
    <xf numFmtId="210" fontId="2" fillId="6" borderId="0" xfId="77" applyFill="1" applyAlignment="1">
      <alignment vertical="center"/>
    </xf>
    <xf numFmtId="210" fontId="2" fillId="5" borderId="2" xfId="66" applyNumberFormat="1" applyAlignment="1">
      <alignment vertical="center"/>
      <protection locked="0"/>
    </xf>
    <xf numFmtId="49" fontId="61" fillId="0" borderId="0" xfId="328" applyNumberFormat="1" applyAlignment="1">
      <alignment vertical="center"/>
    </xf>
    <xf numFmtId="207" fontId="0" fillId="0" borderId="0" xfId="74" applyNumberFormat="1" applyFont="1">
      <alignment vertical="center"/>
    </xf>
    <xf numFmtId="0" fontId="5" fillId="0" borderId="0" xfId="0" applyFont="1" applyFill="1" applyBorder="1">
      <alignment vertical="center"/>
    </xf>
    <xf numFmtId="208" fontId="2" fillId="0" borderId="2" xfId="327" applyNumberFormat="1" applyBorder="1" applyAlignment="1" applyProtection="1">
      <alignment vertical="center"/>
      <protection locked="0"/>
    </xf>
    <xf numFmtId="0" fontId="0" fillId="0" borderId="0" xfId="0">
      <alignment vertical="center"/>
    </xf>
    <xf numFmtId="43" fontId="2" fillId="0" borderId="1" xfId="327" applyBorder="1" applyAlignment="1">
      <alignment vertical="center"/>
    </xf>
    <xf numFmtId="43" fontId="2" fillId="0" borderId="1" xfId="64" applyNumberFormat="1">
      <alignment vertical="center"/>
    </xf>
    <xf numFmtId="43" fontId="2" fillId="8" borderId="2" xfId="76" applyNumberFormat="1" applyBorder="1" applyAlignment="1" applyProtection="1">
      <alignment vertical="center"/>
      <protection locked="0"/>
    </xf>
    <xf numFmtId="2" fontId="2" fillId="8" borderId="1" xfId="76" applyNumberFormat="1" applyBorder="1">
      <alignment vertical="center"/>
    </xf>
    <xf numFmtId="206" fontId="2" fillId="0" borderId="1" xfId="64" applyNumberFormat="1">
      <alignment vertical="center"/>
    </xf>
    <xf numFmtId="210" fontId="2" fillId="0" borderId="3" xfId="77" applyBorder="1" applyAlignment="1" applyProtection="1">
      <alignment horizontal="center" vertical="center"/>
      <protection locked="0"/>
    </xf>
    <xf numFmtId="206" fontId="2" fillId="0" borderId="2" xfId="65" applyNumberFormat="1">
      <alignment vertical="center"/>
      <protection locked="0"/>
    </xf>
    <xf numFmtId="0" fontId="27" fillId="60" borderId="0" xfId="0" applyFont="1" applyFill="1" applyAlignment="1">
      <alignment horizontal="center" vertical="center"/>
    </xf>
    <xf numFmtId="206" fontId="2" fillId="8" borderId="1" xfId="76" applyNumberFormat="1" applyBorder="1" applyAlignment="1">
      <alignment vertical="center"/>
    </xf>
    <xf numFmtId="0" fontId="2" fillId="0" borderId="3" xfId="69" applyAlignment="1">
      <alignment horizontal="center" vertical="center"/>
      <protection locked="0"/>
    </xf>
    <xf numFmtId="206" fontId="2" fillId="0" borderId="3" xfId="69" applyNumberFormat="1" applyAlignment="1">
      <alignment horizontal="center" vertical="center"/>
      <protection locked="0"/>
    </xf>
    <xf numFmtId="0" fontId="2" fillId="6" borderId="0" xfId="67" applyAlignment="1">
      <alignment horizontal="center" vertical="center"/>
    </xf>
    <xf numFmtId="0" fontId="2" fillId="0" borderId="1" xfId="64" applyAlignment="1">
      <alignment horizontal="center" vertical="center"/>
    </xf>
    <xf numFmtId="187" fontId="8" fillId="0" borderId="0" xfId="276" applyFont="1" applyAlignment="1">
      <alignment horizontal="center" vertical="center"/>
    </xf>
    <xf numFmtId="10" fontId="2" fillId="0" borderId="2" xfId="65" applyNumberFormat="1" applyAlignment="1">
      <alignment horizontal="center" vertical="center"/>
      <protection locked="0"/>
    </xf>
    <xf numFmtId="208" fontId="2" fillId="6" borderId="0" xfId="327" applyNumberFormat="1" applyFill="1" applyAlignment="1">
      <alignment horizontal="center" vertical="center"/>
    </xf>
    <xf numFmtId="0" fontId="2" fillId="0" borderId="2" xfId="65" applyAlignment="1">
      <alignment horizontal="center" vertical="center"/>
      <protection locked="0"/>
    </xf>
    <xf numFmtId="0" fontId="2" fillId="0" borderId="2" xfId="65" applyAlignment="1" applyProtection="1">
      <alignment horizontal="center" vertical="center"/>
    </xf>
    <xf numFmtId="0" fontId="8" fillId="0" borderId="0" xfId="28" applyNumberFormat="1" applyAlignment="1">
      <alignment horizontal="left" vertical="center" indent="1"/>
    </xf>
    <xf numFmtId="206" fontId="8" fillId="0" borderId="0" xfId="28" applyNumberFormat="1" applyAlignment="1">
      <alignment horizontal="center" vertical="center"/>
    </xf>
    <xf numFmtId="206" fontId="8" fillId="0" borderId="0" xfId="74" applyFont="1">
      <alignment vertical="center"/>
    </xf>
    <xf numFmtId="0" fontId="0" fillId="0" borderId="0" xfId="0" applyAlignment="1">
      <alignment horizontal="left" vertical="center" wrapText="1" indent="1"/>
    </xf>
    <xf numFmtId="0" fontId="27" fillId="0" borderId="0" xfId="121" applyFill="1">
      <alignment horizontal="center" vertical="top" wrapText="1"/>
    </xf>
    <xf numFmtId="0" fontId="27" fillId="0" borderId="0" xfId="123" applyFill="1">
      <alignment horizontal="centerContinuous" vertical="top"/>
    </xf>
    <xf numFmtId="0" fontId="27" fillId="0" borderId="0" xfId="0" applyFont="1" applyFill="1">
      <alignment vertical="center"/>
    </xf>
    <xf numFmtId="187" fontId="8" fillId="0" borderId="0" xfId="276" applyFont="1" applyFill="1">
      <alignment vertical="center"/>
    </xf>
    <xf numFmtId="187" fontId="8" fillId="0" borderId="0" xfId="277" applyFont="1" applyFill="1">
      <alignment vertical="center"/>
    </xf>
    <xf numFmtId="0" fontId="2" fillId="0" borderId="0" xfId="57" applyFont="1" applyAlignment="1">
      <alignment horizontal="left" vertical="center"/>
    </xf>
    <xf numFmtId="0" fontId="0" fillId="0" borderId="0" xfId="0" applyAlignment="1">
      <alignment horizontal="left" vertical="center" indent="3"/>
    </xf>
    <xf numFmtId="206" fontId="2" fillId="5" borderId="2" xfId="66" applyNumberFormat="1">
      <alignment vertical="center"/>
      <protection locked="0"/>
    </xf>
    <xf numFmtId="9" fontId="2" fillId="6" borderId="0" xfId="344" applyFill="1" applyAlignment="1">
      <alignment vertical="center"/>
    </xf>
    <xf numFmtId="206" fontId="2" fillId="6" borderId="0" xfId="67" applyNumberFormat="1">
      <alignment vertical="center"/>
    </xf>
    <xf numFmtId="0" fontId="8" fillId="0" borderId="0" xfId="28" applyNumberFormat="1" applyFont="1">
      <alignment vertical="center"/>
    </xf>
    <xf numFmtId="207" fontId="2" fillId="5" borderId="2" xfId="75" applyFill="1" applyBorder="1" applyProtection="1">
      <alignment vertical="center"/>
      <protection locked="0"/>
    </xf>
    <xf numFmtId="207" fontId="2" fillId="0" borderId="1" xfId="74" applyNumberFormat="1" applyBorder="1" applyAlignment="1">
      <alignment vertical="center"/>
    </xf>
    <xf numFmtId="206" fontId="0" fillId="8" borderId="0" xfId="74" applyFont="1" applyFill="1">
      <alignment vertical="center"/>
    </xf>
    <xf numFmtId="0" fontId="0" fillId="0" borderId="0" xfId="0" applyAlignment="1">
      <alignment vertical="center"/>
    </xf>
    <xf numFmtId="211" fontId="2" fillId="0" borderId="2" xfId="75" applyNumberFormat="1" applyBorder="1" applyProtection="1">
      <alignment vertical="center"/>
      <protection locked="0"/>
    </xf>
    <xf numFmtId="207" fontId="2" fillId="0" borderId="1" xfId="74" applyNumberFormat="1" applyBorder="1">
      <alignment vertical="center"/>
    </xf>
    <xf numFmtId="207" fontId="2" fillId="0" borderId="2" xfId="65" applyNumberFormat="1">
      <alignment vertical="center"/>
      <protection locked="0"/>
    </xf>
    <xf numFmtId="210" fontId="2" fillId="0" borderId="3" xfId="77" applyBorder="1" applyAlignment="1" applyProtection="1">
      <alignment vertical="center"/>
      <protection locked="0"/>
    </xf>
    <xf numFmtId="210" fontId="0" fillId="0" borderId="0" xfId="77" applyFont="1" applyAlignment="1">
      <alignment vertical="center"/>
    </xf>
    <xf numFmtId="0" fontId="62" fillId="0" borderId="0" xfId="0" applyFont="1">
      <alignment vertical="center"/>
    </xf>
    <xf numFmtId="0" fontId="2" fillId="0" borderId="2" xfId="65" applyProtection="1">
      <alignment vertical="center"/>
    </xf>
    <xf numFmtId="207" fontId="2" fillId="0" borderId="1" xfId="64" applyNumberFormat="1" applyAlignment="1">
      <alignment vertical="center"/>
    </xf>
    <xf numFmtId="210" fontId="11" fillId="0" borderId="0" xfId="71" applyNumberFormat="1" applyAlignment="1">
      <alignment vertical="center"/>
    </xf>
    <xf numFmtId="9" fontId="2" fillId="0" borderId="2" xfId="65" applyNumberFormat="1">
      <alignment vertical="center"/>
      <protection locked="0"/>
    </xf>
    <xf numFmtId="9" fontId="2" fillId="0" borderId="1" xfId="344" applyBorder="1" applyAlignment="1">
      <alignment vertical="center"/>
    </xf>
    <xf numFmtId="210" fontId="2" fillId="6" borderId="0" xfId="67" applyNumberFormat="1" applyAlignment="1">
      <alignment vertical="center"/>
    </xf>
    <xf numFmtId="210" fontId="2" fillId="0" borderId="2" xfId="65" applyNumberFormat="1" applyAlignment="1">
      <alignment vertical="center"/>
      <protection locked="0"/>
    </xf>
    <xf numFmtId="0" fontId="5" fillId="64" borderId="0" xfId="0" applyFont="1" applyFill="1">
      <alignment vertical="center"/>
    </xf>
    <xf numFmtId="206" fontId="2" fillId="65" borderId="2" xfId="74" applyFill="1" applyBorder="1" applyProtection="1">
      <alignment vertical="center"/>
      <protection locked="0"/>
    </xf>
    <xf numFmtId="206" fontId="2" fillId="64" borderId="2" xfId="74" applyFill="1" applyBorder="1" applyProtection="1">
      <alignment vertical="center"/>
      <protection locked="0"/>
    </xf>
    <xf numFmtId="207" fontId="2" fillId="64" borderId="2" xfId="75" applyFill="1" applyBorder="1" applyProtection="1">
      <alignment vertical="center"/>
      <protection locked="0"/>
    </xf>
    <xf numFmtId="185" fontId="2" fillId="64" borderId="2" xfId="65" applyNumberFormat="1" applyFill="1">
      <alignment vertical="center"/>
      <protection locked="0"/>
    </xf>
    <xf numFmtId="206" fontId="2" fillId="64" borderId="2" xfId="65" applyNumberFormat="1" applyFill="1">
      <alignment vertical="center"/>
      <protection locked="0"/>
    </xf>
    <xf numFmtId="208" fontId="2" fillId="64" borderId="2" xfId="65" applyNumberFormat="1" applyFill="1" applyAlignment="1">
      <alignment vertical="center"/>
      <protection locked="0"/>
    </xf>
    <xf numFmtId="164" fontId="2" fillId="64" borderId="2" xfId="65" applyNumberFormat="1" applyFill="1">
      <alignment vertical="center"/>
      <protection locked="0"/>
    </xf>
    <xf numFmtId="206" fontId="2" fillId="64" borderId="3" xfId="74" applyFill="1" applyBorder="1" applyProtection="1">
      <alignment vertical="center"/>
      <protection locked="0"/>
    </xf>
    <xf numFmtId="0" fontId="0" fillId="64" borderId="0" xfId="0" applyFill="1">
      <alignment vertical="center"/>
    </xf>
    <xf numFmtId="206" fontId="2" fillId="64" borderId="0" xfId="67" applyNumberFormat="1" applyFill="1">
      <alignment vertical="center"/>
    </xf>
    <xf numFmtId="164" fontId="2" fillId="66" borderId="0" xfId="67" applyNumberFormat="1" applyFill="1">
      <alignment vertical="center"/>
    </xf>
    <xf numFmtId="0" fontId="5" fillId="62" borderId="0" xfId="0" applyFont="1" applyFill="1" applyAlignment="1">
      <alignment vertical="center"/>
    </xf>
    <xf numFmtId="206" fontId="27" fillId="60" borderId="0" xfId="74" applyFont="1" applyFill="1" applyAlignment="1">
      <alignment vertical="center"/>
    </xf>
    <xf numFmtId="206" fontId="27" fillId="60" borderId="23" xfId="74" applyFont="1" applyFill="1" applyBorder="1" applyAlignment="1">
      <alignment vertical="center"/>
    </xf>
    <xf numFmtId="0" fontId="27" fillId="39" borderId="0" xfId="123" applyAlignment="1">
      <alignment vertical="top"/>
    </xf>
    <xf numFmtId="0" fontId="27" fillId="60" borderId="0" xfId="0" applyFont="1" applyFill="1" applyAlignment="1">
      <alignment vertical="center"/>
    </xf>
  </cellXfs>
  <cellStyles count="345">
    <cellStyle name="_%(SignOnly)" xfId="171"/>
    <cellStyle name="_%(SignSpaceOnly)" xfId="172"/>
    <cellStyle name="_Comma" xfId="173"/>
    <cellStyle name="_Currency" xfId="174"/>
    <cellStyle name="_CurrencySpace" xfId="175"/>
    <cellStyle name="_Euro" xfId="176"/>
    <cellStyle name="_Heading" xfId="177"/>
    <cellStyle name="_Highlight" xfId="178"/>
    <cellStyle name="_Multiple" xfId="179"/>
    <cellStyle name="_MultipleSpace" xfId="180"/>
    <cellStyle name="_SubHeading" xfId="181"/>
    <cellStyle name="_Table" xfId="182"/>
    <cellStyle name="_TableHead" xfId="183"/>
    <cellStyle name="_TableRowHead" xfId="184"/>
    <cellStyle name="_TableSuperHead" xfId="185"/>
    <cellStyle name="=C:\WINNT35\SYSTEM32\COMMAND.COM" xfId="186"/>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52" builtinId="26" customBuiltin="1"/>
    <cellStyle name="Calculation 2" xfId="148"/>
    <cellStyle name="Cálculo" xfId="26" builtinId="22" customBuiltin="1"/>
    <cellStyle name="Celda de comprobación" xfId="27" builtinId="23" customBuiltin="1"/>
    <cellStyle name="Celda vinculada" xfId="70" builtinId="24" customBuiltin="1"/>
    <cellStyle name="Checksum" xfId="28"/>
    <cellStyle name="Column label" xfId="29"/>
    <cellStyle name="Column label (left aligned)" xfId="30"/>
    <cellStyle name="Column label (left aligned) 2" xfId="122"/>
    <cellStyle name="Column label (no wrap)" xfId="31"/>
    <cellStyle name="Column label (no wrap) 2" xfId="123"/>
    <cellStyle name="Column label (not bold)" xfId="32"/>
    <cellStyle name="Column label (not bold) 2" xfId="124"/>
    <cellStyle name="Column label 10" xfId="136"/>
    <cellStyle name="Column label 11" xfId="127"/>
    <cellStyle name="Column label 12" xfId="272"/>
    <cellStyle name="Column label 13" xfId="138"/>
    <cellStyle name="Column label 14" xfId="281"/>
    <cellStyle name="Column label 15" xfId="285"/>
    <cellStyle name="Column label 16" xfId="142"/>
    <cellStyle name="Column label 17" xfId="263"/>
    <cellStyle name="Column label 18" xfId="290"/>
    <cellStyle name="Column label 2" xfId="121"/>
    <cellStyle name="Column label 2 2" xfId="280"/>
    <cellStyle name="Column label 3" xfId="140"/>
    <cellStyle name="Column label 4" xfId="125"/>
    <cellStyle name="Column label 5" xfId="128"/>
    <cellStyle name="Column label 6" xfId="273"/>
    <cellStyle name="Column label 7" xfId="145"/>
    <cellStyle name="Column label 8" xfId="265"/>
    <cellStyle name="Column label 9" xfId="270"/>
    <cellStyle name="Comma 2" xfId="164"/>
    <cellStyle name="Comma 3" xfId="295"/>
    <cellStyle name="Currency (0dp)" xfId="34"/>
    <cellStyle name="Currency (2dp)" xfId="35"/>
    <cellStyle name="Currency (2dp) 2" xfId="126"/>
    <cellStyle name="Currency Dollar" xfId="36"/>
    <cellStyle name="Currency Dollar (2dp)" xfId="37"/>
    <cellStyle name="Currency EUR" xfId="38"/>
    <cellStyle name="Currency EUR (2dp)" xfId="39"/>
    <cellStyle name="Currency Euro" xfId="40"/>
    <cellStyle name="Currency Euro (2dp)" xfId="41"/>
    <cellStyle name="Currency GBP" xfId="42"/>
    <cellStyle name="Currency GBP (2dp)" xfId="43"/>
    <cellStyle name="Currency Pound" xfId="44"/>
    <cellStyle name="Currency Pound (2dp)" xfId="45"/>
    <cellStyle name="Currency USD" xfId="46"/>
    <cellStyle name="Currency USD (2dp)" xfId="47"/>
    <cellStyle name="Date" xfId="48"/>
    <cellStyle name="Date (Month)" xfId="49"/>
    <cellStyle name="Date (Year)" xfId="50"/>
    <cellStyle name="En tête 1" xfId="187"/>
    <cellStyle name="En tête 2" xfId="188"/>
    <cellStyle name="En tête 3" xfId="189"/>
    <cellStyle name="Encabezado 1" xfId="58" builtinId="16" customBuiltin="1"/>
    <cellStyle name="Encabezado 4" xfId="61" builtinId="19" customBuiltin="1"/>
    <cellStyle name="Énfasis1" xfId="19" builtinId="29" customBuiltin="1"/>
    <cellStyle name="Énfasis2" xfId="20" builtinId="33" customBuiltin="1"/>
    <cellStyle name="Énfasis3" xfId="21" builtinId="37" customBuiltin="1"/>
    <cellStyle name="Énfasis4" xfId="22" builtinId="41" customBuiltin="1"/>
    <cellStyle name="Énfasis5" xfId="23" builtinId="45" customBuiltin="1"/>
    <cellStyle name="Énfasis6" xfId="24" builtinId="49" customBuiltin="1"/>
    <cellStyle name="En-têt - Style3" xfId="190"/>
    <cellStyle name="En-tête 1" xfId="191"/>
    <cellStyle name="Entrada" xfId="63" builtinId="20" customBuiltin="1"/>
    <cellStyle name="Euro" xfId="154"/>
    <cellStyle name="FG 0" xfId="192"/>
    <cellStyle name="FG 1" xfId="193"/>
    <cellStyle name="FG 2" xfId="194"/>
    <cellStyle name="FGI 0" xfId="195"/>
    <cellStyle name="FGI 1" xfId="196"/>
    <cellStyle name="FGI 2" xfId="197"/>
    <cellStyle name="FI 0" xfId="198"/>
    <cellStyle name="FI 1" xfId="199"/>
    <cellStyle name="FI 2" xfId="200"/>
    <cellStyle name="Financ - Style1" xfId="201"/>
    <cellStyle name="Financ - Style2" xfId="202"/>
    <cellStyle name="Financier" xfId="203"/>
    <cellStyle name="Financier 0" xfId="204"/>
    <cellStyle name="Financier 1" xfId="205"/>
    <cellStyle name="Financier 2" xfId="206"/>
    <cellStyle name="Financier0" xfId="207"/>
    <cellStyle name="H0" xfId="53"/>
    <cellStyle name="H1" xfId="54"/>
    <cellStyle name="H2" xfId="55"/>
    <cellStyle name="H3" xfId="56"/>
    <cellStyle name="H4" xfId="57"/>
    <cellStyle name="Highlight" xfId="62"/>
    <cellStyle name="Hipervínculo" xfId="328" builtinId="8"/>
    <cellStyle name="Incorrecto" xfId="25" builtinId="27" customBuiltin="1"/>
    <cellStyle name="Input calculation" xfId="64"/>
    <cellStyle name="Input data" xfId="65"/>
    <cellStyle name="Input estimate" xfId="66"/>
    <cellStyle name="Input link" xfId="67"/>
    <cellStyle name="Input link (different workbook)" xfId="68"/>
    <cellStyle name="Input parameter" xfId="69"/>
    <cellStyle name="Millares" xfId="327" builtinId="3"/>
    <cellStyle name="Milliers 2" xfId="155"/>
    <cellStyle name="Milliers 2 2" xfId="254"/>
    <cellStyle name="Milliers 3" xfId="167"/>
    <cellStyle name="Milliers 4" xfId="170"/>
    <cellStyle name="Milliers 5" xfId="255"/>
    <cellStyle name="Mois" xfId="208"/>
    <cellStyle name="Moneda" xfId="33" builtinId="4"/>
    <cellStyle name="Name" xfId="71"/>
    <cellStyle name="Neutral" xfId="72" builtinId="28" customBuiltin="1"/>
    <cellStyle name="Normal" xfId="0" builtinId="0"/>
    <cellStyle name="Normal 10" xfId="146"/>
    <cellStyle name="Normal 2" xfId="151"/>
    <cellStyle name="Normal 2 2" xfId="257"/>
    <cellStyle name="Normal 2 2 2" xfId="284"/>
    <cellStyle name="Normal 2 3" xfId="260"/>
    <cellStyle name="Normal 3" xfId="153"/>
    <cellStyle name="Normal 4" xfId="156"/>
    <cellStyle name="Normal 4 2" xfId="168"/>
    <cellStyle name="Normal 4 2 2" xfId="169"/>
    <cellStyle name="Normal 4 2 3" xfId="251"/>
    <cellStyle name="Normal 4 3" xfId="250"/>
    <cellStyle name="Normal 4 4" xfId="252"/>
    <cellStyle name="Normal 5" xfId="158"/>
    <cellStyle name="Normal 6" xfId="160"/>
    <cellStyle name="Normal 7" xfId="163"/>
    <cellStyle name="Normal 8" xfId="165"/>
    <cellStyle name="Normal 9" xfId="249"/>
    <cellStyle name="Notas" xfId="73" builtinId="10" customBuiltin="1"/>
    <cellStyle name="Note 2" xfId="149"/>
    <cellStyle name="Number" xfId="74"/>
    <cellStyle name="Number (2dp)" xfId="75"/>
    <cellStyle name="Number (2dp) 2" xfId="283"/>
    <cellStyle name="Number (2dp) 3" xfId="114"/>
    <cellStyle name="Number (2dp) 4" xfId="336"/>
    <cellStyle name="Number 10" xfId="277"/>
    <cellStyle name="Number 11" xfId="259"/>
    <cellStyle name="Number 12" xfId="271"/>
    <cellStyle name="Number 13" xfId="137"/>
    <cellStyle name="Number 14" xfId="282"/>
    <cellStyle name="Number 15" xfId="262"/>
    <cellStyle name="Number 16" xfId="292"/>
    <cellStyle name="Number 17" xfId="289"/>
    <cellStyle name="Number 18" xfId="286"/>
    <cellStyle name="Number 19" xfId="113"/>
    <cellStyle name="Number 2" xfId="133"/>
    <cellStyle name="Number 20" xfId="97"/>
    <cellStyle name="Number 21" xfId="319"/>
    <cellStyle name="Number 22" xfId="93"/>
    <cellStyle name="Number 23" xfId="317"/>
    <cellStyle name="Number 24" xfId="297"/>
    <cellStyle name="Number 25" xfId="302"/>
    <cellStyle name="Number 26" xfId="96"/>
    <cellStyle name="Number 27" xfId="301"/>
    <cellStyle name="Number 28" xfId="322"/>
    <cellStyle name="Number 29" xfId="312"/>
    <cellStyle name="Number 3" xfId="130"/>
    <cellStyle name="Number 30" xfId="313"/>
    <cellStyle name="Number 31" xfId="103"/>
    <cellStyle name="Number 32" xfId="314"/>
    <cellStyle name="Number 33" xfId="105"/>
    <cellStyle name="Number 34" xfId="315"/>
    <cellStyle name="Number 35" xfId="106"/>
    <cellStyle name="Number 36" xfId="117"/>
    <cellStyle name="Number 37" xfId="104"/>
    <cellStyle name="Number 38" xfId="310"/>
    <cellStyle name="Number 39" xfId="298"/>
    <cellStyle name="Number 4" xfId="276"/>
    <cellStyle name="Number 40" xfId="324"/>
    <cellStyle name="Number 41" xfId="305"/>
    <cellStyle name="Number 42" xfId="316"/>
    <cellStyle name="Number 43" xfId="320"/>
    <cellStyle name="Number 44" xfId="296"/>
    <cellStyle name="Number 45" xfId="307"/>
    <cellStyle name="Number 46" xfId="118"/>
    <cellStyle name="Number 47" xfId="110"/>
    <cellStyle name="Number 48" xfId="303"/>
    <cellStyle name="Number 49" xfId="323"/>
    <cellStyle name="Number 5" xfId="258"/>
    <cellStyle name="Number 50" xfId="100"/>
    <cellStyle name="Number 51" xfId="102"/>
    <cellStyle name="Number 52" xfId="306"/>
    <cellStyle name="Number 53" xfId="94"/>
    <cellStyle name="Number 54" xfId="116"/>
    <cellStyle name="Number 55" xfId="318"/>
    <cellStyle name="Number 56" xfId="115"/>
    <cellStyle name="Number 57" xfId="111"/>
    <cellStyle name="Number 58" xfId="109"/>
    <cellStyle name="Number 59" xfId="304"/>
    <cellStyle name="Number 6" xfId="139"/>
    <cellStyle name="Number 60" xfId="300"/>
    <cellStyle name="Number 61" xfId="299"/>
    <cellStyle name="Number 62" xfId="119"/>
    <cellStyle name="Number 63" xfId="95"/>
    <cellStyle name="Number 64" xfId="98"/>
    <cellStyle name="Number 65" xfId="120"/>
    <cellStyle name="Number 66" xfId="308"/>
    <cellStyle name="Number 67" xfId="321"/>
    <cellStyle name="Number 68" xfId="309"/>
    <cellStyle name="Number 69" xfId="107"/>
    <cellStyle name="Number 7" xfId="144"/>
    <cellStyle name="Number 70" xfId="99"/>
    <cellStyle name="Number 71" xfId="108"/>
    <cellStyle name="Number 72" xfId="101"/>
    <cellStyle name="Number 73" xfId="311"/>
    <cellStyle name="Number 74" xfId="325"/>
    <cellStyle name="Number 75" xfId="112"/>
    <cellStyle name="Number 76" xfId="326"/>
    <cellStyle name="Number 77" xfId="335"/>
    <cellStyle name="Number 78" xfId="331"/>
    <cellStyle name="Number 79" xfId="338"/>
    <cellStyle name="Number 8" xfId="261"/>
    <cellStyle name="Number 80" xfId="334"/>
    <cellStyle name="Number 81" xfId="329"/>
    <cellStyle name="Number 82" xfId="342"/>
    <cellStyle name="Number 83" xfId="343"/>
    <cellStyle name="Number 9" xfId="131"/>
    <cellStyle name="Output 2" xfId="147"/>
    <cellStyle name="Percent 2" xfId="162"/>
    <cellStyle name="Percent 3" xfId="287"/>
    <cellStyle name="Percent 4" xfId="294"/>
    <cellStyle name="Percentage" xfId="77"/>
    <cellStyle name="Percentage (2dp)" xfId="78"/>
    <cellStyle name="Percentage (2dp) 2" xfId="135"/>
    <cellStyle name="Percentage 10" xfId="278"/>
    <cellStyle name="Percentage 11" xfId="267"/>
    <cellStyle name="Percentage 12" xfId="268"/>
    <cellStyle name="Percentage 13" xfId="132"/>
    <cellStyle name="Percentage 14" xfId="264"/>
    <cellStyle name="Percentage 15" xfId="274"/>
    <cellStyle name="Percentage 16" xfId="291"/>
    <cellStyle name="Percentage 17" xfId="288"/>
    <cellStyle name="Percentage 18" xfId="293"/>
    <cellStyle name="Percentage 19" xfId="337"/>
    <cellStyle name="Percentage 2" xfId="134"/>
    <cellStyle name="Percentage 20" xfId="330"/>
    <cellStyle name="Percentage 21" xfId="341"/>
    <cellStyle name="Percentage 22" xfId="332"/>
    <cellStyle name="Percentage 23" xfId="340"/>
    <cellStyle name="Percentage 24" xfId="333"/>
    <cellStyle name="Percentage 25" xfId="339"/>
    <cellStyle name="Percentage 3" xfId="129"/>
    <cellStyle name="Percentage 4" xfId="275"/>
    <cellStyle name="Percentage 5" xfId="143"/>
    <cellStyle name="Percentage 6" xfId="279"/>
    <cellStyle name="Percentage 7" xfId="266"/>
    <cellStyle name="Percentage 8" xfId="269"/>
    <cellStyle name="Percentage 9" xfId="141"/>
    <cellStyle name="Porcentaje" xfId="344" builtinId="5"/>
    <cellStyle name="Pourcentage 1" xfId="209"/>
    <cellStyle name="Pourcentage 2" xfId="157"/>
    <cellStyle name="Pourcentage 2 2" xfId="253"/>
    <cellStyle name="Pourcentage 3" xfId="159"/>
    <cellStyle name="Pourcentage 4" xfId="161"/>
    <cellStyle name="Pourcentage 5" xfId="166"/>
    <cellStyle name="Pourcentage 6" xfId="256"/>
    <cellStyle name="Pourcentage1" xfId="210"/>
    <cellStyle name="Row label" xfId="79"/>
    <cellStyle name="Row label (indent)" xfId="80"/>
    <cellStyle name="Salida" xfId="76" builtinId="21" customBuiltin="1"/>
    <cellStyle name="SAPBEXaggData" xfId="211"/>
    <cellStyle name="SAPBEXaggDataEmph" xfId="212"/>
    <cellStyle name="SAPBEXaggItem" xfId="213"/>
    <cellStyle name="SAPBEXaggItemX" xfId="214"/>
    <cellStyle name="SAPBEXchaText" xfId="215"/>
    <cellStyle name="SAPBEXexcBad7" xfId="216"/>
    <cellStyle name="SAPBEXexcBad8" xfId="217"/>
    <cellStyle name="SAPBEXexcBad9" xfId="218"/>
    <cellStyle name="SAPBEXexcCritical4" xfId="219"/>
    <cellStyle name="SAPBEXexcCritical5" xfId="220"/>
    <cellStyle name="SAPBEXexcCritical6" xfId="221"/>
    <cellStyle name="SAPBEXexcGood1" xfId="222"/>
    <cellStyle name="SAPBEXexcGood2" xfId="223"/>
    <cellStyle name="SAPBEXexcGood3" xfId="224"/>
    <cellStyle name="SAPBEXfilterDrill" xfId="225"/>
    <cellStyle name="SAPBEXfilterItem" xfId="226"/>
    <cellStyle name="SAPBEXfilterText" xfId="227"/>
    <cellStyle name="SAPBEXformats" xfId="228"/>
    <cellStyle name="SAPBEXheaderItem" xfId="229"/>
    <cellStyle name="SAPBEXheaderText" xfId="230"/>
    <cellStyle name="SAPBEXHLevel0" xfId="231"/>
    <cellStyle name="SAPBEXHLevel0X" xfId="232"/>
    <cellStyle name="SAPBEXHLevel1" xfId="233"/>
    <cellStyle name="SAPBEXHLevel1X" xfId="234"/>
    <cellStyle name="SAPBEXHLevel2" xfId="235"/>
    <cellStyle name="SAPBEXHLevel2X" xfId="236"/>
    <cellStyle name="SAPBEXHLevel3" xfId="237"/>
    <cellStyle name="SAPBEXHLevel3X" xfId="238"/>
    <cellStyle name="SAPBEXresData" xfId="239"/>
    <cellStyle name="SAPBEXresDataEmph" xfId="240"/>
    <cellStyle name="SAPBEXresItem" xfId="241"/>
    <cellStyle name="SAPBEXresItemX" xfId="242"/>
    <cellStyle name="SAPBEXstdData" xfId="243"/>
    <cellStyle name="SAPBEXstdDataEmph" xfId="244"/>
    <cellStyle name="SAPBEXstdItem" xfId="245"/>
    <cellStyle name="SAPBEXstdItemX" xfId="246"/>
    <cellStyle name="SAPBEXtitle" xfId="247"/>
    <cellStyle name="SAPBEXundefined" xfId="248"/>
    <cellStyle name="Style 1" xfId="152"/>
    <cellStyle name="Sub-total row" xfId="81"/>
    <cellStyle name="Table finish row" xfId="82"/>
    <cellStyle name="Table shading" xfId="83"/>
    <cellStyle name="Table unfinish row" xfId="84"/>
    <cellStyle name="Table unshading" xfId="85"/>
    <cellStyle name="Text" xfId="86"/>
    <cellStyle name="Texto de advertencia" xfId="92" builtinId="11" customBuiltin="1"/>
    <cellStyle name="Texto explicativo" xfId="51" builtinId="53" customBuiltin="1"/>
    <cellStyle name="Título" xfId="87" builtinId="15" customBuiltin="1"/>
    <cellStyle name="Título 2" xfId="59" builtinId="17" customBuiltin="1"/>
    <cellStyle name="Título 3" xfId="60" builtinId="18" customBuiltin="1"/>
    <cellStyle name="Total" xfId="88" builtinId="25" customBuiltin="1"/>
    <cellStyle name="Total 2" xfId="150"/>
    <cellStyle name="Total row" xfId="89"/>
    <cellStyle name="Unhighlight" xfId="90"/>
    <cellStyle name="Untotal row" xfId="91"/>
  </cellStyles>
  <dxfs count="16">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color theme="0" tint="-0.24994659260841701"/>
      </font>
      <fill>
        <patternFill>
          <bgColor theme="0" tint="-0.34998626667073579"/>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condense val="0"/>
        <extend val="0"/>
        <color indexed="13"/>
      </font>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8080"/>
      <rgbColor rgb="00BFDCF9"/>
      <rgbColor rgb="00C00000"/>
      <rgbColor rgb="00008000"/>
      <rgbColor rgb="000000C0"/>
      <rgbColor rgb="00808000"/>
      <rgbColor rgb="00FF00FF"/>
      <rgbColor rgb="000060C0"/>
      <rgbColor rgb="00E0E0E0"/>
      <rgbColor rgb="00A0A0A0"/>
      <rgbColor rgb="00DDB9D8"/>
      <rgbColor rgb="00CDDCEF"/>
      <rgbColor rgb="00A6BEDA"/>
      <rgbColor rgb="00F6DCC2"/>
      <rgbColor rgb="00EFC2C1"/>
      <rgbColor rgb="00DBD7DB"/>
      <rgbColor rgb="00C2CAAA"/>
      <rgbColor rgb="00F5EEB9"/>
      <rgbColor rgb="00A670A1"/>
      <rgbColor rgb="0099CEFF"/>
      <rgbColor rgb="0000679A"/>
      <rgbColor rgb="00ECB088"/>
      <rgbColor rgb="00ED7F7F"/>
      <rgbColor rgb="00A79FAF"/>
      <rgbColor rgb="0049BB3D"/>
      <rgbColor rgb="00E3DE15"/>
      <rgbColor rgb="00C0C0FF"/>
      <rgbColor rgb="00CCECFF"/>
      <rgbColor rgb="00D0FFD0"/>
      <rgbColor rgb="00FFFFA0"/>
      <rgbColor rgb="00E0E0FF"/>
      <rgbColor rgb="00FFC0C0"/>
      <rgbColor rgb="00FFC0FF"/>
      <rgbColor rgb="00FFF1C9"/>
      <rgbColor rgb="008080FF"/>
      <rgbColor rgb="000080FF"/>
      <rgbColor rgb="00C0C000"/>
      <rgbColor rgb="00FFE0A0"/>
      <rgbColor rgb="00FF8000"/>
      <rgbColor rgb="00C06000"/>
      <rgbColor rgb="00C000C0"/>
      <rgbColor rgb="00C0C0C0"/>
      <rgbColor rgb="00003A47"/>
      <rgbColor rgb="0000C000"/>
      <rgbColor rgb="00006000"/>
      <rgbColor rgb="00606000"/>
      <rgbColor rgb="00804000"/>
      <rgbColor rgb="00FF80FF"/>
      <rgbColor rgb="00800080"/>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3</xdr:row>
      <xdr:rowOff>0</xdr:rowOff>
    </xdr:from>
    <xdr:to>
      <xdr:col>12</xdr:col>
      <xdr:colOff>9525</xdr:colOff>
      <xdr:row>5</xdr:row>
      <xdr:rowOff>9525</xdr:rowOff>
    </xdr:to>
    <xdr:pic>
      <xdr:nvPicPr>
        <xdr:cNvPr id="4" name="Imagen 3" descr="Las celdas bajo la imagn muestran los datos de capex correspondiente a los activos considerados en el modelo" title="Capex "/>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91050" y="733425"/>
          <a:ext cx="7229475"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3</xdr:row>
      <xdr:rowOff>0</xdr:rowOff>
    </xdr:from>
    <xdr:to>
      <xdr:col>20</xdr:col>
      <xdr:colOff>9525</xdr:colOff>
      <xdr:row>5</xdr:row>
      <xdr:rowOff>9525</xdr:rowOff>
    </xdr:to>
    <xdr:pic>
      <xdr:nvPicPr>
        <xdr:cNvPr id="5" name="Imagen 4" descr="Las celdas bajo la imagn muestran los datos de opex correspondiente a los activos considerados en el modelo" title="Opex"/>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268200" y="733425"/>
          <a:ext cx="9372600"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0</xdr:colOff>
      <xdr:row>3</xdr:row>
      <xdr:rowOff>0</xdr:rowOff>
    </xdr:from>
    <xdr:to>
      <xdr:col>25</xdr:col>
      <xdr:colOff>9525</xdr:colOff>
      <xdr:row>5</xdr:row>
      <xdr:rowOff>9525</xdr:rowOff>
    </xdr:to>
    <xdr:pic>
      <xdr:nvPicPr>
        <xdr:cNvPr id="6" name="Imagen 5" descr="Las celdas bajo la imagn muestran los datos de vida útil correspondiente a los activos considerados en el modelo" title="Vida Útil"/>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193250" y="733425"/>
          <a:ext cx="3400425"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23</xdr:col>
      <xdr:colOff>0</xdr:colOff>
      <xdr:row>2</xdr:row>
      <xdr:rowOff>0</xdr:rowOff>
    </xdr:from>
    <xdr:to>
      <xdr:col>26</xdr:col>
      <xdr:colOff>9525</xdr:colOff>
      <xdr:row>4</xdr:row>
      <xdr:rowOff>9525</xdr:rowOff>
    </xdr:to>
    <xdr:pic>
      <xdr:nvPicPr>
        <xdr:cNvPr id="2" name="Imagen 1" descr="Bajo la imagen se muestra los cálculos de los gastos anuales de cada activo considerado en el modelo, incluyendo los datos de capex, opex y las estimaciones de costos overhead" title="Costos totales incluyendo overhead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35575" y="581025"/>
          <a:ext cx="2552700"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11906</xdr:colOff>
      <xdr:row>2</xdr:row>
      <xdr:rowOff>0</xdr:rowOff>
    </xdr:from>
    <xdr:to>
      <xdr:col>22</xdr:col>
      <xdr:colOff>21431</xdr:colOff>
      <xdr:row>4</xdr:row>
      <xdr:rowOff>9525</xdr:rowOff>
    </xdr:to>
    <xdr:pic>
      <xdr:nvPicPr>
        <xdr:cNvPr id="3" name="Imagen 2" descr="Las celdas bajo la imagn muestran los datos de opex correspondiente a los activos considerados en el modelo" title="Opex"/>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108781" y="583406"/>
          <a:ext cx="4629150" cy="319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xdr:row>
      <xdr:rowOff>0</xdr:rowOff>
    </xdr:from>
    <xdr:to>
      <xdr:col>16</xdr:col>
      <xdr:colOff>9525</xdr:colOff>
      <xdr:row>4</xdr:row>
      <xdr:rowOff>9525</xdr:rowOff>
    </xdr:to>
    <xdr:pic>
      <xdr:nvPicPr>
        <xdr:cNvPr id="4" name="Imagen 3" descr="Las celdas bajo la imagn muestran los datos de capex correspondiente a los activos considerados en el modelo" title="Capex"/>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05525" y="581025"/>
          <a:ext cx="6791325"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AnalysysMasonXL">
  <a:themeElements>
    <a:clrScheme name="AnalysysMasonXL">
      <a:dk1>
        <a:srgbClr val="003352"/>
      </a:dk1>
      <a:lt1>
        <a:srgbClr val="FFFFFF"/>
      </a:lt1>
      <a:dk2>
        <a:srgbClr val="003352"/>
      </a:dk2>
      <a:lt2>
        <a:srgbClr val="61586C"/>
      </a:lt2>
      <a:accent1>
        <a:srgbClr val="221F72"/>
      </a:accent1>
      <a:accent2>
        <a:srgbClr val="6762D4"/>
      </a:accent2>
      <a:accent3>
        <a:srgbClr val="A5A2E6"/>
      </a:accent3>
      <a:accent4>
        <a:srgbClr val="5A2149"/>
      </a:accent4>
      <a:accent5>
        <a:srgbClr val="9F3B80"/>
      </a:accent5>
      <a:accent6>
        <a:srgbClr val="D284BA"/>
      </a:accent6>
      <a:hlink>
        <a:srgbClr val="013352"/>
      </a:hlink>
      <a:folHlink>
        <a:srgbClr val="003352"/>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reamble1">
    <outlinePr summaryBelow="0"/>
    <pageSetUpPr autoPageBreaks="0"/>
  </sheetPr>
  <dimension ref="A1:E16"/>
  <sheetViews>
    <sheetView defaultGridColor="0" colorId="22" zoomScaleNormal="95" zoomScaleSheetLayoutView="75" workbookViewId="0">
      <pane ySplit="16" topLeftCell="A17" activePane="bottomLeft" state="frozen"/>
      <selection pane="bottomLeft"/>
    </sheetView>
  </sheetViews>
  <sheetFormatPr baseColWidth="10" defaultColWidth="12.7109375" defaultRowHeight="12" x14ac:dyDescent="0.2"/>
  <cols>
    <col min="1" max="4" width="16.7109375" style="63" customWidth="1"/>
    <col min="5" max="5" width="62.7109375" style="63" customWidth="1"/>
  </cols>
  <sheetData>
    <row r="1" spans="1:5" s="76" customFormat="1" ht="33.75" customHeight="1" x14ac:dyDescent="0.2">
      <c r="C1" s="77" t="str">
        <f>Workbook.Title</f>
        <v>Modelo de costos coubicacion fija - modelo de consulta</v>
      </c>
    </row>
    <row r="2" spans="1:5" s="80" customFormat="1" ht="12" customHeight="1" x14ac:dyDescent="0.2"/>
    <row r="3" spans="1:5" s="2" customFormat="1" ht="18" x14ac:dyDescent="0.25">
      <c r="A3" s="58" t="s">
        <v>107</v>
      </c>
      <c r="C3"/>
    </row>
    <row r="4" spans="1:5" ht="6" customHeight="1" x14ac:dyDescent="0.2">
      <c r="A4"/>
      <c r="B4"/>
      <c r="C4"/>
      <c r="D4"/>
      <c r="E4"/>
    </row>
    <row r="5" spans="1:5" x14ac:dyDescent="0.2">
      <c r="A5" s="59" t="s">
        <v>105</v>
      </c>
      <c r="B5" s="73" t="s">
        <v>817</v>
      </c>
      <c r="C5"/>
      <c r="D5"/>
      <c r="E5"/>
    </row>
    <row r="6" spans="1:5" x14ac:dyDescent="0.2">
      <c r="A6" s="59" t="s">
        <v>104</v>
      </c>
      <c r="B6" s="73" t="s">
        <v>609</v>
      </c>
      <c r="C6"/>
      <c r="D6"/>
      <c r="E6"/>
    </row>
    <row r="7" spans="1:5" x14ac:dyDescent="0.2">
      <c r="A7"/>
      <c r="B7"/>
      <c r="C7"/>
      <c r="D7"/>
      <c r="E7"/>
    </row>
    <row r="8" spans="1:5" x14ac:dyDescent="0.2">
      <c r="A8" s="59" t="s">
        <v>103</v>
      </c>
      <c r="B8" s="63" t="s">
        <v>818</v>
      </c>
      <c r="C8"/>
      <c r="D8"/>
      <c r="E8"/>
    </row>
    <row r="9" spans="1:5" x14ac:dyDescent="0.2">
      <c r="A9" s="59" t="s">
        <v>0</v>
      </c>
      <c r="B9" s="63" t="s">
        <v>110</v>
      </c>
      <c r="C9"/>
      <c r="D9"/>
      <c r="E9"/>
    </row>
    <row r="10" spans="1:5" hidden="1" x14ac:dyDescent="0.2">
      <c r="A10" s="59"/>
      <c r="B10" s="63" t="s">
        <v>109</v>
      </c>
      <c r="C10"/>
      <c r="D10"/>
      <c r="E10"/>
    </row>
    <row r="11" spans="1:5" hidden="1" x14ac:dyDescent="0.2">
      <c r="A11" s="59"/>
      <c r="B11" s="63" t="s">
        <v>108</v>
      </c>
      <c r="C11"/>
      <c r="D11"/>
      <c r="E11"/>
    </row>
    <row r="12" spans="1:5" hidden="1" x14ac:dyDescent="0.2">
      <c r="A12" s="59"/>
      <c r="B12" s="63" t="s">
        <v>130</v>
      </c>
      <c r="C12"/>
      <c r="D12"/>
      <c r="E12"/>
    </row>
    <row r="13" spans="1:5" hidden="1" x14ac:dyDescent="0.2">
      <c r="A13" s="59"/>
      <c r="B13" s="63" t="s">
        <v>110</v>
      </c>
      <c r="C13"/>
      <c r="D13"/>
      <c r="E13"/>
    </row>
    <row r="14" spans="1:5" x14ac:dyDescent="0.2">
      <c r="A14" s="59" t="s">
        <v>106</v>
      </c>
      <c r="B14" s="63" t="s">
        <v>823</v>
      </c>
      <c r="C14"/>
      <c r="D14"/>
      <c r="E14"/>
    </row>
    <row r="15" spans="1:5" x14ac:dyDescent="0.2">
      <c r="A15" s="59" t="s">
        <v>111</v>
      </c>
      <c r="B15" s="312"/>
      <c r="C15"/>
      <c r="D15"/>
      <c r="E15"/>
    </row>
    <row r="16" spans="1:5" x14ac:dyDescent="0.2">
      <c r="A16"/>
      <c r="B16"/>
      <c r="C16"/>
      <c r="D16"/>
      <c r="E16"/>
    </row>
  </sheetData>
  <phoneticPr fontId="0" type="noConversion"/>
  <dataValidations count="1">
    <dataValidation type="list" allowBlank="1" sqref="B9">
      <formula1>$B$10:$B$13</formula1>
    </dataValidation>
  </dataValidations>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oddFooter xml:space="preserve">&amp;L&amp;F : &amp;A&amp;CPrinted at &amp;T on &amp;D&amp;RCommercial in confidence © Analysys Mason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reamble3">
    <outlinePr summaryBelow="0"/>
    <pageSetUpPr autoPageBreaks="0" fitToPage="1"/>
  </sheetPr>
  <dimension ref="A1:M141"/>
  <sheetViews>
    <sheetView defaultGridColor="0" colorId="22" zoomScale="80" zoomScaleNormal="80" workbookViewId="0">
      <pane ySplit="1" topLeftCell="A2" activePane="bottomLeft" state="frozen"/>
      <selection pane="bottomLeft"/>
    </sheetView>
  </sheetViews>
  <sheetFormatPr baseColWidth="10" defaultColWidth="12.7109375" defaultRowHeight="12" x14ac:dyDescent="0.2"/>
  <cols>
    <col min="1" max="1" width="2.7109375" customWidth="1"/>
    <col min="2" max="2" width="26.7109375" customWidth="1"/>
  </cols>
  <sheetData>
    <row r="1" spans="1:13" s="74" customFormat="1" ht="33.75" customHeight="1" x14ac:dyDescent="0.2">
      <c r="C1" s="78" t="s">
        <v>32</v>
      </c>
    </row>
    <row r="2" spans="1:13" s="56" customFormat="1" ht="12" customHeight="1" x14ac:dyDescent="0.2"/>
    <row r="3" spans="1:13" x14ac:dyDescent="0.2">
      <c r="A3" s="24" t="s">
        <v>101</v>
      </c>
    </row>
    <row r="4" spans="1:13" x14ac:dyDescent="0.2">
      <c r="A4" s="46" t="s">
        <v>98</v>
      </c>
    </row>
    <row r="6" spans="1:13" ht="18" x14ac:dyDescent="0.2">
      <c r="A6" s="8" t="s">
        <v>88</v>
      </c>
    </row>
    <row r="7" spans="1:13" x14ac:dyDescent="0.2">
      <c r="A7" s="45" t="s">
        <v>89</v>
      </c>
      <c r="B7" s="44"/>
      <c r="C7" s="44"/>
      <c r="D7" s="44"/>
      <c r="E7" s="44"/>
    </row>
    <row r="8" spans="1:13" x14ac:dyDescent="0.2">
      <c r="A8" s="24" t="s">
        <v>43</v>
      </c>
    </row>
    <row r="10" spans="1:13" x14ac:dyDescent="0.2">
      <c r="B10" s="55" t="s">
        <v>23</v>
      </c>
      <c r="C10" s="9">
        <v>100</v>
      </c>
      <c r="D10" s="24" t="s">
        <v>2</v>
      </c>
      <c r="E10" t="s">
        <v>55</v>
      </c>
    </row>
    <row r="12" spans="1:13" x14ac:dyDescent="0.2">
      <c r="B12" s="5" t="s">
        <v>23</v>
      </c>
      <c r="C12" s="9">
        <v>250</v>
      </c>
      <c r="D12" s="24" t="s">
        <v>2</v>
      </c>
      <c r="E12" s="51" t="s">
        <v>73</v>
      </c>
      <c r="F12" s="51"/>
      <c r="G12" s="51"/>
      <c r="H12" s="51"/>
      <c r="I12" s="51"/>
      <c r="J12" s="51"/>
      <c r="K12" s="51"/>
    </row>
    <row r="13" spans="1:13" hidden="1" x14ac:dyDescent="0.2">
      <c r="B13" s="4" t="s">
        <v>75</v>
      </c>
      <c r="C13" s="3">
        <v>100</v>
      </c>
    </row>
    <row r="14" spans="1:13" hidden="1" x14ac:dyDescent="0.2">
      <c r="B14" s="4" t="s">
        <v>76</v>
      </c>
      <c r="C14" s="3">
        <v>300</v>
      </c>
    </row>
    <row r="16" spans="1:13" x14ac:dyDescent="0.2">
      <c r="B16" s="5" t="s">
        <v>23</v>
      </c>
      <c r="C16" s="9">
        <v>300</v>
      </c>
      <c r="D16" s="24" t="s">
        <v>2</v>
      </c>
      <c r="E16" s="51" t="s">
        <v>77</v>
      </c>
      <c r="F16" s="51"/>
      <c r="G16" s="51"/>
      <c r="H16" s="51"/>
      <c r="I16" s="51"/>
      <c r="J16" s="51"/>
      <c r="K16" s="51"/>
      <c r="L16" s="51"/>
      <c r="M16" s="51"/>
    </row>
    <row r="17" spans="1:5" hidden="1" x14ac:dyDescent="0.2">
      <c r="B17" s="4" t="s">
        <v>74</v>
      </c>
      <c r="C17" s="3">
        <v>100</v>
      </c>
    </row>
    <row r="18" spans="1:5" hidden="1" x14ac:dyDescent="0.2">
      <c r="C18" s="3">
        <v>200</v>
      </c>
    </row>
    <row r="19" spans="1:5" hidden="1" x14ac:dyDescent="0.2">
      <c r="C19" s="3">
        <v>300</v>
      </c>
    </row>
    <row r="21" spans="1:5" x14ac:dyDescent="0.2">
      <c r="B21" s="5" t="s">
        <v>24</v>
      </c>
      <c r="C21" s="11">
        <v>100</v>
      </c>
      <c r="D21" s="24" t="s">
        <v>2</v>
      </c>
      <c r="E21" t="s">
        <v>54</v>
      </c>
    </row>
    <row r="23" spans="1:5" x14ac:dyDescent="0.2">
      <c r="B23" s="5" t="s">
        <v>83</v>
      </c>
      <c r="C23" s="54">
        <v>100</v>
      </c>
      <c r="D23" s="24" t="s">
        <v>2</v>
      </c>
      <c r="E23" t="s">
        <v>84</v>
      </c>
    </row>
    <row r="25" spans="1:5" x14ac:dyDescent="0.2">
      <c r="B25" s="5" t="s">
        <v>25</v>
      </c>
      <c r="C25" s="10">
        <v>100</v>
      </c>
      <c r="D25" s="24" t="s">
        <v>3</v>
      </c>
      <c r="E25" t="s">
        <v>58</v>
      </c>
    </row>
    <row r="27" spans="1:5" x14ac:dyDescent="0.2">
      <c r="B27" s="5" t="s">
        <v>26</v>
      </c>
      <c r="C27" s="12">
        <v>100</v>
      </c>
      <c r="D27" s="24" t="s">
        <v>3</v>
      </c>
      <c r="E27" t="s">
        <v>119</v>
      </c>
    </row>
    <row r="29" spans="1:5" x14ac:dyDescent="0.2">
      <c r="B29" s="5" t="s">
        <v>116</v>
      </c>
      <c r="C29" s="64">
        <v>100</v>
      </c>
      <c r="D29" s="24" t="s">
        <v>3</v>
      </c>
      <c r="E29" t="s">
        <v>117</v>
      </c>
    </row>
    <row r="31" spans="1:5" ht="18" x14ac:dyDescent="0.2">
      <c r="A31" s="8" t="s">
        <v>90</v>
      </c>
    </row>
    <row r="32" spans="1:5" x14ac:dyDescent="0.2">
      <c r="A32" s="45" t="s">
        <v>91</v>
      </c>
      <c r="B32" s="44"/>
      <c r="C32" s="44"/>
      <c r="D32" s="44"/>
      <c r="E32" s="44"/>
    </row>
    <row r="33" spans="1:11" x14ac:dyDescent="0.2">
      <c r="A33" s="24" t="s">
        <v>49</v>
      </c>
    </row>
    <row r="35" spans="1:11" x14ac:dyDescent="0.2">
      <c r="B35" s="5" t="s">
        <v>4</v>
      </c>
      <c r="C35" s="13">
        <v>100</v>
      </c>
      <c r="D35" s="24" t="s">
        <v>3</v>
      </c>
      <c r="E35" t="s">
        <v>53</v>
      </c>
    </row>
    <row r="36" spans="1:11" x14ac:dyDescent="0.2">
      <c r="C36" s="13"/>
    </row>
    <row r="37" spans="1:11" x14ac:dyDescent="0.2">
      <c r="B37" s="5" t="s">
        <v>97</v>
      </c>
      <c r="C37" s="69">
        <v>123.45</v>
      </c>
      <c r="E37" t="s">
        <v>57</v>
      </c>
    </row>
    <row r="39" spans="1:11" x14ac:dyDescent="0.2">
      <c r="B39" s="5" t="s">
        <v>118</v>
      </c>
      <c r="C39" s="65">
        <v>0</v>
      </c>
      <c r="D39" s="24" t="s">
        <v>3</v>
      </c>
      <c r="E39" t="s">
        <v>56</v>
      </c>
      <c r="F39" s="51"/>
      <c r="G39" s="51"/>
      <c r="H39" s="51"/>
      <c r="I39" s="51"/>
      <c r="J39" s="51"/>
      <c r="K39" s="51"/>
    </row>
    <row r="41" spans="1:11" x14ac:dyDescent="0.2">
      <c r="B41" s="5" t="s">
        <v>118</v>
      </c>
      <c r="C41" s="65">
        <v>0.1</v>
      </c>
      <c r="D41" s="24" t="s">
        <v>3</v>
      </c>
      <c r="E41" s="51" t="s">
        <v>87</v>
      </c>
      <c r="F41" s="51"/>
      <c r="G41" s="51"/>
      <c r="H41" s="51"/>
      <c r="I41" s="51"/>
      <c r="J41" s="51"/>
      <c r="K41" s="51"/>
    </row>
    <row r="43" spans="1:11" x14ac:dyDescent="0.2">
      <c r="B43" s="5" t="s">
        <v>5</v>
      </c>
      <c r="C43" s="14">
        <v>100</v>
      </c>
      <c r="E43" t="s">
        <v>14</v>
      </c>
    </row>
    <row r="45" spans="1:11" x14ac:dyDescent="0.2">
      <c r="B45" s="5" t="s">
        <v>33</v>
      </c>
      <c r="C45" s="40" t="s">
        <v>33</v>
      </c>
      <c r="D45" s="24" t="s">
        <v>3</v>
      </c>
      <c r="E45" t="s">
        <v>62</v>
      </c>
    </row>
    <row r="47" spans="1:11" x14ac:dyDescent="0.2">
      <c r="B47" s="5" t="s">
        <v>34</v>
      </c>
      <c r="C47" s="41" t="s">
        <v>34</v>
      </c>
      <c r="E47" t="s">
        <v>92</v>
      </c>
    </row>
    <row r="49" spans="1:10" x14ac:dyDescent="0.2">
      <c r="B49" s="5" t="s">
        <v>6</v>
      </c>
      <c r="C49" s="15">
        <v>100</v>
      </c>
      <c r="E49" t="s">
        <v>7</v>
      </c>
    </row>
    <row r="50" spans="1:10" x14ac:dyDescent="0.2">
      <c r="B50" s="5"/>
    </row>
    <row r="51" spans="1:10" x14ac:dyDescent="0.2">
      <c r="B51" s="5" t="s">
        <v>78</v>
      </c>
      <c r="C51" s="52">
        <v>100</v>
      </c>
      <c r="E51" t="s">
        <v>79</v>
      </c>
    </row>
    <row r="53" spans="1:10" ht="18" x14ac:dyDescent="0.2">
      <c r="A53" s="8" t="s">
        <v>45</v>
      </c>
    </row>
    <row r="54" spans="1:10" x14ac:dyDescent="0.2">
      <c r="A54" s="45" t="s">
        <v>51</v>
      </c>
      <c r="B54" s="44"/>
      <c r="C54" s="44"/>
      <c r="D54" s="44"/>
      <c r="E54" s="44"/>
    </row>
    <row r="55" spans="1:10" x14ac:dyDescent="0.2">
      <c r="A55" s="24" t="s">
        <v>80</v>
      </c>
    </row>
    <row r="56" spans="1:10" x14ac:dyDescent="0.2">
      <c r="A56" s="24" t="s">
        <v>82</v>
      </c>
    </row>
    <row r="58" spans="1:10" ht="24" x14ac:dyDescent="0.2">
      <c r="B58" s="1"/>
      <c r="C58" s="1" t="s">
        <v>9</v>
      </c>
      <c r="D58" s="1" t="s">
        <v>17</v>
      </c>
      <c r="E58" s="1" t="s">
        <v>11</v>
      </c>
      <c r="F58" s="1" t="s">
        <v>12</v>
      </c>
      <c r="G58" s="1" t="s">
        <v>10</v>
      </c>
      <c r="H58" s="1" t="s">
        <v>18</v>
      </c>
      <c r="I58" s="1" t="s">
        <v>15</v>
      </c>
      <c r="J58" s="1" t="s">
        <v>16</v>
      </c>
    </row>
    <row r="59" spans="1:10" x14ac:dyDescent="0.2">
      <c r="B59" s="5" t="s">
        <v>59</v>
      </c>
      <c r="C59" s="3">
        <v>1234.56</v>
      </c>
      <c r="D59" s="16">
        <v>123.45</v>
      </c>
      <c r="E59" s="49">
        <v>0.1234</v>
      </c>
      <c r="F59" s="50">
        <v>0.1234</v>
      </c>
      <c r="G59" s="17">
        <v>1234.56</v>
      </c>
      <c r="H59" s="18">
        <v>123.45</v>
      </c>
      <c r="I59" s="47">
        <v>1234.56</v>
      </c>
      <c r="J59" s="48">
        <v>0.1234</v>
      </c>
    </row>
    <row r="60" spans="1:10" x14ac:dyDescent="0.2">
      <c r="B60" s="5" t="s">
        <v>60</v>
      </c>
      <c r="C60" s="3">
        <v>-1234.56</v>
      </c>
      <c r="D60" s="16">
        <v>-123.45</v>
      </c>
      <c r="E60" s="49">
        <v>-0.1234</v>
      </c>
      <c r="F60" s="50">
        <v>-0.1234</v>
      </c>
      <c r="G60" s="17">
        <v>-1234.56</v>
      </c>
      <c r="H60" s="18">
        <v>-123.45</v>
      </c>
      <c r="I60" s="47">
        <v>-1234.56</v>
      </c>
      <c r="J60" s="48">
        <v>-0.1234</v>
      </c>
    </row>
    <row r="61" spans="1:10" x14ac:dyDescent="0.2">
      <c r="B61" s="5" t="s">
        <v>61</v>
      </c>
      <c r="C61" s="3">
        <v>0</v>
      </c>
      <c r="D61" s="16">
        <v>0</v>
      </c>
      <c r="E61" s="49">
        <v>0</v>
      </c>
      <c r="F61" s="50">
        <v>0</v>
      </c>
      <c r="G61" s="17">
        <v>0</v>
      </c>
      <c r="H61" s="18">
        <v>0</v>
      </c>
      <c r="I61" s="47">
        <v>0</v>
      </c>
      <c r="J61" s="48">
        <v>0</v>
      </c>
    </row>
    <row r="62" spans="1:10" ht="12.75" thickBot="1" x14ac:dyDescent="0.25">
      <c r="B62" s="5" t="s">
        <v>8</v>
      </c>
      <c r="C62" s="3" t="s">
        <v>8</v>
      </c>
      <c r="D62" s="16" t="s">
        <v>8</v>
      </c>
      <c r="E62" s="49" t="s">
        <v>8</v>
      </c>
      <c r="F62" s="50" t="s">
        <v>8</v>
      </c>
      <c r="G62" s="17" t="s">
        <v>8</v>
      </c>
      <c r="H62" s="18" t="s">
        <v>8</v>
      </c>
      <c r="I62" s="47" t="s">
        <v>8</v>
      </c>
      <c r="J62" s="48" t="s">
        <v>8</v>
      </c>
    </row>
    <row r="63" spans="1:10" x14ac:dyDescent="0.2">
      <c r="B63" s="39"/>
      <c r="C63" s="39"/>
      <c r="D63" s="39"/>
      <c r="E63" s="39"/>
      <c r="F63" s="39"/>
      <c r="G63" s="39"/>
      <c r="H63" s="39"/>
      <c r="I63" s="39"/>
      <c r="J63" s="39"/>
    </row>
    <row r="64" spans="1:10" ht="24" x14ac:dyDescent="0.2">
      <c r="B64" s="1"/>
      <c r="C64" s="1" t="s">
        <v>65</v>
      </c>
      <c r="D64" s="1" t="s">
        <v>66</v>
      </c>
      <c r="E64" s="1" t="s">
        <v>63</v>
      </c>
      <c r="F64" s="1" t="s">
        <v>64</v>
      </c>
    </row>
    <row r="65" spans="2:6" x14ac:dyDescent="0.2">
      <c r="B65" s="5" t="s">
        <v>59</v>
      </c>
      <c r="C65" s="21">
        <v>1234.56</v>
      </c>
      <c r="D65" s="22">
        <v>123.45</v>
      </c>
      <c r="E65" s="19">
        <v>1234.56</v>
      </c>
      <c r="F65" s="20">
        <v>123.45</v>
      </c>
    </row>
    <row r="66" spans="2:6" x14ac:dyDescent="0.2">
      <c r="B66" s="5" t="s">
        <v>60</v>
      </c>
      <c r="C66" s="21">
        <v>-1234.56</v>
      </c>
      <c r="D66" s="22">
        <v>-123.45</v>
      </c>
      <c r="E66" s="19">
        <v>-1234.56</v>
      </c>
      <c r="F66" s="20">
        <v>-123.45</v>
      </c>
    </row>
    <row r="67" spans="2:6" x14ac:dyDescent="0.2">
      <c r="B67" s="5" t="s">
        <v>61</v>
      </c>
      <c r="C67" s="21">
        <v>0</v>
      </c>
      <c r="D67" s="22">
        <v>0</v>
      </c>
      <c r="E67" s="19">
        <v>0</v>
      </c>
      <c r="F67" s="20">
        <v>0</v>
      </c>
    </row>
    <row r="68" spans="2:6" ht="12.75" thickBot="1" x14ac:dyDescent="0.25">
      <c r="B68" s="5" t="s">
        <v>8</v>
      </c>
      <c r="C68" s="21" t="s">
        <v>8</v>
      </c>
      <c r="D68" s="22" t="s">
        <v>8</v>
      </c>
      <c r="E68" s="19" t="s">
        <v>8</v>
      </c>
      <c r="F68" s="20" t="s">
        <v>8</v>
      </c>
    </row>
    <row r="69" spans="2:6" x14ac:dyDescent="0.2">
      <c r="B69" s="39"/>
      <c r="C69" s="39"/>
      <c r="D69" s="39"/>
      <c r="E69" s="39"/>
      <c r="F69" s="39"/>
    </row>
    <row r="70" spans="2:6" ht="24" x14ac:dyDescent="0.2">
      <c r="B70" s="1"/>
      <c r="C70" s="1" t="s">
        <v>67</v>
      </c>
      <c r="D70" s="1" t="s">
        <v>68</v>
      </c>
      <c r="E70" s="1" t="s">
        <v>20</v>
      </c>
      <c r="F70" s="1" t="s">
        <v>19</v>
      </c>
    </row>
    <row r="71" spans="2:6" x14ac:dyDescent="0.2">
      <c r="B71" s="5" t="s">
        <v>59</v>
      </c>
      <c r="C71" s="27">
        <v>1234.56</v>
      </c>
      <c r="D71" s="28">
        <v>123.45</v>
      </c>
      <c r="E71" s="25">
        <v>1234.56</v>
      </c>
      <c r="F71" s="26">
        <v>123.45</v>
      </c>
    </row>
    <row r="72" spans="2:6" x14ac:dyDescent="0.2">
      <c r="B72" s="5" t="s">
        <v>60</v>
      </c>
      <c r="C72" s="27">
        <v>-1234.56</v>
      </c>
      <c r="D72" s="28">
        <v>-123.45</v>
      </c>
      <c r="E72" s="25">
        <v>-1234.56</v>
      </c>
      <c r="F72" s="26">
        <v>-123.45</v>
      </c>
    </row>
    <row r="73" spans="2:6" x14ac:dyDescent="0.2">
      <c r="B73" s="5" t="s">
        <v>61</v>
      </c>
      <c r="C73" s="27">
        <v>0</v>
      </c>
      <c r="D73" s="28">
        <v>0</v>
      </c>
      <c r="E73" s="25">
        <v>0</v>
      </c>
      <c r="F73" s="26">
        <v>0</v>
      </c>
    </row>
    <row r="74" spans="2:6" ht="12.75" thickBot="1" x14ac:dyDescent="0.25">
      <c r="B74" s="5" t="s">
        <v>8</v>
      </c>
      <c r="C74" s="27" t="s">
        <v>8</v>
      </c>
      <c r="D74" s="28" t="s">
        <v>8</v>
      </c>
      <c r="E74" s="25" t="s">
        <v>8</v>
      </c>
      <c r="F74" s="26" t="s">
        <v>8</v>
      </c>
    </row>
    <row r="75" spans="2:6" x14ac:dyDescent="0.2">
      <c r="B75" s="39"/>
      <c r="C75" s="39"/>
      <c r="D75" s="39"/>
      <c r="E75" s="39"/>
      <c r="F75" s="39"/>
    </row>
    <row r="76" spans="2:6" ht="24" x14ac:dyDescent="0.2">
      <c r="B76" s="1"/>
      <c r="C76" s="1" t="s">
        <v>69</v>
      </c>
      <c r="D76" s="1" t="s">
        <v>70</v>
      </c>
      <c r="E76" s="1" t="s">
        <v>22</v>
      </c>
      <c r="F76" s="1" t="s">
        <v>21</v>
      </c>
    </row>
    <row r="77" spans="2:6" x14ac:dyDescent="0.2">
      <c r="B77" s="5" t="s">
        <v>59</v>
      </c>
      <c r="C77" s="31">
        <v>1234.56</v>
      </c>
      <c r="D77" s="32">
        <v>123.45</v>
      </c>
      <c r="E77" s="29">
        <v>1234.56</v>
      </c>
      <c r="F77" s="30">
        <v>123.45</v>
      </c>
    </row>
    <row r="78" spans="2:6" x14ac:dyDescent="0.2">
      <c r="B78" s="5" t="s">
        <v>60</v>
      </c>
      <c r="C78" s="31">
        <v>-1234.56</v>
      </c>
      <c r="D78" s="32">
        <v>-123.45</v>
      </c>
      <c r="E78" s="29">
        <v>-1234.56</v>
      </c>
      <c r="F78" s="30">
        <v>-123.45</v>
      </c>
    </row>
    <row r="79" spans="2:6" x14ac:dyDescent="0.2">
      <c r="B79" s="5" t="s">
        <v>61</v>
      </c>
      <c r="C79" s="31">
        <v>0</v>
      </c>
      <c r="D79" s="32">
        <v>0</v>
      </c>
      <c r="E79" s="29">
        <v>0</v>
      </c>
      <c r="F79" s="30">
        <v>0</v>
      </c>
    </row>
    <row r="80" spans="2:6" ht="12.75" thickBot="1" x14ac:dyDescent="0.25">
      <c r="B80" s="5" t="s">
        <v>8</v>
      </c>
      <c r="C80" s="31" t="s">
        <v>8</v>
      </c>
      <c r="D80" s="32" t="s">
        <v>8</v>
      </c>
      <c r="E80" s="29" t="s">
        <v>8</v>
      </c>
      <c r="F80" s="30" t="s">
        <v>8</v>
      </c>
    </row>
    <row r="81" spans="1:6" x14ac:dyDescent="0.2">
      <c r="B81" s="39"/>
      <c r="C81" s="39"/>
      <c r="D81" s="39"/>
      <c r="E81" s="39"/>
      <c r="F81" s="39"/>
    </row>
    <row r="82" spans="1:6" ht="24" x14ac:dyDescent="0.2">
      <c r="B82" s="1"/>
      <c r="C82" s="1" t="s">
        <v>13</v>
      </c>
      <c r="D82" s="1" t="s">
        <v>71</v>
      </c>
      <c r="E82" s="1" t="s">
        <v>72</v>
      </c>
    </row>
    <row r="83" spans="1:6" ht="12.75" thickBot="1" x14ac:dyDescent="0.25">
      <c r="B83" s="5" t="s">
        <v>13</v>
      </c>
      <c r="C83" s="23">
        <v>37591</v>
      </c>
      <c r="D83" s="71">
        <v>37591</v>
      </c>
      <c r="E83" s="33">
        <v>37591</v>
      </c>
    </row>
    <row r="84" spans="1:6" x14ac:dyDescent="0.2">
      <c r="B84" s="39"/>
      <c r="C84" s="39"/>
      <c r="D84" s="39"/>
      <c r="E84" s="39"/>
    </row>
    <row r="85" spans="1:6" ht="18" x14ac:dyDescent="0.2">
      <c r="A85" s="8" t="s">
        <v>86</v>
      </c>
    </row>
    <row r="86" spans="1:6" x14ac:dyDescent="0.2">
      <c r="A86" s="45" t="s">
        <v>85</v>
      </c>
      <c r="B86" s="44"/>
      <c r="C86" s="44"/>
      <c r="D86" s="44"/>
      <c r="E86" s="44"/>
    </row>
    <row r="87" spans="1:6" x14ac:dyDescent="0.2">
      <c r="A87" s="24" t="s">
        <v>44</v>
      </c>
    </row>
    <row r="89" spans="1:6" ht="23.25" x14ac:dyDescent="0.2">
      <c r="B89" s="42" t="s">
        <v>35</v>
      </c>
      <c r="C89" s="42" t="s">
        <v>47</v>
      </c>
      <c r="E89" t="s">
        <v>39</v>
      </c>
    </row>
    <row r="91" spans="1:6" ht="18" x14ac:dyDescent="0.2">
      <c r="B91" s="8" t="s">
        <v>36</v>
      </c>
      <c r="C91" s="8" t="s">
        <v>47</v>
      </c>
      <c r="E91" t="s">
        <v>40</v>
      </c>
    </row>
    <row r="93" spans="1:6" ht="15.75" x14ac:dyDescent="0.2">
      <c r="B93" s="35" t="s">
        <v>37</v>
      </c>
      <c r="C93" s="35" t="s">
        <v>47</v>
      </c>
      <c r="E93" t="s">
        <v>41</v>
      </c>
    </row>
    <row r="95" spans="1:6" x14ac:dyDescent="0.2">
      <c r="B95" s="34" t="s">
        <v>38</v>
      </c>
      <c r="C95" s="34" t="s">
        <v>47</v>
      </c>
      <c r="E95" t="s">
        <v>42</v>
      </c>
    </row>
    <row r="97" spans="1:7" ht="18" x14ac:dyDescent="0.2">
      <c r="A97" s="8" t="s">
        <v>46</v>
      </c>
    </row>
    <row r="98" spans="1:7" x14ac:dyDescent="0.2">
      <c r="A98" s="45" t="s">
        <v>52</v>
      </c>
      <c r="B98" s="44"/>
      <c r="C98" s="44"/>
      <c r="D98" s="44"/>
      <c r="E98" s="44"/>
    </row>
    <row r="99" spans="1:7" x14ac:dyDescent="0.2">
      <c r="A99" s="24" t="s">
        <v>49</v>
      </c>
    </row>
    <row r="101" spans="1:7" ht="15.75" x14ac:dyDescent="0.2">
      <c r="A101" s="35" t="s">
        <v>99</v>
      </c>
    </row>
    <row r="102" spans="1:7" x14ac:dyDescent="0.2">
      <c r="B102" s="66" t="s">
        <v>120</v>
      </c>
      <c r="C102" s="1" t="s">
        <v>115</v>
      </c>
      <c r="D102" s="1" t="s">
        <v>115</v>
      </c>
      <c r="E102" s="1" t="s">
        <v>115</v>
      </c>
      <c r="F102" s="1" t="s">
        <v>115</v>
      </c>
    </row>
    <row r="103" spans="1:7" x14ac:dyDescent="0.2">
      <c r="B103" s="5" t="s">
        <v>27</v>
      </c>
    </row>
    <row r="104" spans="1:7" x14ac:dyDescent="0.2">
      <c r="B104" s="5" t="s">
        <v>27</v>
      </c>
    </row>
    <row r="105" spans="1:7" ht="12.75" thickBot="1" x14ac:dyDescent="0.25">
      <c r="B105" s="5" t="s">
        <v>27</v>
      </c>
    </row>
    <row r="106" spans="1:7" x14ac:dyDescent="0.2">
      <c r="B106" s="39" t="s">
        <v>31</v>
      </c>
      <c r="C106" s="39"/>
      <c r="D106" s="39"/>
      <c r="E106" s="39"/>
      <c r="F106" s="39"/>
    </row>
    <row r="108" spans="1:7" ht="15.75" x14ac:dyDescent="0.2">
      <c r="A108" s="35" t="s">
        <v>100</v>
      </c>
    </row>
    <row r="109" spans="1:7" x14ac:dyDescent="0.2">
      <c r="B109" s="66"/>
      <c r="C109" s="70"/>
      <c r="D109" s="70" t="s">
        <v>129</v>
      </c>
      <c r="E109" s="70"/>
      <c r="F109" s="70" t="s">
        <v>129</v>
      </c>
      <c r="G109" s="70"/>
    </row>
    <row r="110" spans="1:7" ht="24" x14ac:dyDescent="0.2">
      <c r="B110" s="66" t="s">
        <v>120</v>
      </c>
      <c r="C110" s="67" t="s">
        <v>121</v>
      </c>
      <c r="D110" s="1" t="s">
        <v>115</v>
      </c>
      <c r="E110" s="1" t="s">
        <v>115</v>
      </c>
      <c r="F110" s="1" t="s">
        <v>115</v>
      </c>
      <c r="G110" s="1" t="s">
        <v>115</v>
      </c>
    </row>
    <row r="111" spans="1:7" x14ac:dyDescent="0.2">
      <c r="B111" s="5" t="s">
        <v>27</v>
      </c>
      <c r="D111" s="53" t="s">
        <v>81</v>
      </c>
      <c r="E111" s="53"/>
      <c r="F111" s="38" t="s">
        <v>48</v>
      </c>
      <c r="G111" s="38"/>
    </row>
    <row r="112" spans="1:7" ht="12.75" thickBot="1" x14ac:dyDescent="0.25">
      <c r="B112" s="4" t="s">
        <v>28</v>
      </c>
      <c r="D112" s="53"/>
      <c r="E112" s="53"/>
      <c r="F112" s="38"/>
      <c r="G112" s="38"/>
    </row>
    <row r="113" spans="1:9" ht="12.75" thickBot="1" x14ac:dyDescent="0.25">
      <c r="B113" s="7" t="s">
        <v>30</v>
      </c>
      <c r="C113" s="36"/>
      <c r="D113" s="36"/>
      <c r="E113" s="36"/>
      <c r="F113" s="60"/>
      <c r="G113" s="60"/>
    </row>
    <row r="114" spans="1:9" x14ac:dyDescent="0.2">
      <c r="B114" s="6" t="s">
        <v>29</v>
      </c>
      <c r="C114" s="37"/>
      <c r="D114" s="37"/>
      <c r="E114" s="37"/>
      <c r="F114" s="37"/>
      <c r="G114" s="37"/>
    </row>
    <row r="117" spans="1:9" ht="23.25" x14ac:dyDescent="0.2">
      <c r="A117" s="42" t="s">
        <v>50</v>
      </c>
    </row>
    <row r="118" spans="1:9" x14ac:dyDescent="0.2">
      <c r="A118" s="24" t="s">
        <v>113</v>
      </c>
    </row>
    <row r="120" spans="1:9" ht="15.75" x14ac:dyDescent="0.2">
      <c r="A120" s="35" t="s">
        <v>96</v>
      </c>
    </row>
    <row r="121" spans="1:9" x14ac:dyDescent="0.2">
      <c r="B121" s="66" t="s">
        <v>123</v>
      </c>
      <c r="C121" s="67" t="s">
        <v>124</v>
      </c>
      <c r="D121" s="67" t="s">
        <v>1</v>
      </c>
      <c r="E121" s="1">
        <v>2000</v>
      </c>
      <c r="F121" s="1">
        <v>2001</v>
      </c>
      <c r="G121" s="1">
        <v>2002</v>
      </c>
      <c r="H121" s="1">
        <v>2003</v>
      </c>
      <c r="I121" s="43" t="s">
        <v>122</v>
      </c>
    </row>
    <row r="122" spans="1:9" x14ac:dyDescent="0.2">
      <c r="B122" s="5" t="s">
        <v>95</v>
      </c>
      <c r="C122" t="s">
        <v>125</v>
      </c>
      <c r="D122" s="24" t="s">
        <v>128</v>
      </c>
      <c r="E122" s="11">
        <v>1000000</v>
      </c>
      <c r="F122" s="10">
        <f t="shared" ref="F122:G124" si="0">E122+($H122-$E122)/3</f>
        <v>1000000</v>
      </c>
      <c r="G122" s="10">
        <f t="shared" si="0"/>
        <v>1000000</v>
      </c>
      <c r="H122" s="9">
        <v>1000000</v>
      </c>
    </row>
    <row r="123" spans="1:9" x14ac:dyDescent="0.2">
      <c r="B123" s="5" t="s">
        <v>93</v>
      </c>
      <c r="C123" t="s">
        <v>125</v>
      </c>
      <c r="D123" s="24" t="s">
        <v>128</v>
      </c>
      <c r="E123" s="11">
        <v>100000</v>
      </c>
      <c r="F123" s="10">
        <f t="shared" si="0"/>
        <v>133333.33333333334</v>
      </c>
      <c r="G123" s="10">
        <f t="shared" si="0"/>
        <v>166666.66666666669</v>
      </c>
      <c r="H123" s="9">
        <v>200000</v>
      </c>
    </row>
    <row r="124" spans="1:9" x14ac:dyDescent="0.2">
      <c r="B124" s="5" t="s">
        <v>94</v>
      </c>
      <c r="C124" t="s">
        <v>125</v>
      </c>
      <c r="D124" s="24" t="s">
        <v>128</v>
      </c>
      <c r="E124" s="54">
        <v>50000</v>
      </c>
      <c r="F124" s="10">
        <f t="shared" si="0"/>
        <v>100000</v>
      </c>
      <c r="G124" s="10">
        <f t="shared" si="0"/>
        <v>150000</v>
      </c>
      <c r="H124" s="9">
        <v>200000</v>
      </c>
    </row>
    <row r="125" spans="1:9" x14ac:dyDescent="0.2">
      <c r="B125" s="6" t="s">
        <v>97</v>
      </c>
      <c r="C125" s="37" t="s">
        <v>125</v>
      </c>
      <c r="D125" s="37"/>
      <c r="E125" s="57">
        <f>SUM(E122:E124)</f>
        <v>1150000</v>
      </c>
      <c r="F125" s="57">
        <f>SUM(F122:F124)</f>
        <v>1233333.3333333333</v>
      </c>
      <c r="G125" s="57">
        <f>SUM(G122:G124)</f>
        <v>1316666.6666666667</v>
      </c>
      <c r="H125" s="57">
        <f>SUM(H122:H124)</f>
        <v>1400000</v>
      </c>
    </row>
    <row r="126" spans="1:9" x14ac:dyDescent="0.2">
      <c r="B126" s="56"/>
      <c r="D126" s="56"/>
      <c r="E126" s="56"/>
      <c r="F126" s="56"/>
      <c r="G126" s="56"/>
    </row>
    <row r="127" spans="1:9" ht="15.75" x14ac:dyDescent="0.2">
      <c r="A127" s="35" t="s">
        <v>96</v>
      </c>
    </row>
    <row r="128" spans="1:9" x14ac:dyDescent="0.2">
      <c r="B128" s="66" t="s">
        <v>123</v>
      </c>
      <c r="C128" s="67" t="s">
        <v>124</v>
      </c>
      <c r="D128" s="67" t="s">
        <v>1</v>
      </c>
      <c r="E128" s="1">
        <v>2000</v>
      </c>
      <c r="F128" s="1">
        <v>2001</v>
      </c>
      <c r="G128" s="1">
        <v>2002</v>
      </c>
      <c r="H128" s="1">
        <v>2003</v>
      </c>
    </row>
    <row r="129" spans="1:9" x14ac:dyDescent="0.2">
      <c r="B129" s="5" t="s">
        <v>95</v>
      </c>
      <c r="C129" t="s">
        <v>125</v>
      </c>
      <c r="D129" s="24" t="s">
        <v>126</v>
      </c>
      <c r="E129" s="12">
        <f t="array" ref="E129:H131">$E$122:$H$124</f>
        <v>1000000</v>
      </c>
      <c r="F129" s="12">
        <v>1000000</v>
      </c>
      <c r="G129" s="12">
        <v>1000000</v>
      </c>
      <c r="H129" s="12">
        <v>1000000</v>
      </c>
    </row>
    <row r="130" spans="1:9" x14ac:dyDescent="0.2">
      <c r="B130" s="5" t="s">
        <v>93</v>
      </c>
      <c r="C130" t="s">
        <v>125</v>
      </c>
      <c r="D130" s="24" t="s">
        <v>126</v>
      </c>
      <c r="E130" s="12">
        <v>100000</v>
      </c>
      <c r="F130" s="12">
        <v>133333.33333333334</v>
      </c>
      <c r="G130" s="12">
        <v>166666.66666666669</v>
      </c>
      <c r="H130" s="12">
        <v>200000</v>
      </c>
    </row>
    <row r="131" spans="1:9" x14ac:dyDescent="0.2">
      <c r="B131" s="5" t="s">
        <v>94</v>
      </c>
      <c r="C131" t="s">
        <v>125</v>
      </c>
      <c r="D131" s="24" t="s">
        <v>127</v>
      </c>
      <c r="E131" s="68">
        <v>50000</v>
      </c>
      <c r="F131" s="68">
        <v>100000</v>
      </c>
      <c r="G131" s="68">
        <v>150000</v>
      </c>
      <c r="H131" s="68">
        <v>200000</v>
      </c>
    </row>
    <row r="132" spans="1:9" x14ac:dyDescent="0.2">
      <c r="B132" s="6" t="s">
        <v>97</v>
      </c>
      <c r="C132" s="37" t="s">
        <v>125</v>
      </c>
      <c r="D132" s="37"/>
      <c r="E132" s="57">
        <f>SUM(E129:E131)</f>
        <v>1150000</v>
      </c>
      <c r="F132" s="57">
        <f>SUM(F129:F131)</f>
        <v>1233333.3333333333</v>
      </c>
      <c r="G132" s="57">
        <f>SUM(G129:G131)</f>
        <v>1316666.6666666667</v>
      </c>
      <c r="H132" s="57">
        <f>SUM(H129:H131)</f>
        <v>1400000</v>
      </c>
    </row>
    <row r="133" spans="1:9" x14ac:dyDescent="0.2">
      <c r="B133" s="56"/>
      <c r="C133" s="56"/>
      <c r="D133" s="56"/>
      <c r="E133" s="56"/>
      <c r="F133" s="56"/>
      <c r="G133" s="56"/>
    </row>
    <row r="135" spans="1:9" ht="15.75" x14ac:dyDescent="0.2">
      <c r="A135" s="35" t="s">
        <v>102</v>
      </c>
    </row>
    <row r="136" spans="1:9" x14ac:dyDescent="0.2">
      <c r="B136" s="66" t="s">
        <v>123</v>
      </c>
      <c r="C136" s="67" t="s">
        <v>124</v>
      </c>
      <c r="D136" s="67" t="s">
        <v>1</v>
      </c>
      <c r="E136" s="1">
        <v>2000</v>
      </c>
      <c r="F136" s="1">
        <v>2001</v>
      </c>
      <c r="G136" s="1">
        <v>2002</v>
      </c>
      <c r="H136" s="1">
        <v>2003</v>
      </c>
    </row>
    <row r="137" spans="1:9" x14ac:dyDescent="0.2">
      <c r="B137" s="5" t="s">
        <v>95</v>
      </c>
      <c r="C137" t="s">
        <v>125</v>
      </c>
      <c r="D137" s="24"/>
      <c r="E137" s="3"/>
      <c r="F137" s="13">
        <f t="shared" ref="F137:H139" si="1">(F129+E129)/2</f>
        <v>1000000</v>
      </c>
      <c r="G137" s="13">
        <f t="shared" si="1"/>
        <v>1000000</v>
      </c>
      <c r="H137" s="13">
        <f t="shared" si="1"/>
        <v>1000000</v>
      </c>
    </row>
    <row r="138" spans="1:9" x14ac:dyDescent="0.2">
      <c r="B138" s="5" t="s">
        <v>93</v>
      </c>
      <c r="C138" t="s">
        <v>125</v>
      </c>
      <c r="D138" s="24"/>
      <c r="E138" s="3"/>
      <c r="F138" s="13">
        <f t="shared" si="1"/>
        <v>116666.66666666667</v>
      </c>
      <c r="G138" s="13">
        <f t="shared" si="1"/>
        <v>150000</v>
      </c>
      <c r="H138" s="13">
        <f t="shared" si="1"/>
        <v>183333.33333333334</v>
      </c>
    </row>
    <row r="139" spans="1:9" x14ac:dyDescent="0.2">
      <c r="B139" s="5" t="s">
        <v>94</v>
      </c>
      <c r="C139" t="s">
        <v>125</v>
      </c>
      <c r="D139" s="24"/>
      <c r="E139" s="3"/>
      <c r="F139" s="13">
        <f t="shared" si="1"/>
        <v>75000</v>
      </c>
      <c r="G139" s="13">
        <f t="shared" si="1"/>
        <v>125000</v>
      </c>
      <c r="H139" s="13">
        <f t="shared" si="1"/>
        <v>175000</v>
      </c>
    </row>
    <row r="140" spans="1:9" x14ac:dyDescent="0.2">
      <c r="B140" s="62" t="s">
        <v>97</v>
      </c>
      <c r="C140" s="72" t="s">
        <v>125</v>
      </c>
      <c r="D140" s="72"/>
      <c r="E140" s="61"/>
      <c r="F140" s="61">
        <f>SUM(F137:F139)</f>
        <v>1191666.6666666667</v>
      </c>
      <c r="G140" s="61">
        <f>SUM(G137:G139)</f>
        <v>1275000</v>
      </c>
      <c r="H140" s="61">
        <f>SUM(H137:H139)</f>
        <v>1358333.3333333333</v>
      </c>
      <c r="I140" s="43" t="s">
        <v>112</v>
      </c>
    </row>
    <row r="141" spans="1:9" x14ac:dyDescent="0.2">
      <c r="B141" s="56"/>
      <c r="C141" s="56"/>
      <c r="D141" s="56"/>
      <c r="E141" s="56"/>
      <c r="F141" s="56"/>
    </row>
  </sheetData>
  <phoneticPr fontId="0" type="noConversion"/>
  <conditionalFormatting sqref="C41">
    <cfRule type="cellIs" dxfId="15" priority="1" stopIfTrue="1" operator="notEqual">
      <formula>0</formula>
    </cfRule>
  </conditionalFormatting>
  <dataValidations disablePrompts="1" count="2">
    <dataValidation type="list" showInputMessage="1" showErrorMessage="1" errorTitle="Input Parameter" error="Please select value from list" promptTitle="Input Parameter" prompt="Select from list" sqref="C16">
      <formula1>$C$17:$C$19</formula1>
    </dataValidation>
    <dataValidation type="decimal" showInputMessage="1" showErrorMessage="1" errorTitle="Input Parameter" error="Value must lie between 100 and 300" promptTitle="Input Parameter" prompt="Value must lie between 100 and 300" sqref="C12">
      <formula1>C13</formula1>
      <formula2>C14</formula2>
    </dataValidation>
  </dataValidations>
  <pageMargins left="0.74803149606299213" right="0.74803149606299213" top="0.51181102362204722" bottom="0.51181102362204722" header="0.51181102362204722" footer="0.35433070866141736"/>
  <pageSetup paperSize="9" fitToHeight="0" orientation="landscape" horizontalDpi="4294967292" verticalDpi="4294967292" r:id="rId1"/>
  <headerFooter alignWithMargins="0">
    <oddFooter xml:space="preserve">&amp;L&amp;F : &amp;A&amp;CPrinted at &amp;T on &amp;D&amp;RCommercial in confidence © Analysys Mason </oddFooter>
  </headerFooter>
  <rowBreaks count="3" manualBreakCount="3">
    <brk id="52" max="16383" man="1"/>
    <brk id="84" max="16383" man="1"/>
    <brk id="11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O118"/>
  <sheetViews>
    <sheetView showGridLines="0" defaultGridColor="0" colorId="22" zoomScale="80" zoomScaleNormal="80" workbookViewId="0">
      <pane ySplit="1" topLeftCell="A2" activePane="bottomLeft" state="frozen"/>
      <selection pane="bottomLeft"/>
    </sheetView>
  </sheetViews>
  <sheetFormatPr baseColWidth="10" defaultColWidth="12.7109375" defaultRowHeight="12" x14ac:dyDescent="0.2"/>
  <cols>
    <col min="1" max="1" width="6.7109375" customWidth="1"/>
    <col min="3" max="3" width="49" customWidth="1"/>
  </cols>
  <sheetData>
    <row r="1" spans="1:4" s="75" customFormat="1" ht="33.75" customHeight="1" x14ac:dyDescent="0.2">
      <c r="A1" s="75" t="s">
        <v>114</v>
      </c>
      <c r="C1" s="81" t="s">
        <v>131</v>
      </c>
      <c r="D1" s="79"/>
    </row>
    <row r="3" spans="1:4" x14ac:dyDescent="0.2">
      <c r="C3" s="83" t="s">
        <v>132</v>
      </c>
      <c r="D3" s="82"/>
    </row>
    <row r="4" spans="1:4" x14ac:dyDescent="0.2">
      <c r="C4" s="276">
        <v>100</v>
      </c>
      <c r="D4" s="84" t="s">
        <v>133</v>
      </c>
    </row>
    <row r="5" spans="1:4" x14ac:dyDescent="0.2">
      <c r="C5" s="276">
        <v>1000</v>
      </c>
      <c r="D5" s="84" t="s">
        <v>134</v>
      </c>
    </row>
    <row r="6" spans="1:4" x14ac:dyDescent="0.2">
      <c r="C6" s="276">
        <v>1000000</v>
      </c>
      <c r="D6" s="84" t="s">
        <v>135</v>
      </c>
    </row>
    <row r="8" spans="1:4" x14ac:dyDescent="0.2">
      <c r="C8" s="86" t="s">
        <v>136</v>
      </c>
      <c r="D8" s="85"/>
    </row>
    <row r="9" spans="1:4" x14ac:dyDescent="0.2">
      <c r="C9" s="90" t="s">
        <v>137</v>
      </c>
      <c r="D9" s="87" t="s">
        <v>138</v>
      </c>
    </row>
    <row r="10" spans="1:4" x14ac:dyDescent="0.2">
      <c r="C10" s="88" t="s">
        <v>139</v>
      </c>
      <c r="D10" s="89" t="s">
        <v>139</v>
      </c>
    </row>
    <row r="11" spans="1:4" x14ac:dyDescent="0.2">
      <c r="C11" s="91" t="s">
        <v>140</v>
      </c>
      <c r="D11" s="89" t="s">
        <v>141</v>
      </c>
    </row>
    <row r="13" spans="1:4" s="204" customFormat="1" x14ac:dyDescent="0.2">
      <c r="C13" s="144" t="s">
        <v>294</v>
      </c>
    </row>
    <row r="14" spans="1:4" s="204" customFormat="1" x14ac:dyDescent="0.2">
      <c r="C14" s="204" t="b">
        <v>1</v>
      </c>
    </row>
    <row r="15" spans="1:4" s="204" customFormat="1" x14ac:dyDescent="0.2">
      <c r="C15" s="204" t="b">
        <v>0</v>
      </c>
    </row>
    <row r="16" spans="1:4" s="204" customFormat="1" x14ac:dyDescent="0.2">
      <c r="C16" s="210" t="s">
        <v>295</v>
      </c>
    </row>
    <row r="17" spans="2:15" s="204" customFormat="1" x14ac:dyDescent="0.2"/>
    <row r="18" spans="2:15" x14ac:dyDescent="0.2">
      <c r="B18" s="92"/>
      <c r="C18" s="96" t="s">
        <v>142</v>
      </c>
      <c r="E18" s="96" t="s">
        <v>148</v>
      </c>
      <c r="I18" s="214" t="s">
        <v>268</v>
      </c>
      <c r="J18" t="s">
        <v>535</v>
      </c>
      <c r="K18" t="s">
        <v>536</v>
      </c>
      <c r="L18" t="s">
        <v>567</v>
      </c>
      <c r="M18" s="204"/>
      <c r="N18" s="214" t="s">
        <v>302</v>
      </c>
      <c r="O18" s="204"/>
    </row>
    <row r="19" spans="2:15" x14ac:dyDescent="0.2">
      <c r="B19" s="94">
        <v>1</v>
      </c>
      <c r="C19" s="92" t="s">
        <v>143</v>
      </c>
      <c r="D19" s="94">
        <v>1</v>
      </c>
      <c r="E19" s="97" t="s">
        <v>515</v>
      </c>
      <c r="H19" s="209">
        <v>1</v>
      </c>
      <c r="I19" t="s">
        <v>269</v>
      </c>
      <c r="J19" s="208">
        <v>0</v>
      </c>
      <c r="K19" s="208">
        <v>499</v>
      </c>
      <c r="L19" s="54">
        <f>ROUND(AVERAGE(J19:K19),)</f>
        <v>250</v>
      </c>
      <c r="M19" s="209">
        <v>1</v>
      </c>
      <c r="N19" t="s">
        <v>303</v>
      </c>
    </row>
    <row r="20" spans="2:15" x14ac:dyDescent="0.2">
      <c r="B20" s="95">
        <v>2</v>
      </c>
      <c r="C20" s="92" t="s">
        <v>525</v>
      </c>
      <c r="D20" s="95">
        <v>2</v>
      </c>
      <c r="E20" s="97" t="s">
        <v>149</v>
      </c>
      <c r="H20" s="212">
        <v>2</v>
      </c>
      <c r="I20" t="s">
        <v>270</v>
      </c>
      <c r="J20" s="215">
        <f>K19+1</f>
        <v>500</v>
      </c>
      <c r="K20" s="208">
        <v>1499</v>
      </c>
      <c r="L20" s="54">
        <f t="shared" ref="L20:L21" si="0">ROUND(AVERAGE(J20:K20),)</f>
        <v>1000</v>
      </c>
      <c r="M20" s="212">
        <v>2</v>
      </c>
      <c r="N20" t="s">
        <v>304</v>
      </c>
    </row>
    <row r="21" spans="2:15" x14ac:dyDescent="0.2">
      <c r="B21" s="95">
        <v>3</v>
      </c>
      <c r="C21" s="97" t="s">
        <v>146</v>
      </c>
      <c r="D21" s="95">
        <v>3</v>
      </c>
      <c r="E21" s="97" t="s">
        <v>150</v>
      </c>
      <c r="H21" s="212">
        <v>3</v>
      </c>
      <c r="I21" t="s">
        <v>271</v>
      </c>
      <c r="J21" s="215">
        <f t="shared" ref="J21:J22" si="1">K20+1</f>
        <v>1500</v>
      </c>
      <c r="K21" s="208">
        <v>4999</v>
      </c>
      <c r="L21" s="54">
        <f t="shared" si="0"/>
        <v>3250</v>
      </c>
      <c r="M21" s="212">
        <v>3</v>
      </c>
      <c r="N21" t="s">
        <v>305</v>
      </c>
    </row>
    <row r="22" spans="2:15" x14ac:dyDescent="0.2">
      <c r="B22" s="95">
        <v>4</v>
      </c>
      <c r="C22" s="97" t="s">
        <v>267</v>
      </c>
      <c r="D22" s="95">
        <v>4</v>
      </c>
      <c r="E22" t="s">
        <v>528</v>
      </c>
      <c r="H22" s="212">
        <v>4</v>
      </c>
      <c r="I22" t="s">
        <v>272</v>
      </c>
      <c r="J22" s="215">
        <f t="shared" si="1"/>
        <v>5000</v>
      </c>
      <c r="K22" s="208">
        <v>1000000</v>
      </c>
      <c r="L22" s="54">
        <v>10000</v>
      </c>
      <c r="M22" s="212">
        <v>4</v>
      </c>
      <c r="N22" t="s">
        <v>306</v>
      </c>
    </row>
    <row r="23" spans="2:15" x14ac:dyDescent="0.2">
      <c r="B23" s="95">
        <v>5</v>
      </c>
      <c r="C23" s="97" t="s">
        <v>611</v>
      </c>
      <c r="D23" s="95">
        <v>5</v>
      </c>
      <c r="E23" t="s">
        <v>527</v>
      </c>
      <c r="I23" s="205" t="s">
        <v>273</v>
      </c>
      <c r="N23" s="205" t="s">
        <v>307</v>
      </c>
    </row>
    <row r="24" spans="2:15" x14ac:dyDescent="0.2">
      <c r="B24" s="95">
        <v>6</v>
      </c>
      <c r="C24" s="97" t="s">
        <v>144</v>
      </c>
      <c r="D24" s="95">
        <v>6</v>
      </c>
      <c r="E24" s="92" t="s">
        <v>308</v>
      </c>
    </row>
    <row r="25" spans="2:15" x14ac:dyDescent="0.2">
      <c r="B25" s="95">
        <v>7</v>
      </c>
      <c r="C25" s="92" t="str">
        <f>spare</f>
        <v>espacio vacante</v>
      </c>
      <c r="D25" s="95">
        <v>7</v>
      </c>
      <c r="E25" s="92" t="s">
        <v>309</v>
      </c>
    </row>
    <row r="26" spans="2:15" x14ac:dyDescent="0.2">
      <c r="B26" s="95">
        <v>8</v>
      </c>
      <c r="C26" s="92" t="str">
        <f>spare</f>
        <v>espacio vacante</v>
      </c>
      <c r="D26" s="95">
        <v>8</v>
      </c>
      <c r="E26" t="s">
        <v>310</v>
      </c>
    </row>
    <row r="27" spans="2:15" x14ac:dyDescent="0.2">
      <c r="B27" s="92"/>
      <c r="C27" s="93" t="s">
        <v>145</v>
      </c>
      <c r="D27" s="223">
        <v>9</v>
      </c>
      <c r="E27" s="159" t="s">
        <v>539</v>
      </c>
    </row>
    <row r="28" spans="2:15" x14ac:dyDescent="0.2">
      <c r="D28" s="223">
        <v>10</v>
      </c>
      <c r="E28" s="204" t="str">
        <f>spare</f>
        <v>espacio vacante</v>
      </c>
    </row>
    <row r="29" spans="2:15" x14ac:dyDescent="0.2">
      <c r="C29" s="96" t="s">
        <v>152</v>
      </c>
      <c r="D29" s="223">
        <v>11</v>
      </c>
      <c r="E29" s="204" t="str">
        <f>spare</f>
        <v>espacio vacante</v>
      </c>
    </row>
    <row r="30" spans="2:15" x14ac:dyDescent="0.2">
      <c r="B30" s="94">
        <v>1</v>
      </c>
      <c r="C30">
        <v>1</v>
      </c>
      <c r="D30" s="223">
        <v>12</v>
      </c>
      <c r="E30" s="204" t="str">
        <f>spare</f>
        <v>espacio vacante</v>
      </c>
    </row>
    <row r="31" spans="2:15" x14ac:dyDescent="0.2">
      <c r="B31" s="95">
        <v>2</v>
      </c>
      <c r="C31">
        <v>2</v>
      </c>
      <c r="E31" s="93" t="s">
        <v>151</v>
      </c>
    </row>
    <row r="32" spans="2:15" s="204" customFormat="1" x14ac:dyDescent="0.2">
      <c r="B32" s="212">
        <v>3</v>
      </c>
      <c r="C32" s="204">
        <v>3</v>
      </c>
    </row>
    <row r="33" spans="2:3" x14ac:dyDescent="0.2">
      <c r="C33" s="98" t="s">
        <v>184</v>
      </c>
    </row>
    <row r="35" spans="2:3" x14ac:dyDescent="0.2">
      <c r="C35" s="101" t="s">
        <v>153</v>
      </c>
    </row>
    <row r="36" spans="2:3" x14ac:dyDescent="0.2">
      <c r="C36" s="99" t="s">
        <v>210</v>
      </c>
    </row>
    <row r="37" spans="2:3" x14ac:dyDescent="0.2">
      <c r="C37" s="99" t="s">
        <v>154</v>
      </c>
    </row>
    <row r="38" spans="2:3" x14ac:dyDescent="0.2">
      <c r="C38" s="99" t="s">
        <v>155</v>
      </c>
    </row>
    <row r="39" spans="2:3" x14ac:dyDescent="0.2">
      <c r="C39" s="100" t="s">
        <v>156</v>
      </c>
    </row>
    <row r="41" spans="2:3" x14ac:dyDescent="0.2">
      <c r="C41" s="105" t="s">
        <v>157</v>
      </c>
    </row>
    <row r="42" spans="2:3" x14ac:dyDescent="0.2">
      <c r="C42" s="102" t="s">
        <v>158</v>
      </c>
    </row>
    <row r="43" spans="2:3" x14ac:dyDescent="0.2">
      <c r="C43" s="102" t="s">
        <v>159</v>
      </c>
    </row>
    <row r="44" spans="2:3" x14ac:dyDescent="0.2">
      <c r="C44" s="102" t="s">
        <v>160</v>
      </c>
    </row>
    <row r="45" spans="2:3" x14ac:dyDescent="0.2">
      <c r="C45" s="102" t="s">
        <v>161</v>
      </c>
    </row>
    <row r="46" spans="2:3" x14ac:dyDescent="0.2">
      <c r="C46" s="103" t="s">
        <v>162</v>
      </c>
    </row>
    <row r="48" spans="2:3" x14ac:dyDescent="0.2">
      <c r="B48" s="115"/>
      <c r="C48" s="120" t="s">
        <v>173</v>
      </c>
    </row>
    <row r="49" spans="2:3" x14ac:dyDescent="0.2">
      <c r="B49" s="118">
        <v>1</v>
      </c>
      <c r="C49" s="117">
        <v>2015</v>
      </c>
    </row>
    <row r="50" spans="2:3" x14ac:dyDescent="0.2">
      <c r="B50" s="119">
        <v>2</v>
      </c>
      <c r="C50" s="121">
        <f>C49+1</f>
        <v>2016</v>
      </c>
    </row>
    <row r="51" spans="2:3" x14ac:dyDescent="0.2">
      <c r="B51" s="119">
        <v>3</v>
      </c>
      <c r="C51" s="121">
        <f t="shared" ref="C51:C58" si="2">C50+1</f>
        <v>2017</v>
      </c>
    </row>
    <row r="52" spans="2:3" x14ac:dyDescent="0.2">
      <c r="B52" s="119">
        <v>4</v>
      </c>
      <c r="C52" s="121">
        <f t="shared" si="2"/>
        <v>2018</v>
      </c>
    </row>
    <row r="53" spans="2:3" x14ac:dyDescent="0.2">
      <c r="B53" s="119">
        <v>5</v>
      </c>
      <c r="C53" s="121">
        <f t="shared" si="2"/>
        <v>2019</v>
      </c>
    </row>
    <row r="54" spans="2:3" x14ac:dyDescent="0.2">
      <c r="B54" s="119">
        <v>6</v>
      </c>
      <c r="C54" s="121">
        <f t="shared" si="2"/>
        <v>2020</v>
      </c>
    </row>
    <row r="55" spans="2:3" x14ac:dyDescent="0.2">
      <c r="B55" s="119">
        <v>7</v>
      </c>
      <c r="C55" s="121">
        <f t="shared" si="2"/>
        <v>2021</v>
      </c>
    </row>
    <row r="56" spans="2:3" x14ac:dyDescent="0.2">
      <c r="B56" s="119">
        <v>8</v>
      </c>
      <c r="C56" s="121">
        <f t="shared" si="2"/>
        <v>2022</v>
      </c>
    </row>
    <row r="57" spans="2:3" x14ac:dyDescent="0.2">
      <c r="B57" s="119">
        <v>9</v>
      </c>
      <c r="C57" s="121">
        <f t="shared" si="2"/>
        <v>2023</v>
      </c>
    </row>
    <row r="58" spans="2:3" x14ac:dyDescent="0.2">
      <c r="B58" s="119">
        <v>10</v>
      </c>
      <c r="C58" s="121">
        <f t="shared" si="2"/>
        <v>2024</v>
      </c>
    </row>
    <row r="59" spans="2:3" x14ac:dyDescent="0.2">
      <c r="B59" s="115"/>
      <c r="C59" s="116" t="s">
        <v>175</v>
      </c>
    </row>
    <row r="61" spans="2:3" x14ac:dyDescent="0.2">
      <c r="C61" s="125" t="s">
        <v>189</v>
      </c>
    </row>
    <row r="62" spans="2:3" x14ac:dyDescent="0.2">
      <c r="C62" t="s">
        <v>190</v>
      </c>
    </row>
    <row r="63" spans="2:3" x14ac:dyDescent="0.2">
      <c r="C63" t="s">
        <v>191</v>
      </c>
    </row>
    <row r="64" spans="2:3" x14ac:dyDescent="0.2">
      <c r="C64" s="124" t="s">
        <v>192</v>
      </c>
    </row>
    <row r="66" spans="3:4" x14ac:dyDescent="0.2">
      <c r="C66" s="129" t="s">
        <v>168</v>
      </c>
    </row>
    <row r="67" spans="3:4" x14ac:dyDescent="0.2">
      <c r="C67" t="s">
        <v>198</v>
      </c>
      <c r="D67" s="128" t="s">
        <v>200</v>
      </c>
    </row>
    <row r="68" spans="3:4" x14ac:dyDescent="0.2">
      <c r="C68" t="s">
        <v>199</v>
      </c>
      <c r="D68" s="128" t="s">
        <v>201</v>
      </c>
    </row>
    <row r="69" spans="3:4" x14ac:dyDescent="0.2">
      <c r="C69" t="s">
        <v>171</v>
      </c>
      <c r="D69" s="128" t="s">
        <v>202</v>
      </c>
    </row>
    <row r="71" spans="3:4" x14ac:dyDescent="0.2">
      <c r="C71" s="136" t="s">
        <v>212</v>
      </c>
    </row>
    <row r="72" spans="3:4" x14ac:dyDescent="0.2">
      <c r="C72" t="s">
        <v>213</v>
      </c>
      <c r="D72" s="139" t="s">
        <v>216</v>
      </c>
    </row>
    <row r="73" spans="3:4" x14ac:dyDescent="0.2">
      <c r="C73" t="s">
        <v>214</v>
      </c>
      <c r="D73" s="140" t="s">
        <v>217</v>
      </c>
    </row>
    <row r="74" spans="3:4" x14ac:dyDescent="0.2">
      <c r="C74" s="138" t="s">
        <v>215</v>
      </c>
    </row>
    <row r="76" spans="3:4" x14ac:dyDescent="0.2">
      <c r="C76" s="214" t="s">
        <v>424</v>
      </c>
    </row>
    <row r="77" spans="3:4" x14ac:dyDescent="0.2">
      <c r="C77" t="s">
        <v>544</v>
      </c>
    </row>
    <row r="78" spans="3:4" x14ac:dyDescent="0.2">
      <c r="C78" s="159" t="s">
        <v>267</v>
      </c>
    </row>
    <row r="79" spans="3:4" x14ac:dyDescent="0.2">
      <c r="C79" s="159" t="s">
        <v>147</v>
      </c>
    </row>
    <row r="80" spans="3:4" x14ac:dyDescent="0.2">
      <c r="C80" s="159" t="s">
        <v>144</v>
      </c>
    </row>
    <row r="81" spans="3:3" x14ac:dyDescent="0.2">
      <c r="C81" s="210" t="s">
        <v>425</v>
      </c>
    </row>
    <row r="83" spans="3:3" x14ac:dyDescent="0.2">
      <c r="C83" s="214" t="s">
        <v>456</v>
      </c>
    </row>
    <row r="84" spans="3:3" x14ac:dyDescent="0.2">
      <c r="C84" t="s">
        <v>516</v>
      </c>
    </row>
    <row r="85" spans="3:3" x14ac:dyDescent="0.2">
      <c r="C85" t="s">
        <v>517</v>
      </c>
    </row>
    <row r="86" spans="3:3" x14ac:dyDescent="0.2">
      <c r="C86" s="205" t="s">
        <v>457</v>
      </c>
    </row>
    <row r="88" spans="3:3" x14ac:dyDescent="0.2">
      <c r="C88" s="214" t="s">
        <v>504</v>
      </c>
    </row>
    <row r="89" spans="3:3" x14ac:dyDescent="0.2">
      <c r="C89" s="204" t="s">
        <v>505</v>
      </c>
    </row>
    <row r="90" spans="3:3" x14ac:dyDescent="0.2">
      <c r="C90" s="204" t="s">
        <v>506</v>
      </c>
    </row>
    <row r="91" spans="3:3" x14ac:dyDescent="0.2">
      <c r="C91" s="205" t="s">
        <v>507</v>
      </c>
    </row>
    <row r="92" spans="3:3" x14ac:dyDescent="0.2">
      <c r="C92" s="204"/>
    </row>
    <row r="93" spans="3:3" x14ac:dyDescent="0.2">
      <c r="C93" s="214" t="s">
        <v>495</v>
      </c>
    </row>
    <row r="94" spans="3:3" x14ac:dyDescent="0.2">
      <c r="C94" s="204" t="s">
        <v>514</v>
      </c>
    </row>
    <row r="95" spans="3:3" x14ac:dyDescent="0.2">
      <c r="C95" s="204" t="s">
        <v>508</v>
      </c>
    </row>
    <row r="96" spans="3:3" x14ac:dyDescent="0.2">
      <c r="C96" s="205" t="s">
        <v>509</v>
      </c>
    </row>
    <row r="97" spans="3:4" x14ac:dyDescent="0.2">
      <c r="C97" s="204"/>
    </row>
    <row r="98" spans="3:4" x14ac:dyDescent="0.2">
      <c r="C98" s="214" t="s">
        <v>510</v>
      </c>
    </row>
    <row r="99" spans="3:4" x14ac:dyDescent="0.2">
      <c r="C99" s="204" t="s">
        <v>503</v>
      </c>
    </row>
    <row r="100" spans="3:4" x14ac:dyDescent="0.2">
      <c r="C100" s="204" t="s">
        <v>511</v>
      </c>
    </row>
    <row r="101" spans="3:4" x14ac:dyDescent="0.2">
      <c r="C101" s="205" t="s">
        <v>512</v>
      </c>
    </row>
    <row r="104" spans="3:4" x14ac:dyDescent="0.2">
      <c r="C104" s="144" t="s">
        <v>594</v>
      </c>
      <c r="D104" s="204"/>
    </row>
    <row r="105" spans="3:4" x14ac:dyDescent="0.2">
      <c r="C105" s="275">
        <v>3.5169999999999999</v>
      </c>
      <c r="D105" s="205" t="s">
        <v>595</v>
      </c>
    </row>
    <row r="106" spans="3:4" x14ac:dyDescent="0.2">
      <c r="C106" s="276">
        <v>24</v>
      </c>
      <c r="D106" s="205" t="s">
        <v>596</v>
      </c>
    </row>
    <row r="107" spans="3:4" x14ac:dyDescent="0.2">
      <c r="C107" s="276">
        <v>30</v>
      </c>
      <c r="D107" s="205" t="s">
        <v>597</v>
      </c>
    </row>
    <row r="108" spans="3:4" x14ac:dyDescent="0.2">
      <c r="C108" s="276">
        <v>12</v>
      </c>
      <c r="D108" s="205" t="s">
        <v>598</v>
      </c>
    </row>
    <row r="110" spans="3:4" x14ac:dyDescent="0.2">
      <c r="C110" s="214" t="s">
        <v>510</v>
      </c>
    </row>
    <row r="111" spans="3:4" x14ac:dyDescent="0.2">
      <c r="C111" s="316" t="s">
        <v>717</v>
      </c>
    </row>
    <row r="112" spans="3:4" x14ac:dyDescent="0.2">
      <c r="C112" s="316" t="s">
        <v>617</v>
      </c>
    </row>
    <row r="113" spans="3:6" x14ac:dyDescent="0.2">
      <c r="C113" s="205" t="s">
        <v>743</v>
      </c>
    </row>
    <row r="115" spans="3:6" x14ac:dyDescent="0.2">
      <c r="C115" s="316"/>
      <c r="D115" s="316"/>
      <c r="E115" s="316"/>
    </row>
    <row r="116" spans="3:6" x14ac:dyDescent="0.2">
      <c r="C116" s="316"/>
      <c r="D116" s="316"/>
      <c r="E116" s="316"/>
      <c r="F116" s="316"/>
    </row>
    <row r="117" spans="3:6" x14ac:dyDescent="0.2">
      <c r="C117" s="316"/>
      <c r="D117" s="316"/>
      <c r="E117" s="316"/>
      <c r="F117" s="316"/>
    </row>
    <row r="118" spans="3:6" x14ac:dyDescent="0.2">
      <c r="C118" s="316"/>
      <c r="D118" s="316"/>
      <c r="E118" s="316"/>
      <c r="F118" s="316"/>
    </row>
  </sheetData>
  <phoneticPr fontId="0" type="noConversion"/>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oddFooter xml:space="preserve">&amp;L&amp;F : &amp;A&amp;CPrinted at &amp;T on &amp;D&amp;RCommercial in confidence © Analysys Mason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W141"/>
  <sheetViews>
    <sheetView showGridLines="0" tabSelected="1" defaultGridColor="0" colorId="22" zoomScale="80" zoomScaleNormal="80" workbookViewId="0">
      <pane ySplit="3" topLeftCell="A4" activePane="bottomLeft" state="frozen"/>
      <selection pane="bottomLeft"/>
    </sheetView>
  </sheetViews>
  <sheetFormatPr baseColWidth="10" defaultColWidth="12.7109375" defaultRowHeight="12" outlineLevelRow="1" outlineLevelCol="1" x14ac:dyDescent="0.2"/>
  <cols>
    <col min="1" max="1" width="4.5703125" style="102" customWidth="1"/>
    <col min="2" max="2" width="5.5703125" style="102" customWidth="1"/>
    <col min="3" max="3" width="5.28515625" style="102" customWidth="1"/>
    <col min="4" max="4" width="38.42578125" style="102" customWidth="1"/>
    <col min="5" max="5" width="13" style="102" bestFit="1" customWidth="1"/>
    <col min="6" max="6" width="28.42578125" style="102" customWidth="1"/>
    <col min="7" max="7" width="36.85546875" style="102" customWidth="1" outlineLevel="1"/>
    <col min="8" max="8" width="14.85546875" style="102" customWidth="1" outlineLevel="1"/>
    <col min="9" max="9" width="32.42578125" style="102" customWidth="1" outlineLevel="1"/>
    <col min="10" max="10" width="3.42578125" style="316" customWidth="1"/>
    <col min="11" max="16384" width="12.7109375" style="102"/>
  </cols>
  <sheetData>
    <row r="1" spans="1:20" s="104" customFormat="1" ht="33.75" customHeight="1" x14ac:dyDescent="0.2">
      <c r="A1" s="106" t="s">
        <v>163</v>
      </c>
      <c r="J1" s="206"/>
      <c r="M1" s="104" t="s">
        <v>114</v>
      </c>
    </row>
    <row r="3" spans="1:20" x14ac:dyDescent="0.2">
      <c r="D3" s="107" t="s">
        <v>164</v>
      </c>
      <c r="E3" s="107" t="s">
        <v>165</v>
      </c>
      <c r="F3" s="107" t="s">
        <v>166</v>
      </c>
      <c r="G3" s="107" t="s">
        <v>760</v>
      </c>
      <c r="H3" s="107" t="s">
        <v>758</v>
      </c>
      <c r="I3" s="107" t="s">
        <v>759</v>
      </c>
      <c r="J3" s="339"/>
      <c r="K3" s="107" t="s">
        <v>169</v>
      </c>
    </row>
    <row r="4" spans="1:20" x14ac:dyDescent="0.2">
      <c r="J4" s="2"/>
    </row>
    <row r="5" spans="1:20" x14ac:dyDescent="0.2">
      <c r="D5" s="108" t="s">
        <v>170</v>
      </c>
      <c r="E5" s="109" t="str">
        <f>IF(AND(H64=ok,H65=ok,H66=ok,K69=ok,K70=ok,K71=ok,K85=ok,K86=ok),ok,actualizar.seleccion)</f>
        <v>OK</v>
      </c>
      <c r="J5" s="2"/>
    </row>
    <row r="6" spans="1:20" x14ac:dyDescent="0.2">
      <c r="J6" s="2"/>
    </row>
    <row r="7" spans="1:20" s="316" customFormat="1" x14ac:dyDescent="0.2">
      <c r="A7" s="148" t="s">
        <v>218</v>
      </c>
      <c r="B7" s="147"/>
      <c r="C7" s="147"/>
      <c r="D7" s="147"/>
      <c r="E7" s="147"/>
      <c r="F7" s="147"/>
      <c r="G7" s="147"/>
      <c r="H7" s="147"/>
      <c r="I7" s="147"/>
      <c r="J7" s="340"/>
      <c r="K7" s="147"/>
      <c r="L7" s="147"/>
      <c r="M7" s="147"/>
      <c r="N7" s="147"/>
      <c r="O7" s="147"/>
      <c r="P7" s="147"/>
      <c r="Q7" s="147"/>
      <c r="R7" s="147"/>
      <c r="S7" s="147"/>
      <c r="T7" s="147"/>
    </row>
    <row r="8" spans="1:20" s="316" customFormat="1" x14ac:dyDescent="0.2">
      <c r="A8" s="146"/>
      <c r="B8" s="149" t="s">
        <v>808</v>
      </c>
      <c r="C8" s="149"/>
      <c r="D8" s="149"/>
      <c r="E8" s="149"/>
      <c r="F8" s="149"/>
      <c r="G8" s="149"/>
      <c r="H8" s="149"/>
      <c r="I8" s="149"/>
      <c r="J8" s="341"/>
      <c r="K8" s="149"/>
      <c r="L8" s="149"/>
      <c r="M8" s="149"/>
      <c r="N8" s="149"/>
      <c r="O8" s="149"/>
      <c r="P8" s="149"/>
      <c r="Q8" s="149"/>
      <c r="R8" s="149"/>
      <c r="S8" s="149"/>
      <c r="T8" s="149"/>
    </row>
    <row r="9" spans="1:20" s="316" customFormat="1" x14ac:dyDescent="0.2">
      <c r="A9" s="102"/>
      <c r="B9" s="102"/>
      <c r="C9" s="102"/>
      <c r="D9" s="102"/>
      <c r="E9" s="102"/>
      <c r="F9" s="102"/>
      <c r="G9" s="102"/>
      <c r="H9" s="102"/>
      <c r="I9" s="102"/>
      <c r="J9" s="2"/>
      <c r="K9" s="102"/>
      <c r="L9" s="102"/>
      <c r="M9" s="102"/>
      <c r="N9" s="102"/>
      <c r="O9" s="102"/>
      <c r="P9" s="102"/>
      <c r="Q9" s="102"/>
      <c r="R9" s="102"/>
      <c r="S9" s="102"/>
      <c r="T9" s="102"/>
    </row>
    <row r="10" spans="1:20" s="316" customFormat="1" x14ac:dyDescent="0.2">
      <c r="C10" s="214" t="s">
        <v>438</v>
      </c>
      <c r="J10" s="2"/>
    </row>
    <row r="11" spans="1:20" s="316" customFormat="1" x14ac:dyDescent="0.2">
      <c r="A11" s="102"/>
      <c r="B11" s="102"/>
      <c r="C11" s="102"/>
      <c r="D11" s="214" t="str">
        <f>Precio!C228</f>
        <v>Servicios</v>
      </c>
      <c r="E11" s="204"/>
      <c r="I11" s="204"/>
      <c r="J11" s="2"/>
      <c r="K11" s="237" t="s">
        <v>428</v>
      </c>
      <c r="L11" s="237" t="s">
        <v>396</v>
      </c>
      <c r="M11" s="238" t="s">
        <v>261</v>
      </c>
      <c r="N11" s="102"/>
      <c r="O11" s="102"/>
      <c r="P11" s="102"/>
      <c r="Q11" s="102"/>
      <c r="R11" s="102"/>
      <c r="S11" s="102"/>
      <c r="T11" s="102"/>
    </row>
    <row r="12" spans="1:20" s="316" customFormat="1" x14ac:dyDescent="0.2">
      <c r="A12" s="102"/>
      <c r="B12" s="102"/>
      <c r="C12" s="102"/>
      <c r="D12" s="213" t="str">
        <f>Precio!C229</f>
        <v>Coubicación (CI/CE)</v>
      </c>
      <c r="E12" s="213" t="str">
        <f>Precio!E229</f>
        <v>MXN/año</v>
      </c>
      <c r="I12" s="102"/>
      <c r="J12" s="2"/>
      <c r="K12" s="250">
        <f>Precio!H229</f>
        <v>16131.568857005197</v>
      </c>
      <c r="L12" s="250">
        <f>Precio!I229</f>
        <v>17321.430943866751</v>
      </c>
      <c r="M12" s="250">
        <f>Precio!J229</f>
        <v>33452.999800871949</v>
      </c>
      <c r="N12" s="102"/>
      <c r="O12" s="102"/>
      <c r="P12" s="102"/>
      <c r="Q12" s="102"/>
      <c r="R12" s="102"/>
      <c r="S12" s="102"/>
      <c r="T12" s="102"/>
    </row>
    <row r="13" spans="1:20" s="316" customFormat="1" x14ac:dyDescent="0.2">
      <c r="A13" s="102"/>
      <c r="B13" s="102"/>
      <c r="C13" s="102"/>
      <c r="D13" s="213" t="str">
        <f>Precio!C230</f>
        <v>Subestación electrica</v>
      </c>
      <c r="E13" s="213" t="str">
        <f>Precio!E230</f>
        <v>MXN/año</v>
      </c>
      <c r="I13" s="102"/>
      <c r="J13" s="2"/>
      <c r="K13" s="250">
        <f>Precio!H230</f>
        <v>26511.613074910634</v>
      </c>
      <c r="L13" s="250">
        <f>Precio!I230</f>
        <v>11944.992569191414</v>
      </c>
      <c r="M13" s="250">
        <f>Precio!J230</f>
        <v>38456.605644102048</v>
      </c>
      <c r="N13" s="102"/>
      <c r="O13" s="102"/>
      <c r="P13" s="102"/>
      <c r="Q13" s="102"/>
      <c r="R13" s="102"/>
      <c r="S13" s="102"/>
      <c r="T13" s="102"/>
    </row>
    <row r="14" spans="1:20" s="316" customFormat="1" x14ac:dyDescent="0.2">
      <c r="A14" s="102"/>
      <c r="B14" s="102"/>
      <c r="C14" s="102"/>
      <c r="D14" s="213" t="str">
        <f>Precio!C231</f>
        <v>Fuente de energia de respaldo</v>
      </c>
      <c r="E14" s="213" t="str">
        <f>Precio!E231</f>
        <v>MXN/año</v>
      </c>
      <c r="I14" s="102"/>
      <c r="J14" s="2"/>
      <c r="K14" s="250">
        <f>Precio!H231</f>
        <v>0</v>
      </c>
      <c r="L14" s="250">
        <f>Precio!I231</f>
        <v>0</v>
      </c>
      <c r="M14" s="250">
        <f>Precio!J231</f>
        <v>0</v>
      </c>
      <c r="N14" s="102"/>
      <c r="O14" s="102"/>
      <c r="P14" s="102"/>
      <c r="Q14" s="102"/>
      <c r="R14" s="102"/>
      <c r="S14" s="102"/>
      <c r="T14" s="102"/>
    </row>
    <row r="15" spans="1:20" s="316" customFormat="1" x14ac:dyDescent="0.2">
      <c r="A15" s="102"/>
      <c r="B15" s="102"/>
      <c r="C15" s="102"/>
      <c r="D15" s="213" t="str">
        <f>Precio!C232</f>
        <v>Aire acondicionado</v>
      </c>
      <c r="E15" s="213" t="str">
        <f>Precio!E232</f>
        <v>MXN/año</v>
      </c>
      <c r="I15" s="102"/>
      <c r="J15" s="2"/>
      <c r="K15" s="250">
        <f>Precio!H232</f>
        <v>3809.5050390031929</v>
      </c>
      <c r="L15" s="250">
        <f>Precio!I232</f>
        <v>1244.4501499018402</v>
      </c>
      <c r="M15" s="250">
        <f>Precio!J232</f>
        <v>5053.9551889050326</v>
      </c>
      <c r="N15" s="102"/>
      <c r="O15" s="102"/>
      <c r="P15" s="102"/>
      <c r="Q15" s="102"/>
      <c r="R15" s="102"/>
      <c r="S15" s="102"/>
      <c r="T15" s="102"/>
    </row>
    <row r="16" spans="1:20" s="316" customFormat="1" x14ac:dyDescent="0.2">
      <c r="J16" s="2"/>
    </row>
    <row r="17" spans="1:20" s="316" customFormat="1" x14ac:dyDescent="0.2">
      <c r="C17" s="214" t="s">
        <v>439</v>
      </c>
      <c r="J17" s="2"/>
    </row>
    <row r="18" spans="1:20" s="316" customFormat="1" x14ac:dyDescent="0.2">
      <c r="D18" s="214" t="str">
        <f>Precio!C244</f>
        <v>Servicios</v>
      </c>
      <c r="J18" s="2"/>
      <c r="K18" s="237" t="s">
        <v>428</v>
      </c>
      <c r="L18" s="237" t="s">
        <v>396</v>
      </c>
      <c r="M18" s="238" t="s">
        <v>261</v>
      </c>
    </row>
    <row r="19" spans="1:20" s="316" customFormat="1" x14ac:dyDescent="0.2">
      <c r="D19" s="213" t="str">
        <f>Precio!C245</f>
        <v>Coubicación (CI/CE)</v>
      </c>
      <c r="E19" s="213" t="str">
        <f>Precio!E237</f>
        <v>MXN/año</v>
      </c>
      <c r="J19" s="2"/>
      <c r="K19" s="250">
        <f>Precio!H245</f>
        <v>0</v>
      </c>
      <c r="L19" s="250">
        <f>Precio!I245</f>
        <v>0</v>
      </c>
      <c r="M19" s="250">
        <f>Precio!J245</f>
        <v>0</v>
      </c>
    </row>
    <row r="20" spans="1:20" s="316" customFormat="1" x14ac:dyDescent="0.2">
      <c r="D20" s="213" t="str">
        <f>Precio!C246</f>
        <v>Subestación electrica</v>
      </c>
      <c r="E20" s="213" t="str">
        <f>Precio!E238</f>
        <v>MXN/año</v>
      </c>
      <c r="J20" s="2"/>
      <c r="K20" s="250">
        <f>Precio!H246</f>
        <v>0</v>
      </c>
      <c r="L20" s="250">
        <f>Precio!I246</f>
        <v>0</v>
      </c>
      <c r="M20" s="250">
        <f>Precio!J246</f>
        <v>0</v>
      </c>
    </row>
    <row r="21" spans="1:20" s="316" customFormat="1" x14ac:dyDescent="0.2">
      <c r="D21" s="213" t="str">
        <f>Precio!C247</f>
        <v>Fuente de energia de respaldo</v>
      </c>
      <c r="E21" s="213" t="str">
        <f>Precio!E239</f>
        <v>MXN/año</v>
      </c>
      <c r="J21" s="2"/>
      <c r="K21" s="250">
        <f>Precio!H247</f>
        <v>0</v>
      </c>
      <c r="L21" s="250">
        <f>Precio!I247</f>
        <v>0</v>
      </c>
      <c r="M21" s="250">
        <f>Precio!J247</f>
        <v>0</v>
      </c>
    </row>
    <row r="22" spans="1:20" s="316" customFormat="1" x14ac:dyDescent="0.2">
      <c r="D22" s="213" t="str">
        <f>Precio!C248</f>
        <v>Aire acondicionado</v>
      </c>
      <c r="E22" s="213" t="str">
        <f>Precio!E240</f>
        <v>MXN/año</v>
      </c>
      <c r="J22" s="2"/>
      <c r="K22" s="250">
        <f>Precio!H248</f>
        <v>0</v>
      </c>
      <c r="L22" s="250">
        <f>Precio!I248</f>
        <v>0</v>
      </c>
      <c r="M22" s="250">
        <f>Precio!J248</f>
        <v>0</v>
      </c>
    </row>
    <row r="23" spans="1:20" s="316" customFormat="1" x14ac:dyDescent="0.2">
      <c r="J23" s="2"/>
    </row>
    <row r="24" spans="1:20" s="316" customFormat="1" x14ac:dyDescent="0.2">
      <c r="C24" s="214" t="s">
        <v>440</v>
      </c>
      <c r="J24" s="2"/>
    </row>
    <row r="25" spans="1:20" s="316" customFormat="1" x14ac:dyDescent="0.2">
      <c r="D25" s="214" t="str">
        <f>Precio!C260</f>
        <v>Servicios</v>
      </c>
      <c r="J25" s="2"/>
      <c r="K25" s="237" t="s">
        <v>428</v>
      </c>
      <c r="L25" s="237" t="s">
        <v>396</v>
      </c>
      <c r="M25" s="238" t="s">
        <v>261</v>
      </c>
    </row>
    <row r="26" spans="1:20" s="316" customFormat="1" x14ac:dyDescent="0.2">
      <c r="D26" s="213" t="str">
        <f>Precio!C261</f>
        <v>Coubicación (CI/CE)</v>
      </c>
      <c r="E26" s="213" t="str">
        <f>Precio!E261</f>
        <v>MXN/año</v>
      </c>
      <c r="J26" s="2"/>
      <c r="K26" s="250">
        <f>Precio!H261</f>
        <v>0</v>
      </c>
      <c r="L26" s="250">
        <f>Precio!I261</f>
        <v>0</v>
      </c>
      <c r="M26" s="250">
        <f>Precio!J261</f>
        <v>0</v>
      </c>
    </row>
    <row r="27" spans="1:20" s="316" customFormat="1" x14ac:dyDescent="0.2">
      <c r="D27" s="213" t="str">
        <f>Precio!C262</f>
        <v>Subestación electrica</v>
      </c>
      <c r="E27" s="213" t="str">
        <f>Precio!E262</f>
        <v>MXN/año</v>
      </c>
      <c r="J27" s="2"/>
      <c r="K27" s="250">
        <f>Precio!H262</f>
        <v>0</v>
      </c>
      <c r="L27" s="250">
        <f>Precio!I262</f>
        <v>0</v>
      </c>
      <c r="M27" s="250">
        <f>Precio!J262</f>
        <v>0</v>
      </c>
    </row>
    <row r="28" spans="1:20" s="316" customFormat="1" x14ac:dyDescent="0.2">
      <c r="D28" s="213" t="str">
        <f>Precio!C263</f>
        <v>Fuente de energia de respaldo</v>
      </c>
      <c r="E28" s="213" t="str">
        <f>Precio!E263</f>
        <v>MXN/año</v>
      </c>
      <c r="J28" s="2"/>
      <c r="K28" s="250">
        <f>Precio!H263</f>
        <v>0</v>
      </c>
      <c r="L28" s="250">
        <f>Precio!I263</f>
        <v>0</v>
      </c>
      <c r="M28" s="250">
        <f>Precio!J263</f>
        <v>0</v>
      </c>
    </row>
    <row r="29" spans="1:20" s="316" customFormat="1" x14ac:dyDescent="0.2">
      <c r="D29" s="213" t="str">
        <f>Precio!C264</f>
        <v>Aire acondicionado</v>
      </c>
      <c r="E29" s="213" t="str">
        <f>Precio!E264</f>
        <v>MXN/año</v>
      </c>
      <c r="J29" s="2"/>
      <c r="K29" s="250">
        <f>Precio!H264</f>
        <v>0</v>
      </c>
      <c r="L29" s="250">
        <f>Precio!I264</f>
        <v>0</v>
      </c>
      <c r="M29" s="250">
        <f>Precio!J264</f>
        <v>0</v>
      </c>
    </row>
    <row r="30" spans="1:20" s="316" customFormat="1" x14ac:dyDescent="0.2">
      <c r="J30" s="2"/>
    </row>
    <row r="31" spans="1:20" x14ac:dyDescent="0.2">
      <c r="A31" s="112" t="s">
        <v>172</v>
      </c>
      <c r="B31" s="111"/>
      <c r="C31" s="111"/>
      <c r="D31" s="111"/>
      <c r="E31" s="111"/>
      <c r="F31" s="111"/>
      <c r="G31" s="111"/>
      <c r="H31" s="111"/>
      <c r="I31" s="111"/>
      <c r="J31" s="340"/>
      <c r="K31" s="111"/>
      <c r="L31" s="111"/>
      <c r="M31" s="111"/>
      <c r="N31" s="111"/>
      <c r="O31" s="111"/>
      <c r="P31" s="111"/>
      <c r="Q31" s="111"/>
      <c r="R31" s="111"/>
      <c r="S31" s="111"/>
      <c r="T31" s="111"/>
    </row>
    <row r="32" spans="1:20" s="316" customFormat="1" x14ac:dyDescent="0.2">
      <c r="A32" s="141"/>
      <c r="B32" s="190" t="s">
        <v>768</v>
      </c>
      <c r="C32" s="190"/>
      <c r="D32" s="190"/>
      <c r="E32" s="190"/>
      <c r="F32" s="190"/>
      <c r="G32" s="190"/>
      <c r="H32" s="190"/>
      <c r="I32" s="190"/>
      <c r="J32" s="341"/>
      <c r="K32" s="190"/>
      <c r="L32" s="190"/>
      <c r="M32" s="190"/>
      <c r="N32" s="190"/>
      <c r="O32" s="190"/>
      <c r="P32" s="190"/>
      <c r="Q32" s="190"/>
      <c r="R32" s="190"/>
      <c r="S32" s="190"/>
      <c r="T32" s="190"/>
    </row>
    <row r="33" spans="1:23" s="316" customFormat="1" x14ac:dyDescent="0.2">
      <c r="A33" s="113"/>
      <c r="B33" s="113"/>
      <c r="C33" s="130" t="s">
        <v>194</v>
      </c>
      <c r="D33" s="130"/>
      <c r="E33" s="130"/>
      <c r="F33" s="130"/>
      <c r="G33" s="130"/>
      <c r="H33" s="130"/>
      <c r="I33" s="130"/>
      <c r="J33" s="341"/>
      <c r="K33" s="130"/>
      <c r="L33" s="130"/>
      <c r="M33" s="130"/>
      <c r="N33" s="130"/>
      <c r="O33" s="130"/>
      <c r="P33" s="130"/>
      <c r="Q33" s="130"/>
      <c r="R33" s="130"/>
      <c r="S33" s="130"/>
      <c r="T33" s="130"/>
      <c r="V33" s="113"/>
      <c r="W33" s="113"/>
    </row>
    <row r="34" spans="1:23" s="316" customFormat="1" x14ac:dyDescent="0.2">
      <c r="A34" s="113"/>
      <c r="B34" s="113"/>
      <c r="C34" s="102"/>
      <c r="D34" s="132" t="s">
        <v>157</v>
      </c>
      <c r="E34" s="102"/>
      <c r="F34" s="326" t="s">
        <v>159</v>
      </c>
      <c r="G34" s="134" t="s">
        <v>208</v>
      </c>
      <c r="H34" s="102"/>
      <c r="I34" s="102"/>
      <c r="J34" s="2"/>
      <c r="K34" s="102"/>
      <c r="L34" s="102"/>
      <c r="M34" s="102"/>
      <c r="N34" s="102"/>
      <c r="O34" s="102"/>
      <c r="P34" s="102"/>
      <c r="Q34" s="102"/>
      <c r="R34" s="102"/>
      <c r="S34" s="102"/>
      <c r="T34" s="102"/>
      <c r="V34" s="113"/>
      <c r="W34" s="113"/>
    </row>
    <row r="35" spans="1:23" s="316" customFormat="1" x14ac:dyDescent="0.2">
      <c r="A35" s="113"/>
      <c r="B35" s="113"/>
      <c r="C35" s="102"/>
      <c r="D35" s="132" t="s">
        <v>205</v>
      </c>
      <c r="E35" s="102"/>
      <c r="F35" s="326" t="s">
        <v>154</v>
      </c>
      <c r="G35" s="134" t="s">
        <v>209</v>
      </c>
      <c r="H35" s="102"/>
      <c r="I35" s="102"/>
      <c r="J35" s="2"/>
      <c r="K35" s="102"/>
      <c r="L35" s="102"/>
      <c r="M35" s="102"/>
      <c r="N35" s="102"/>
      <c r="O35" s="102"/>
      <c r="P35" s="102"/>
      <c r="Q35" s="102"/>
      <c r="R35" s="102"/>
      <c r="S35" s="102"/>
      <c r="T35" s="102"/>
      <c r="V35" s="113"/>
      <c r="W35" s="113"/>
    </row>
    <row r="36" spans="1:23" s="316" customFormat="1" outlineLevel="1" x14ac:dyDescent="0.2">
      <c r="A36" s="113"/>
      <c r="B36" s="113"/>
      <c r="C36" s="102"/>
      <c r="D36" s="220" t="s">
        <v>206</v>
      </c>
      <c r="E36" s="102"/>
      <c r="F36" s="137" t="str">
        <f>propriedad.predio.activo&amp;geotipo.activo</f>
        <v>Tercero en arrendamientoUrbano</v>
      </c>
      <c r="G36" s="135" t="s">
        <v>211</v>
      </c>
      <c r="H36" s="205"/>
      <c r="I36" s="102"/>
      <c r="J36" s="2"/>
      <c r="K36" s="102"/>
      <c r="L36" s="102"/>
      <c r="M36" s="102"/>
      <c r="N36" s="102"/>
      <c r="O36" s="102"/>
      <c r="P36" s="102"/>
      <c r="Q36" s="102"/>
      <c r="R36" s="102"/>
      <c r="S36" s="102"/>
      <c r="T36" s="102"/>
      <c r="V36" s="113"/>
      <c r="W36" s="113"/>
    </row>
    <row r="37" spans="1:23" s="316" customFormat="1" x14ac:dyDescent="0.2">
      <c r="A37" s="113"/>
      <c r="B37" s="113"/>
      <c r="C37" s="204"/>
      <c r="D37" s="204" t="s">
        <v>568</v>
      </c>
      <c r="E37" s="204" t="s">
        <v>179</v>
      </c>
      <c r="F37" s="327">
        <v>1450</v>
      </c>
      <c r="G37" s="205" t="s">
        <v>569</v>
      </c>
      <c r="H37" s="204"/>
      <c r="I37" s="204"/>
      <c r="J37" s="2"/>
      <c r="K37" s="204"/>
      <c r="L37" s="204"/>
      <c r="M37" s="204"/>
      <c r="N37" s="204"/>
      <c r="O37" s="204"/>
      <c r="P37" s="204"/>
      <c r="Q37" s="204"/>
      <c r="R37" s="204"/>
      <c r="S37" s="204"/>
      <c r="T37" s="204"/>
      <c r="V37" s="113"/>
      <c r="W37" s="113"/>
    </row>
    <row r="38" spans="1:23" s="316" customFormat="1" x14ac:dyDescent="0.2">
      <c r="A38" s="113"/>
      <c r="B38" s="113"/>
      <c r="C38" s="204"/>
      <c r="D38" s="204" t="s">
        <v>274</v>
      </c>
      <c r="E38" s="204"/>
      <c r="F38" s="328" t="str">
        <f>INDEX(tamaño.central.Telmex,MATCH(bucles.central.telmex,L!$J$19:$J$22,1))</f>
        <v>Media</v>
      </c>
      <c r="G38" s="205" t="s">
        <v>275</v>
      </c>
      <c r="H38" s="204"/>
      <c r="I38" s="204"/>
      <c r="J38" s="2"/>
      <c r="K38" s="204"/>
      <c r="L38" s="204"/>
      <c r="M38" s="204"/>
      <c r="N38" s="204"/>
      <c r="O38" s="204"/>
      <c r="P38" s="204"/>
      <c r="Q38" s="204"/>
      <c r="R38" s="204"/>
      <c r="S38" s="204"/>
      <c r="T38" s="204"/>
      <c r="V38" s="113"/>
      <c r="W38" s="113"/>
    </row>
    <row r="39" spans="1:23" s="316" customFormat="1" x14ac:dyDescent="0.2">
      <c r="A39" s="113"/>
      <c r="B39" s="113"/>
      <c r="C39" s="204"/>
      <c r="D39" s="204" t="s">
        <v>276</v>
      </c>
      <c r="E39" s="204" t="s">
        <v>179</v>
      </c>
      <c r="F39" s="329">
        <f>IF(OR(tipo.central.telmex.activa=L!I19,tipo.central.telmex.activa=L!I20),2,3)</f>
        <v>2</v>
      </c>
      <c r="G39" s="205" t="s">
        <v>277</v>
      </c>
      <c r="H39" s="204"/>
      <c r="I39" s="204"/>
      <c r="J39" s="2"/>
      <c r="K39" s="204"/>
      <c r="L39" s="204"/>
      <c r="M39" s="204"/>
      <c r="N39" s="204"/>
      <c r="O39" s="204"/>
      <c r="P39" s="204"/>
      <c r="Q39" s="204"/>
      <c r="R39" s="204"/>
      <c r="S39" s="204"/>
      <c r="T39" s="204"/>
      <c r="V39" s="113"/>
      <c r="W39" s="113"/>
    </row>
    <row r="40" spans="1:23" s="316" customFormat="1" outlineLevel="1" x14ac:dyDescent="0.2">
      <c r="A40" s="113"/>
      <c r="B40" s="113"/>
      <c r="C40" s="204"/>
      <c r="D40" s="204"/>
      <c r="E40" s="204"/>
      <c r="F40" s="74"/>
      <c r="G40" s="204"/>
      <c r="H40" s="204"/>
      <c r="I40" s="204"/>
      <c r="J40" s="2"/>
      <c r="K40" s="204"/>
      <c r="L40" s="204"/>
      <c r="M40" s="204"/>
      <c r="N40" s="204"/>
      <c r="O40" s="204"/>
      <c r="P40" s="204"/>
      <c r="Q40" s="204"/>
      <c r="R40" s="204"/>
      <c r="S40" s="204"/>
      <c r="T40" s="204"/>
      <c r="V40" s="113"/>
      <c r="W40" s="113"/>
    </row>
    <row r="41" spans="1:23" s="316" customFormat="1" outlineLevel="1" x14ac:dyDescent="0.2">
      <c r="A41" s="113"/>
      <c r="B41" s="113"/>
      <c r="C41" s="204"/>
      <c r="D41" s="204" t="s">
        <v>278</v>
      </c>
      <c r="E41" s="204"/>
      <c r="F41" s="329" t="str">
        <f>tipo.central.telmex.activa&amp;geotipo.activo</f>
        <v>MediaUrbano</v>
      </c>
      <c r="G41" s="210" t="s">
        <v>279</v>
      </c>
      <c r="H41" s="204"/>
      <c r="I41" s="204"/>
      <c r="J41" s="2"/>
      <c r="K41" s="204"/>
      <c r="L41" s="204"/>
      <c r="M41" s="204"/>
      <c r="N41" s="204"/>
      <c r="O41" s="204"/>
      <c r="P41" s="204"/>
      <c r="Q41" s="204"/>
      <c r="R41" s="204"/>
      <c r="S41" s="204"/>
      <c r="T41" s="204"/>
      <c r="V41" s="113"/>
      <c r="W41" s="113"/>
    </row>
    <row r="42" spans="1:23" s="316" customFormat="1" x14ac:dyDescent="0.2">
      <c r="A42" s="113"/>
      <c r="B42" s="113"/>
      <c r="C42" s="113"/>
      <c r="D42" s="113"/>
      <c r="E42" s="113"/>
      <c r="F42" s="330"/>
      <c r="G42" s="113"/>
      <c r="H42" s="113"/>
      <c r="I42" s="113"/>
      <c r="J42" s="342"/>
      <c r="K42" s="113"/>
      <c r="L42" s="113"/>
      <c r="M42" s="113"/>
      <c r="N42" s="113"/>
      <c r="O42" s="113"/>
      <c r="P42" s="113"/>
      <c r="Q42" s="113"/>
      <c r="R42" s="113"/>
      <c r="S42" s="113"/>
      <c r="T42" s="113"/>
      <c r="U42" s="113"/>
      <c r="V42" s="113"/>
      <c r="W42" s="113"/>
    </row>
    <row r="43" spans="1:23" s="204" customFormat="1" x14ac:dyDescent="0.2">
      <c r="C43" s="219" t="s">
        <v>757</v>
      </c>
      <c r="D43" s="219"/>
      <c r="E43" s="219"/>
      <c r="F43" s="324"/>
      <c r="G43" s="219"/>
      <c r="H43" s="219"/>
      <c r="I43" s="219"/>
      <c r="J43" s="341"/>
      <c r="K43" s="219"/>
      <c r="L43" s="219"/>
      <c r="M43" s="219"/>
      <c r="N43" s="219"/>
      <c r="O43" s="219"/>
      <c r="P43" s="219"/>
      <c r="Q43" s="219"/>
      <c r="R43" s="219"/>
      <c r="S43" s="219"/>
      <c r="T43" s="219"/>
    </row>
    <row r="44" spans="1:23" s="204" customFormat="1" x14ac:dyDescent="0.2">
      <c r="F44" s="74"/>
      <c r="J44" s="2"/>
    </row>
    <row r="45" spans="1:23" s="316" customFormat="1" x14ac:dyDescent="0.2">
      <c r="A45" s="113"/>
      <c r="B45" s="113"/>
      <c r="C45" s="102"/>
      <c r="D45" s="122" t="s">
        <v>176</v>
      </c>
      <c r="E45" s="122" t="s">
        <v>175</v>
      </c>
      <c r="F45" s="326">
        <v>2015</v>
      </c>
      <c r="G45" s="123" t="s">
        <v>182</v>
      </c>
      <c r="H45" s="102"/>
      <c r="I45" s="102"/>
      <c r="J45" s="2"/>
      <c r="K45" s="102"/>
      <c r="L45" s="102"/>
      <c r="M45" s="102"/>
      <c r="N45" s="102"/>
      <c r="O45" s="102"/>
      <c r="P45" s="102"/>
      <c r="Q45" s="102"/>
      <c r="R45" s="102"/>
      <c r="S45" s="102"/>
      <c r="T45" s="102"/>
      <c r="U45" s="113"/>
      <c r="V45" s="113"/>
      <c r="W45" s="113"/>
    </row>
    <row r="46" spans="1:23" s="316" customFormat="1" x14ac:dyDescent="0.2">
      <c r="A46" s="113"/>
      <c r="B46" s="113"/>
      <c r="C46" s="102"/>
      <c r="D46" s="122" t="s">
        <v>177</v>
      </c>
      <c r="E46" s="122" t="s">
        <v>178</v>
      </c>
      <c r="F46" s="331">
        <v>0.1198</v>
      </c>
      <c r="G46" s="123" t="s">
        <v>183</v>
      </c>
      <c r="H46" s="102"/>
      <c r="I46" s="102"/>
      <c r="J46" s="2"/>
      <c r="K46" s="102" t="s">
        <v>452</v>
      </c>
      <c r="L46" s="102"/>
      <c r="M46" s="102"/>
      <c r="N46" s="102"/>
      <c r="O46" s="102"/>
      <c r="P46" s="102"/>
      <c r="Q46" s="102"/>
      <c r="R46" s="102"/>
      <c r="S46" s="102"/>
      <c r="T46" s="102"/>
      <c r="U46" s="113"/>
      <c r="V46" s="113"/>
      <c r="W46" s="113"/>
    </row>
    <row r="47" spans="1:23" s="204" customFormat="1" x14ac:dyDescent="0.2">
      <c r="D47" s="144"/>
      <c r="F47" s="74"/>
      <c r="J47" s="2"/>
    </row>
    <row r="48" spans="1:23" s="204" customFormat="1" x14ac:dyDescent="0.2">
      <c r="D48" s="204" t="s">
        <v>254</v>
      </c>
      <c r="F48" s="326" t="s">
        <v>506</v>
      </c>
      <c r="G48" s="205" t="s">
        <v>497</v>
      </c>
      <c r="H48" s="212">
        <f>MATCH(vida.util.activo,vida.util,0)</f>
        <v>2</v>
      </c>
      <c r="I48" s="205" t="s">
        <v>500</v>
      </c>
      <c r="J48" s="133"/>
    </row>
    <row r="49" spans="1:23" s="204" customFormat="1" x14ac:dyDescent="0.2">
      <c r="D49" s="204" t="s">
        <v>495</v>
      </c>
      <c r="F49" s="333" t="s">
        <v>514</v>
      </c>
      <c r="G49" s="205" t="s">
        <v>498</v>
      </c>
      <c r="H49" s="212">
        <f>MATCH(costos.considerados.activo,costos.considerados,0)</f>
        <v>1</v>
      </c>
      <c r="I49" s="205" t="s">
        <v>501</v>
      </c>
      <c r="J49" s="133"/>
    </row>
    <row r="50" spans="1:23" s="204" customFormat="1" x14ac:dyDescent="0.2">
      <c r="D50" s="204" t="s">
        <v>496</v>
      </c>
      <c r="F50" s="333" t="s">
        <v>503</v>
      </c>
      <c r="G50" s="205" t="s">
        <v>499</v>
      </c>
      <c r="H50" s="212">
        <f>MATCH(perfil.recuperacion.costos.activo,perfil.recuperacion.costos,0)</f>
        <v>1</v>
      </c>
      <c r="I50" s="205" t="s">
        <v>502</v>
      </c>
      <c r="J50" s="133"/>
    </row>
    <row r="51" spans="1:23" s="316" customFormat="1" x14ac:dyDescent="0.2">
      <c r="D51" s="316" t="s">
        <v>738</v>
      </c>
      <c r="E51" s="316" t="s">
        <v>178</v>
      </c>
      <c r="F51" s="322">
        <v>0</v>
      </c>
      <c r="G51" s="205" t="s">
        <v>739</v>
      </c>
      <c r="J51" s="2"/>
    </row>
    <row r="52" spans="1:23" s="316" customFormat="1" x14ac:dyDescent="0.2">
      <c r="D52" s="316" t="s">
        <v>740</v>
      </c>
      <c r="E52" s="316" t="s">
        <v>178</v>
      </c>
      <c r="F52" s="322">
        <v>0</v>
      </c>
      <c r="G52" s="205" t="s">
        <v>741</v>
      </c>
      <c r="J52" s="2"/>
    </row>
    <row r="53" spans="1:23" s="204" customFormat="1" x14ac:dyDescent="0.2">
      <c r="J53" s="2"/>
    </row>
    <row r="54" spans="1:23" s="150" customFormat="1" x14ac:dyDescent="0.2">
      <c r="D54" s="154" t="s">
        <v>219</v>
      </c>
      <c r="E54" s="152"/>
      <c r="F54" s="152"/>
      <c r="J54" s="2"/>
    </row>
    <row r="55" spans="1:23" s="150" customFormat="1" x14ac:dyDescent="0.2">
      <c r="D55" s="222" t="s">
        <v>220</v>
      </c>
      <c r="E55" s="152" t="s">
        <v>178</v>
      </c>
      <c r="F55" s="153">
        <v>0.08</v>
      </c>
      <c r="G55" s="155" t="s">
        <v>222</v>
      </c>
      <c r="J55" s="2"/>
    </row>
    <row r="56" spans="1:23" s="150" customFormat="1" x14ac:dyDescent="0.2">
      <c r="D56" s="222" t="s">
        <v>221</v>
      </c>
      <c r="E56" s="152" t="s">
        <v>178</v>
      </c>
      <c r="F56" s="153">
        <v>0.08</v>
      </c>
      <c r="G56" s="155" t="s">
        <v>223</v>
      </c>
      <c r="J56" s="2"/>
    </row>
    <row r="57" spans="1:23" s="204" customFormat="1" x14ac:dyDescent="0.2">
      <c r="J57" s="2"/>
    </row>
    <row r="58" spans="1:23" s="316" customFormat="1" x14ac:dyDescent="0.2">
      <c r="A58" s="113"/>
      <c r="B58" s="113"/>
      <c r="C58" s="126" t="s">
        <v>188</v>
      </c>
      <c r="D58" s="126"/>
      <c r="E58" s="126"/>
      <c r="F58" s="324"/>
      <c r="G58" s="126"/>
      <c r="H58" s="126"/>
      <c r="I58" s="126"/>
      <c r="J58" s="341"/>
      <c r="K58" s="126"/>
      <c r="L58" s="126"/>
      <c r="M58" s="126"/>
      <c r="N58" s="126"/>
      <c r="O58" s="126"/>
      <c r="P58" s="126"/>
      <c r="Q58" s="126"/>
      <c r="R58" s="126"/>
      <c r="S58" s="126"/>
      <c r="T58" s="126"/>
      <c r="U58" s="113"/>
      <c r="V58" s="113"/>
      <c r="W58" s="113"/>
    </row>
    <row r="59" spans="1:23" s="316" customFormat="1" x14ac:dyDescent="0.2">
      <c r="A59" s="113"/>
      <c r="B59" s="113"/>
      <c r="C59" s="102"/>
      <c r="D59" s="102"/>
      <c r="E59" s="102"/>
      <c r="F59" s="74"/>
      <c r="G59" s="102"/>
      <c r="H59" s="102"/>
      <c r="I59" s="102"/>
      <c r="J59" s="2"/>
      <c r="K59" s="102"/>
      <c r="L59" s="102"/>
      <c r="M59" s="102"/>
      <c r="N59" s="102"/>
      <c r="O59" s="102"/>
      <c r="P59" s="102"/>
      <c r="Q59" s="102"/>
      <c r="R59" s="102"/>
      <c r="S59" s="102"/>
      <c r="T59" s="102"/>
      <c r="U59" s="113"/>
      <c r="V59" s="113"/>
      <c r="W59" s="113"/>
    </row>
    <row r="60" spans="1:23" s="316" customFormat="1" x14ac:dyDescent="0.2">
      <c r="A60" s="113"/>
      <c r="B60" s="113"/>
      <c r="C60" s="102"/>
      <c r="D60" s="122" t="s">
        <v>756</v>
      </c>
      <c r="E60" s="122" t="s">
        <v>179</v>
      </c>
      <c r="F60" s="326">
        <v>1</v>
      </c>
      <c r="G60" s="123" t="s">
        <v>185</v>
      </c>
      <c r="H60" s="102"/>
      <c r="I60" s="102"/>
      <c r="J60" s="2"/>
      <c r="L60" s="102"/>
      <c r="M60" s="102"/>
      <c r="N60" s="102"/>
      <c r="O60" s="102"/>
      <c r="P60" s="102"/>
      <c r="Q60" s="102"/>
      <c r="R60" s="102"/>
      <c r="S60" s="102"/>
      <c r="T60" s="102"/>
      <c r="U60" s="113"/>
      <c r="V60" s="113"/>
      <c r="W60" s="113"/>
    </row>
    <row r="61" spans="1:23" s="316" customFormat="1" outlineLevel="1" x14ac:dyDescent="0.2">
      <c r="A61" s="113"/>
      <c r="B61" s="113"/>
      <c r="C61" s="102"/>
      <c r="D61" s="335" t="s">
        <v>180</v>
      </c>
      <c r="E61" s="212" t="s">
        <v>179</v>
      </c>
      <c r="F61" s="336">
        <v>1</v>
      </c>
      <c r="G61" s="124" t="s">
        <v>186</v>
      </c>
      <c r="H61" s="102"/>
      <c r="I61" s="102"/>
      <c r="J61" s="2"/>
      <c r="K61" s="102"/>
      <c r="L61" s="102"/>
      <c r="M61" s="102"/>
      <c r="N61" s="102"/>
      <c r="O61" s="102"/>
      <c r="P61" s="102"/>
      <c r="Q61" s="102"/>
      <c r="R61" s="102"/>
      <c r="S61" s="102"/>
      <c r="T61" s="102"/>
      <c r="U61" s="113"/>
      <c r="V61" s="113"/>
      <c r="W61" s="113"/>
    </row>
    <row r="62" spans="1:23" s="316" customFormat="1" outlineLevel="1" x14ac:dyDescent="0.2">
      <c r="A62" s="113"/>
      <c r="B62" s="113"/>
      <c r="C62" s="102"/>
      <c r="D62" s="335" t="s">
        <v>181</v>
      </c>
      <c r="E62" s="212" t="s">
        <v>179</v>
      </c>
      <c r="F62" s="336">
        <f>IF(numero.CS.activo&gt;=2,1,0)</f>
        <v>0</v>
      </c>
      <c r="G62" s="124" t="s">
        <v>187</v>
      </c>
      <c r="H62" s="102"/>
      <c r="I62" s="102"/>
      <c r="J62" s="2"/>
      <c r="K62" s="102"/>
      <c r="L62" s="102"/>
      <c r="M62" s="102"/>
      <c r="N62" s="102"/>
      <c r="O62" s="102"/>
      <c r="P62" s="102"/>
      <c r="Q62" s="102"/>
      <c r="R62" s="102"/>
      <c r="S62" s="102"/>
      <c r="T62" s="102"/>
      <c r="U62" s="113"/>
      <c r="V62" s="113"/>
      <c r="W62" s="113"/>
    </row>
    <row r="63" spans="1:23" s="316" customFormat="1" outlineLevel="1" x14ac:dyDescent="0.2">
      <c r="A63" s="113"/>
      <c r="B63" s="113"/>
      <c r="C63" s="204"/>
      <c r="D63" s="335" t="s">
        <v>266</v>
      </c>
      <c r="E63" s="212" t="s">
        <v>179</v>
      </c>
      <c r="F63" s="336">
        <f>IF(numero.CS.activo=3,1,0)</f>
        <v>0</v>
      </c>
      <c r="G63" s="205" t="s">
        <v>443</v>
      </c>
      <c r="H63" s="204"/>
      <c r="I63" s="204"/>
      <c r="J63" s="2"/>
      <c r="K63" s="204"/>
      <c r="L63" s="204"/>
      <c r="M63" s="204"/>
      <c r="N63" s="204"/>
      <c r="O63" s="204"/>
      <c r="P63" s="204"/>
      <c r="Q63" s="204"/>
      <c r="R63" s="204"/>
      <c r="S63" s="204"/>
      <c r="T63" s="204"/>
      <c r="U63" s="113"/>
      <c r="V63" s="113"/>
      <c r="W63" s="113"/>
    </row>
    <row r="64" spans="1:23" s="316" customFormat="1" x14ac:dyDescent="0.2">
      <c r="A64" s="113"/>
      <c r="B64" s="113"/>
      <c r="C64" s="102"/>
      <c r="D64" s="102" t="s">
        <v>299</v>
      </c>
      <c r="E64" s="316" t="s">
        <v>761</v>
      </c>
      <c r="F64" s="326" t="s">
        <v>190</v>
      </c>
      <c r="G64" s="124" t="s">
        <v>296</v>
      </c>
      <c r="H64" s="212" t="str">
        <f>IF(AND(predio.activo=FALSE,tipo.coubicacion.activo.CS1="CE",cs1.activo),error,ok)</f>
        <v>OK</v>
      </c>
      <c r="I64" s="102"/>
      <c r="J64" s="2"/>
      <c r="K64" s="102" t="s">
        <v>193</v>
      </c>
      <c r="L64" s="102"/>
      <c r="M64" s="102"/>
      <c r="N64" s="102"/>
      <c r="O64" s="102"/>
      <c r="P64" s="102"/>
      <c r="Q64" s="102"/>
      <c r="R64" s="102"/>
      <c r="S64" s="102"/>
      <c r="T64" s="102"/>
      <c r="U64" s="113"/>
      <c r="V64" s="113"/>
      <c r="W64" s="113"/>
    </row>
    <row r="65" spans="1:23" s="316" customFormat="1" x14ac:dyDescent="0.2">
      <c r="A65" s="113"/>
      <c r="B65" s="113"/>
      <c r="C65" s="204"/>
      <c r="D65" s="204" t="s">
        <v>300</v>
      </c>
      <c r="E65" s="316" t="s">
        <v>761</v>
      </c>
      <c r="F65" s="326" t="s">
        <v>190</v>
      </c>
      <c r="G65" s="205" t="s">
        <v>297</v>
      </c>
      <c r="H65" s="212" t="str">
        <f>IF(AND(predio.activo=FALSE,tipo.coubicacion.activo.CS2="CE",cs2.activo),error,ok)</f>
        <v>OK</v>
      </c>
      <c r="I65" s="204"/>
      <c r="J65" s="2"/>
      <c r="K65" s="204"/>
      <c r="L65" s="204"/>
      <c r="M65" s="204"/>
      <c r="N65" s="204"/>
      <c r="O65" s="204"/>
      <c r="P65" s="204"/>
      <c r="Q65" s="204"/>
      <c r="R65" s="204"/>
      <c r="S65" s="204"/>
      <c r="T65" s="204"/>
      <c r="U65" s="113"/>
      <c r="V65" s="113"/>
      <c r="W65" s="113"/>
    </row>
    <row r="66" spans="1:23" s="316" customFormat="1" x14ac:dyDescent="0.2">
      <c r="A66" s="113"/>
      <c r="B66" s="113"/>
      <c r="C66" s="204"/>
      <c r="D66" s="204" t="s">
        <v>301</v>
      </c>
      <c r="E66" s="316" t="s">
        <v>761</v>
      </c>
      <c r="F66" s="326" t="s">
        <v>190</v>
      </c>
      <c r="G66" s="205" t="s">
        <v>298</v>
      </c>
      <c r="H66" s="212" t="str">
        <f>IF(AND(predio.activo=FALSE,tipo.coubicacion.activo.CS3="CE",cs3.activo),error,ok)</f>
        <v>OK</v>
      </c>
      <c r="I66" s="204"/>
      <c r="J66" s="2"/>
      <c r="K66" s="204"/>
      <c r="L66" s="204"/>
      <c r="M66" s="204"/>
      <c r="N66" s="204"/>
      <c r="O66" s="204"/>
      <c r="P66" s="204"/>
      <c r="Q66" s="204"/>
      <c r="R66" s="204"/>
      <c r="S66" s="204"/>
      <c r="T66" s="204"/>
      <c r="U66" s="113"/>
      <c r="V66" s="113"/>
      <c r="W66" s="113"/>
    </row>
    <row r="67" spans="1:23" x14ac:dyDescent="0.2">
      <c r="A67" s="110"/>
      <c r="B67" s="114"/>
      <c r="F67" s="74"/>
      <c r="J67" s="2"/>
    </row>
    <row r="68" spans="1:23" x14ac:dyDescent="0.2">
      <c r="D68" s="102" t="s">
        <v>526</v>
      </c>
      <c r="E68" s="102" t="s">
        <v>195</v>
      </c>
      <c r="F68" s="332">
        <f>area.sala.MDF.AEP+area.sala.switching+area.sala.transmision</f>
        <v>55.488</v>
      </c>
      <c r="H68" s="337">
        <f>F68</f>
        <v>55.488</v>
      </c>
      <c r="I68" s="128" t="s">
        <v>557</v>
      </c>
      <c r="J68" s="2"/>
    </row>
    <row r="69" spans="1:23" x14ac:dyDescent="0.2">
      <c r="D69" s="127" t="s">
        <v>196</v>
      </c>
      <c r="E69" s="102" t="s">
        <v>195</v>
      </c>
      <c r="F69" s="326">
        <v>4</v>
      </c>
      <c r="H69" s="337">
        <f>F69*cs1.activo</f>
        <v>4</v>
      </c>
      <c r="I69" s="128" t="s">
        <v>203</v>
      </c>
      <c r="J69" s="2"/>
      <c r="K69" s="212" t="str">
        <f>IF(espacio.coubicacion.activo.CS1&lt;4,error,ok)</f>
        <v>OK</v>
      </c>
    </row>
    <row r="70" spans="1:23" x14ac:dyDescent="0.2">
      <c r="C70" s="127"/>
      <c r="D70" s="127" t="s">
        <v>197</v>
      </c>
      <c r="E70" s="127" t="s">
        <v>195</v>
      </c>
      <c r="F70" s="326">
        <v>4</v>
      </c>
      <c r="H70" s="337">
        <f>F70*cs2.activo</f>
        <v>0</v>
      </c>
      <c r="I70" s="128" t="s">
        <v>204</v>
      </c>
      <c r="J70" s="2"/>
      <c r="K70" s="212" t="str">
        <f>IF(AND(cs2.activo=0,H70&gt;0),error,IF(AND(cs2.activo=1,espacio.coubicacion.activo.CS2=0),error,IF(AND(espacio.coubicacion.activo.CS2&lt;4,cs2.activo=1),error,ok)))</f>
        <v>OK</v>
      </c>
      <c r="L70" s="127"/>
      <c r="M70" s="127"/>
      <c r="N70" s="127"/>
      <c r="O70" s="127"/>
      <c r="P70" s="127"/>
      <c r="Q70" s="127"/>
      <c r="R70" s="127"/>
      <c r="S70" s="127"/>
      <c r="T70" s="127"/>
    </row>
    <row r="71" spans="1:23" x14ac:dyDescent="0.2">
      <c r="C71" s="204"/>
      <c r="D71" s="204" t="s">
        <v>490</v>
      </c>
      <c r="E71" s="204" t="s">
        <v>195</v>
      </c>
      <c r="F71" s="326">
        <v>4</v>
      </c>
      <c r="H71" s="337">
        <f>F71*cs3.activo</f>
        <v>0</v>
      </c>
      <c r="I71" s="205" t="s">
        <v>265</v>
      </c>
      <c r="J71" s="2"/>
      <c r="K71" s="212" t="str">
        <f>IF(AND(cs3.activo=0,H71&gt;0),error,IF(AND(cs3.activo=1,espacio.coubicacion.activo.CS3=0),error,IF(AND(espacio.coubicacion.activo.CS3&lt;4,cs3.activo=1),error,ok)))</f>
        <v>OK</v>
      </c>
      <c r="L71" s="204"/>
      <c r="M71" s="204"/>
      <c r="N71" s="204"/>
      <c r="O71" s="204"/>
      <c r="P71" s="204"/>
      <c r="Q71" s="204"/>
      <c r="R71" s="204"/>
      <c r="S71" s="204"/>
      <c r="T71" s="204"/>
    </row>
    <row r="72" spans="1:23" x14ac:dyDescent="0.2">
      <c r="F72" s="74"/>
      <c r="J72" s="2"/>
    </row>
    <row r="73" spans="1:23" s="204" customFormat="1" x14ac:dyDescent="0.2">
      <c r="D73" s="214" t="s">
        <v>522</v>
      </c>
      <c r="F73" s="74"/>
      <c r="J73" s="2"/>
    </row>
    <row r="74" spans="1:23" x14ac:dyDescent="0.2">
      <c r="C74" s="204"/>
      <c r="D74" s="257" t="s">
        <v>150</v>
      </c>
      <c r="E74" s="204"/>
      <c r="F74" s="326" t="b">
        <v>1</v>
      </c>
      <c r="G74" s="205" t="s">
        <v>519</v>
      </c>
      <c r="H74" s="204"/>
      <c r="I74" s="204"/>
      <c r="J74" s="2"/>
      <c r="K74" s="204"/>
      <c r="L74" s="204"/>
      <c r="M74" s="204"/>
      <c r="N74" s="204"/>
      <c r="O74" s="204"/>
      <c r="P74" s="204"/>
      <c r="Q74" s="204"/>
      <c r="R74" s="204"/>
      <c r="S74" s="204"/>
      <c r="T74" s="204"/>
    </row>
    <row r="75" spans="1:23" s="316" customFormat="1" x14ac:dyDescent="0.2">
      <c r="C75" s="204"/>
      <c r="D75" s="220" t="s">
        <v>264</v>
      </c>
      <c r="E75" s="204"/>
      <c r="F75" s="334" t="b">
        <f>FALSE</f>
        <v>0</v>
      </c>
      <c r="G75" s="205" t="s">
        <v>520</v>
      </c>
      <c r="H75" s="204"/>
      <c r="I75" s="204"/>
      <c r="J75" s="2"/>
      <c r="K75" s="204" t="s">
        <v>534</v>
      </c>
      <c r="L75" s="204"/>
      <c r="M75" s="204"/>
      <c r="N75" s="204"/>
      <c r="O75" s="204"/>
      <c r="P75" s="204"/>
      <c r="Q75" s="204"/>
      <c r="R75" s="204"/>
      <c r="S75" s="204"/>
      <c r="T75" s="204"/>
    </row>
    <row r="76" spans="1:23" s="316" customFormat="1" x14ac:dyDescent="0.2">
      <c r="C76" s="204"/>
      <c r="D76" s="220" t="s">
        <v>518</v>
      </c>
      <c r="E76" s="204"/>
      <c r="F76" s="334" t="b">
        <f>FALSE</f>
        <v>0</v>
      </c>
      <c r="G76" s="205" t="s">
        <v>521</v>
      </c>
      <c r="H76" s="204"/>
      <c r="I76" s="204"/>
      <c r="J76" s="2"/>
      <c r="K76" s="204" t="s">
        <v>534</v>
      </c>
      <c r="L76" s="204"/>
      <c r="M76" s="204"/>
      <c r="N76" s="204"/>
      <c r="O76" s="204"/>
      <c r="P76" s="204"/>
      <c r="Q76" s="204"/>
      <c r="R76" s="204"/>
      <c r="S76" s="204"/>
      <c r="T76" s="204"/>
    </row>
    <row r="77" spans="1:23" s="316" customFormat="1" ht="24" x14ac:dyDescent="0.2">
      <c r="C77" s="204"/>
      <c r="D77" s="338" t="s">
        <v>537</v>
      </c>
      <c r="E77" s="204"/>
      <c r="F77" s="326" t="b">
        <v>1</v>
      </c>
      <c r="G77" s="205" t="s">
        <v>538</v>
      </c>
      <c r="H77" s="204"/>
      <c r="I77" s="204"/>
      <c r="J77" s="2"/>
      <c r="K77" s="204"/>
      <c r="L77" s="204"/>
      <c r="M77" s="204"/>
      <c r="N77" s="204"/>
      <c r="O77" s="204"/>
      <c r="P77" s="204"/>
      <c r="Q77" s="204"/>
      <c r="R77" s="204"/>
      <c r="S77" s="204"/>
      <c r="T77" s="204"/>
    </row>
    <row r="78" spans="1:23" s="316" customFormat="1" x14ac:dyDescent="0.2">
      <c r="F78" s="74"/>
      <c r="J78" s="2"/>
    </row>
    <row r="79" spans="1:23" s="316" customFormat="1" x14ac:dyDescent="0.2">
      <c r="A79" s="141"/>
      <c r="B79" s="141"/>
      <c r="C79" s="219" t="s">
        <v>489</v>
      </c>
      <c r="D79" s="219"/>
      <c r="E79" s="219"/>
      <c r="F79" s="219"/>
      <c r="G79" s="219"/>
      <c r="H79" s="219"/>
      <c r="I79" s="219"/>
      <c r="J79" s="341"/>
      <c r="K79" s="219"/>
      <c r="L79" s="219"/>
      <c r="M79" s="219"/>
      <c r="N79" s="219"/>
      <c r="O79" s="219"/>
      <c r="P79" s="219"/>
      <c r="Q79" s="219"/>
      <c r="R79" s="219"/>
      <c r="S79" s="219"/>
      <c r="T79" s="219"/>
      <c r="U79" s="141"/>
      <c r="V79" s="141"/>
    </row>
    <row r="80" spans="1:23" s="316" customFormat="1" x14ac:dyDescent="0.2">
      <c r="A80" s="141"/>
      <c r="B80" s="141"/>
      <c r="D80" s="344" t="s">
        <v>456</v>
      </c>
      <c r="F80" s="241" t="s">
        <v>517</v>
      </c>
      <c r="G80" s="205" t="s">
        <v>460</v>
      </c>
      <c r="H80" s="204"/>
      <c r="I80" s="204"/>
      <c r="J80" s="2"/>
      <c r="K80" s="204"/>
      <c r="L80" s="204"/>
      <c r="M80" s="204"/>
      <c r="N80" s="204"/>
      <c r="O80" s="204"/>
      <c r="P80" s="204"/>
      <c r="Q80" s="204"/>
      <c r="R80" s="204"/>
      <c r="S80" s="204"/>
      <c r="T80" s="141"/>
      <c r="U80" s="141"/>
      <c r="V80" s="141"/>
    </row>
    <row r="81" spans="1:22" s="316" customFormat="1" outlineLevel="1" x14ac:dyDescent="0.2">
      <c r="A81" s="141"/>
      <c r="B81" s="141"/>
      <c r="D81" s="344" t="s">
        <v>635</v>
      </c>
      <c r="F81" s="209">
        <f>1/0.8</f>
        <v>1.25</v>
      </c>
      <c r="G81" s="205" t="s">
        <v>637</v>
      </c>
      <c r="J81" s="2"/>
      <c r="T81" s="141"/>
      <c r="U81" s="141"/>
      <c r="V81" s="141"/>
    </row>
    <row r="82" spans="1:22" s="316" customFormat="1" outlineLevel="1" x14ac:dyDescent="0.2">
      <c r="A82" s="141"/>
      <c r="B82" s="141"/>
      <c r="D82" s="344" t="s">
        <v>636</v>
      </c>
      <c r="F82" s="209">
        <v>0.8</v>
      </c>
      <c r="G82" s="205" t="s">
        <v>638</v>
      </c>
      <c r="J82" s="2"/>
      <c r="T82" s="141"/>
      <c r="U82" s="141"/>
      <c r="V82" s="141"/>
    </row>
    <row r="83" spans="1:22" s="316" customFormat="1" x14ac:dyDescent="0.2">
      <c r="A83" s="141"/>
      <c r="B83" s="141"/>
      <c r="D83" s="344" t="s">
        <v>311</v>
      </c>
      <c r="E83" s="204" t="s">
        <v>395</v>
      </c>
      <c r="F83" s="9">
        <v>38</v>
      </c>
      <c r="H83" s="204"/>
      <c r="I83" s="205" t="s">
        <v>315</v>
      </c>
      <c r="J83" s="2"/>
      <c r="K83" s="204"/>
      <c r="L83" s="204"/>
      <c r="M83" s="204"/>
      <c r="N83" s="204"/>
      <c r="O83" s="204"/>
      <c r="P83" s="204"/>
      <c r="Q83" s="204"/>
      <c r="R83" s="204"/>
      <c r="S83" s="204"/>
      <c r="T83" s="141"/>
      <c r="U83" s="141"/>
      <c r="V83" s="141"/>
    </row>
    <row r="84" spans="1:22" s="316" customFormat="1" x14ac:dyDescent="0.2">
      <c r="A84" s="141"/>
      <c r="B84" s="141"/>
      <c r="D84" s="344" t="s">
        <v>312</v>
      </c>
      <c r="E84" s="204" t="s">
        <v>395</v>
      </c>
      <c r="F84" s="9">
        <v>10</v>
      </c>
      <c r="H84" s="212">
        <f>F84*cs1.activo</f>
        <v>10</v>
      </c>
      <c r="I84" s="205" t="s">
        <v>316</v>
      </c>
      <c r="J84" s="2"/>
      <c r="K84" s="204"/>
      <c r="L84" s="204"/>
      <c r="M84" s="204"/>
      <c r="N84" s="204"/>
      <c r="O84" s="204"/>
      <c r="P84" s="204"/>
      <c r="Q84" s="204"/>
      <c r="R84" s="204"/>
      <c r="S84" s="204"/>
      <c r="T84" s="141"/>
      <c r="U84" s="141"/>
      <c r="V84" s="141"/>
    </row>
    <row r="85" spans="1:22" s="316" customFormat="1" x14ac:dyDescent="0.2">
      <c r="A85" s="141"/>
      <c r="B85" s="141"/>
      <c r="D85" s="344" t="s">
        <v>313</v>
      </c>
      <c r="E85" s="204" t="s">
        <v>395</v>
      </c>
      <c r="F85" s="9">
        <v>10</v>
      </c>
      <c r="H85" s="212">
        <f>F85*cs2.activo</f>
        <v>0</v>
      </c>
      <c r="I85" s="205" t="s">
        <v>317</v>
      </c>
      <c r="J85" s="2"/>
      <c r="K85" s="212" t="str">
        <f>IF(AND(cs2.activo=0,consumo.equipos.CS2&gt;0),error, IF(AND(cs2.activo=1,consumo.equipos.CS2=0),error,ok))</f>
        <v>OK</v>
      </c>
      <c r="L85" s="204"/>
      <c r="M85" s="204"/>
      <c r="N85" s="204"/>
      <c r="O85" s="204"/>
      <c r="P85" s="204"/>
      <c r="Q85" s="204"/>
      <c r="R85" s="204"/>
      <c r="S85" s="204"/>
      <c r="T85" s="141"/>
      <c r="U85" s="141"/>
      <c r="V85" s="141"/>
    </row>
    <row r="86" spans="1:22" s="316" customFormat="1" x14ac:dyDescent="0.2">
      <c r="A86" s="141"/>
      <c r="B86" s="141"/>
      <c r="D86" s="344" t="s">
        <v>314</v>
      </c>
      <c r="E86" s="204" t="s">
        <v>395</v>
      </c>
      <c r="F86" s="9">
        <v>10</v>
      </c>
      <c r="H86" s="212">
        <f>F86*cs3.activo</f>
        <v>0</v>
      </c>
      <c r="I86" s="205" t="s">
        <v>318</v>
      </c>
      <c r="J86" s="2"/>
      <c r="K86" s="212" t="str">
        <f>IF(AND(cs3.activo=0,consumo.equipos.CS3&gt;0),error, IF(AND(cs3.activo=1,consumo.equipos.CS3=0),error,ok))</f>
        <v>OK</v>
      </c>
      <c r="M86" s="204"/>
      <c r="N86" s="204"/>
      <c r="O86" s="204"/>
      <c r="P86" s="204"/>
      <c r="Q86" s="204"/>
      <c r="R86" s="204"/>
      <c r="S86" s="204"/>
      <c r="T86" s="141"/>
      <c r="U86" s="141"/>
      <c r="V86" s="141"/>
    </row>
    <row r="87" spans="1:22" s="316" customFormat="1" x14ac:dyDescent="0.2">
      <c r="A87" s="141"/>
      <c r="B87" s="141"/>
      <c r="C87" s="141"/>
      <c r="D87" s="141"/>
      <c r="E87" s="141"/>
      <c r="F87" s="141"/>
      <c r="G87" s="141"/>
      <c r="H87" s="141"/>
      <c r="I87" s="141"/>
      <c r="J87" s="343"/>
      <c r="K87" s="141"/>
      <c r="L87" s="141"/>
      <c r="M87" s="141"/>
      <c r="N87" s="141"/>
      <c r="O87" s="141"/>
      <c r="P87" s="141"/>
      <c r="Q87" s="141"/>
      <c r="R87" s="141"/>
      <c r="S87" s="141"/>
      <c r="T87" s="141"/>
      <c r="U87" s="141"/>
      <c r="V87" s="141"/>
    </row>
    <row r="88" spans="1:22" x14ac:dyDescent="0.2">
      <c r="A88" s="141"/>
      <c r="B88" s="143" t="s">
        <v>763</v>
      </c>
      <c r="C88" s="143"/>
      <c r="D88" s="143"/>
      <c r="E88" s="143"/>
      <c r="F88" s="143"/>
      <c r="G88" s="143"/>
      <c r="H88" s="143"/>
      <c r="I88" s="143"/>
      <c r="J88" s="341"/>
      <c r="K88" s="143"/>
      <c r="L88" s="143"/>
      <c r="M88" s="143"/>
      <c r="N88" s="143"/>
      <c r="O88" s="143"/>
      <c r="P88" s="143"/>
      <c r="Q88" s="143"/>
      <c r="R88" s="143"/>
      <c r="S88" s="143"/>
      <c r="T88" s="143"/>
    </row>
    <row r="89" spans="1:22" x14ac:dyDescent="0.2">
      <c r="A89" s="141"/>
      <c r="B89" s="141"/>
      <c r="C89" s="142" t="s">
        <v>762</v>
      </c>
      <c r="D89" s="142"/>
      <c r="E89" s="142"/>
      <c r="F89" s="142"/>
      <c r="G89" s="142"/>
      <c r="H89" s="142"/>
      <c r="I89" s="142"/>
      <c r="J89" s="341"/>
      <c r="K89" s="142"/>
      <c r="L89" s="142"/>
      <c r="M89" s="142"/>
      <c r="N89" s="142"/>
      <c r="O89" s="142"/>
      <c r="P89" s="142"/>
      <c r="Q89" s="142"/>
      <c r="R89" s="142"/>
      <c r="S89" s="142"/>
      <c r="T89" s="142"/>
    </row>
    <row r="90" spans="1:22" x14ac:dyDescent="0.2">
      <c r="D90" s="144" t="s">
        <v>144</v>
      </c>
      <c r="J90" s="2"/>
    </row>
    <row r="91" spans="1:22" x14ac:dyDescent="0.2">
      <c r="D91" s="156" t="s">
        <v>224</v>
      </c>
      <c r="E91" s="204"/>
      <c r="F91" s="208" t="b">
        <v>1</v>
      </c>
      <c r="G91" s="158" t="s">
        <v>225</v>
      </c>
      <c r="J91" s="2"/>
      <c r="K91" s="102" t="s">
        <v>781</v>
      </c>
    </row>
    <row r="92" spans="1:22" s="2" customFormat="1" ht="24" x14ac:dyDescent="0.2">
      <c r="A92" s="204"/>
      <c r="B92" s="204"/>
      <c r="C92" s="204"/>
      <c r="D92" s="273" t="s">
        <v>592</v>
      </c>
      <c r="E92" s="2" t="s">
        <v>591</v>
      </c>
      <c r="F92" s="274">
        <v>0.1</v>
      </c>
      <c r="G92" s="210" t="s">
        <v>226</v>
      </c>
    </row>
    <row r="93" spans="1:22" s="157" customFormat="1" x14ac:dyDescent="0.2">
      <c r="A93" s="204"/>
      <c r="B93" s="204"/>
      <c r="C93" s="204"/>
      <c r="D93" s="157" t="s">
        <v>810</v>
      </c>
      <c r="F93" s="363">
        <v>0.05</v>
      </c>
      <c r="G93" s="210" t="s">
        <v>811</v>
      </c>
      <c r="H93" s="364">
        <f>solicitacion.aire.acondicionado.activo*F93</f>
        <v>0.05</v>
      </c>
      <c r="J93" s="2"/>
    </row>
    <row r="94" spans="1:22" s="316" customFormat="1" x14ac:dyDescent="0.2">
      <c r="J94" s="2"/>
    </row>
    <row r="95" spans="1:22" x14ac:dyDescent="0.2">
      <c r="A95" s="316"/>
      <c r="B95" s="204"/>
      <c r="C95" s="204"/>
      <c r="D95" s="145" t="s">
        <v>634</v>
      </c>
      <c r="J95" s="2"/>
    </row>
    <row r="96" spans="1:22" s="160" customFormat="1" x14ac:dyDescent="0.2">
      <c r="A96" s="316"/>
      <c r="B96" s="204"/>
      <c r="C96" s="204"/>
      <c r="D96" s="162" t="s">
        <v>809</v>
      </c>
      <c r="E96" s="204"/>
      <c r="F96" s="360" t="b">
        <f>TRUE</f>
        <v>1</v>
      </c>
      <c r="G96" s="161" t="s">
        <v>788</v>
      </c>
      <c r="J96" s="2"/>
      <c r="K96" s="359"/>
    </row>
    <row r="97" spans="1:23" s="316" customFormat="1" x14ac:dyDescent="0.2">
      <c r="D97" s="222" t="s">
        <v>782</v>
      </c>
      <c r="F97" s="208" t="b">
        <v>0</v>
      </c>
      <c r="G97" s="210" t="s">
        <v>785</v>
      </c>
      <c r="J97" s="2"/>
      <c r="K97" s="359"/>
    </row>
    <row r="98" spans="1:23" s="316" customFormat="1" x14ac:dyDescent="0.2">
      <c r="D98" s="222" t="s">
        <v>783</v>
      </c>
      <c r="F98" s="208" t="b">
        <v>0</v>
      </c>
      <c r="G98" s="210" t="s">
        <v>786</v>
      </c>
      <c r="J98" s="2"/>
      <c r="K98" s="359"/>
    </row>
    <row r="99" spans="1:23" s="316" customFormat="1" x14ac:dyDescent="0.2">
      <c r="D99" s="222" t="s">
        <v>784</v>
      </c>
      <c r="F99" s="208" t="b">
        <v>0</v>
      </c>
      <c r="G99" s="210" t="s">
        <v>787</v>
      </c>
      <c r="J99" s="2"/>
      <c r="K99" s="359"/>
    </row>
    <row r="100" spans="1:23" s="316" customFormat="1" x14ac:dyDescent="0.2">
      <c r="D100" s="222" t="s">
        <v>742</v>
      </c>
      <c r="F100" s="333" t="s">
        <v>753</v>
      </c>
      <c r="G100" s="210" t="s">
        <v>744</v>
      </c>
      <c r="J100" s="2"/>
    </row>
    <row r="101" spans="1:23" s="160" customFormat="1" x14ac:dyDescent="0.2">
      <c r="A101" s="316"/>
      <c r="B101" s="204"/>
      <c r="C101" s="204"/>
      <c r="D101" s="222" t="s">
        <v>351</v>
      </c>
      <c r="E101" s="160" t="s">
        <v>178</v>
      </c>
      <c r="F101" s="271">
        <v>0.8</v>
      </c>
      <c r="G101" s="210" t="s">
        <v>352</v>
      </c>
      <c r="J101" s="2"/>
      <c r="K101" s="204" t="s">
        <v>453</v>
      </c>
    </row>
    <row r="102" spans="1:23" x14ac:dyDescent="0.2">
      <c r="A102" s="316"/>
      <c r="B102" s="204"/>
      <c r="C102" s="204"/>
      <c r="D102" s="222" t="s">
        <v>612</v>
      </c>
      <c r="E102" s="102" t="s">
        <v>454</v>
      </c>
      <c r="F102" s="321">
        <f>IF(geotipo.activo="Rural",backup.minimo.baterias.rural,backup.minimo.baterias.urbano)</f>
        <v>4.12</v>
      </c>
      <c r="G102" s="210" t="s">
        <v>614</v>
      </c>
      <c r="J102" s="2"/>
      <c r="K102" s="102" t="s">
        <v>765</v>
      </c>
    </row>
    <row r="103" spans="1:23" s="316" customFormat="1" outlineLevel="1" x14ac:dyDescent="0.2">
      <c r="D103" s="270" t="s">
        <v>745</v>
      </c>
      <c r="E103" s="316" t="s">
        <v>454</v>
      </c>
      <c r="F103" s="375">
        <v>4.12</v>
      </c>
      <c r="G103" s="210" t="s">
        <v>747</v>
      </c>
      <c r="J103" s="2"/>
      <c r="K103" s="376" t="s">
        <v>766</v>
      </c>
    </row>
    <row r="104" spans="1:23" s="316" customFormat="1" outlineLevel="1" x14ac:dyDescent="0.2">
      <c r="D104" s="270" t="s">
        <v>746</v>
      </c>
      <c r="E104" s="316" t="s">
        <v>454</v>
      </c>
      <c r="F104" s="375">
        <v>10.08</v>
      </c>
      <c r="G104" s="210" t="s">
        <v>748</v>
      </c>
      <c r="J104" s="2"/>
      <c r="K104" s="376" t="s">
        <v>822</v>
      </c>
    </row>
    <row r="105" spans="1:23" s="204" customFormat="1" x14ac:dyDescent="0.2">
      <c r="A105" s="316"/>
      <c r="D105" s="222" t="s">
        <v>613</v>
      </c>
      <c r="E105" s="204" t="s">
        <v>454</v>
      </c>
      <c r="F105" s="321">
        <f>IF(geotipo.activo="Rural",backup.minimo.generador.diesel.rural,backup.minimo.generador.diesel.urbano)</f>
        <v>22.32</v>
      </c>
      <c r="G105" s="210" t="s">
        <v>615</v>
      </c>
      <c r="J105" s="2"/>
      <c r="K105" s="204" t="s">
        <v>764</v>
      </c>
    </row>
    <row r="106" spans="1:23" s="316" customFormat="1" outlineLevel="1" x14ac:dyDescent="0.2">
      <c r="D106" s="270" t="s">
        <v>745</v>
      </c>
      <c r="E106" s="316" t="s">
        <v>454</v>
      </c>
      <c r="F106" s="375">
        <v>22.32</v>
      </c>
      <c r="G106" s="210" t="s">
        <v>749</v>
      </c>
      <c r="J106" s="2"/>
      <c r="K106" s="376" t="s">
        <v>820</v>
      </c>
    </row>
    <row r="107" spans="1:23" s="316" customFormat="1" outlineLevel="1" x14ac:dyDescent="0.2">
      <c r="D107" s="270" t="s">
        <v>746</v>
      </c>
      <c r="E107" s="316" t="s">
        <v>454</v>
      </c>
      <c r="F107" s="375">
        <v>52.11</v>
      </c>
      <c r="G107" s="210" t="s">
        <v>750</v>
      </c>
      <c r="J107" s="2"/>
      <c r="K107" s="376" t="s">
        <v>821</v>
      </c>
    </row>
    <row r="108" spans="1:23" s="316" customFormat="1" x14ac:dyDescent="0.2">
      <c r="J108" s="2"/>
    </row>
    <row r="109" spans="1:23" x14ac:dyDescent="0.2">
      <c r="A109" s="204"/>
      <c r="C109" s="151" t="s">
        <v>767</v>
      </c>
      <c r="D109" s="151"/>
      <c r="E109" s="151"/>
      <c r="F109" s="151"/>
      <c r="G109" s="151"/>
      <c r="H109" s="151"/>
      <c r="I109" s="151"/>
      <c r="J109" s="341"/>
      <c r="K109" s="151"/>
      <c r="L109" s="151"/>
      <c r="M109" s="151"/>
      <c r="N109" s="151"/>
      <c r="O109" s="151"/>
      <c r="P109" s="151"/>
      <c r="Q109" s="151"/>
      <c r="R109" s="151"/>
      <c r="S109" s="151"/>
      <c r="T109" s="151"/>
    </row>
    <row r="110" spans="1:23" x14ac:dyDescent="0.2">
      <c r="A110" s="204"/>
      <c r="J110" s="2"/>
    </row>
    <row r="111" spans="1:23" s="160" customFormat="1" x14ac:dyDescent="0.2">
      <c r="D111" s="164" t="s">
        <v>143</v>
      </c>
      <c r="E111" s="163"/>
      <c r="F111" s="163"/>
      <c r="J111" s="2"/>
    </row>
    <row r="112" spans="1:23" s="316" customFormat="1" x14ac:dyDescent="0.2">
      <c r="A112" s="113"/>
      <c r="B112" s="113"/>
      <c r="C112" s="102"/>
      <c r="D112" s="131" t="s">
        <v>545</v>
      </c>
      <c r="E112" s="204"/>
      <c r="F112" s="208" t="b">
        <v>1</v>
      </c>
      <c r="G112" s="133" t="s">
        <v>207</v>
      </c>
      <c r="H112" s="102"/>
      <c r="I112" s="102"/>
      <c r="J112" s="2"/>
      <c r="K112" s="316" t="s">
        <v>793</v>
      </c>
      <c r="L112" s="102"/>
      <c r="M112" s="102"/>
      <c r="N112" s="102"/>
      <c r="O112" s="102"/>
      <c r="P112" s="102"/>
      <c r="Q112" s="102"/>
      <c r="R112" s="102"/>
      <c r="S112" s="102"/>
      <c r="T112" s="102"/>
      <c r="V112" s="113"/>
      <c r="W112" s="113"/>
    </row>
    <row r="113" spans="1:23" s="160" customFormat="1" x14ac:dyDescent="0.2">
      <c r="B113" s="204"/>
      <c r="C113" s="204"/>
      <c r="D113" s="222" t="s">
        <v>227</v>
      </c>
      <c r="E113" s="163" t="s">
        <v>178</v>
      </c>
      <c r="F113" s="218">
        <f>50%</f>
        <v>0.5</v>
      </c>
      <c r="G113" s="169" t="s">
        <v>229</v>
      </c>
      <c r="J113" s="2"/>
    </row>
    <row r="114" spans="1:23" s="160" customFormat="1" x14ac:dyDescent="0.2">
      <c r="D114" s="222" t="s">
        <v>228</v>
      </c>
      <c r="E114" s="163" t="s">
        <v>178</v>
      </c>
      <c r="F114" s="165">
        <f>IF(geotipo.activo="Rural",0.2,0)*predio.activo</f>
        <v>0</v>
      </c>
      <c r="G114" s="169" t="s">
        <v>230</v>
      </c>
      <c r="J114" s="2"/>
    </row>
    <row r="115" spans="1:23" s="316" customFormat="1" x14ac:dyDescent="0.2">
      <c r="A115" s="113"/>
      <c r="B115" s="113"/>
      <c r="C115" s="204"/>
      <c r="D115" s="204" t="s">
        <v>546</v>
      </c>
      <c r="E115" s="204"/>
      <c r="F115" s="208" t="b">
        <v>1</v>
      </c>
      <c r="G115" s="133" t="s">
        <v>547</v>
      </c>
      <c r="H115" s="204"/>
      <c r="I115" s="204"/>
      <c r="J115" s="2"/>
      <c r="K115" s="316" t="s">
        <v>794</v>
      </c>
      <c r="L115" s="204"/>
      <c r="M115" s="204"/>
      <c r="N115" s="204"/>
      <c r="O115" s="204"/>
      <c r="P115" s="204"/>
      <c r="Q115" s="204"/>
      <c r="R115" s="204"/>
      <c r="S115" s="204"/>
      <c r="T115" s="204"/>
      <c r="V115" s="113"/>
      <c r="W115" s="113"/>
    </row>
    <row r="116" spans="1:23" s="160" customFormat="1" x14ac:dyDescent="0.2">
      <c r="J116" s="2"/>
    </row>
    <row r="117" spans="1:23" s="204" customFormat="1" x14ac:dyDescent="0.2">
      <c r="D117" s="214" t="s">
        <v>336</v>
      </c>
      <c r="J117" s="2"/>
    </row>
    <row r="118" spans="1:23" s="204" customFormat="1" x14ac:dyDescent="0.2">
      <c r="D118" s="222" t="s">
        <v>542</v>
      </c>
      <c r="E118" s="204" t="s">
        <v>178</v>
      </c>
      <c r="F118" s="218">
        <v>0.1</v>
      </c>
      <c r="G118" s="210" t="s">
        <v>543</v>
      </c>
      <c r="J118" s="2"/>
    </row>
    <row r="119" spans="1:23" s="204" customFormat="1" x14ac:dyDescent="0.2">
      <c r="D119" s="222" t="s">
        <v>337</v>
      </c>
      <c r="E119" s="204" t="s">
        <v>178</v>
      </c>
      <c r="F119" s="218">
        <v>0</v>
      </c>
      <c r="G119" s="210" t="s">
        <v>338</v>
      </c>
      <c r="J119" s="2"/>
    </row>
    <row r="120" spans="1:23" s="204" customFormat="1" x14ac:dyDescent="0.2">
      <c r="G120" s="210"/>
      <c r="J120" s="2"/>
    </row>
    <row r="121" spans="1:23" s="204" customFormat="1" x14ac:dyDescent="0.2">
      <c r="C121" s="214"/>
      <c r="D121" s="214" t="s">
        <v>335</v>
      </c>
      <c r="J121" s="2"/>
    </row>
    <row r="122" spans="1:23" s="204" customFormat="1" x14ac:dyDescent="0.2">
      <c r="D122" s="222" t="s">
        <v>281</v>
      </c>
      <c r="E122" s="204" t="s">
        <v>178</v>
      </c>
      <c r="F122" s="218">
        <v>0</v>
      </c>
      <c r="G122" s="210" t="s">
        <v>282</v>
      </c>
      <c r="J122" s="2"/>
    </row>
    <row r="123" spans="1:23" s="204" customFormat="1" x14ac:dyDescent="0.2">
      <c r="D123" s="222" t="s">
        <v>280</v>
      </c>
      <c r="E123" s="204" t="s">
        <v>178</v>
      </c>
      <c r="F123" s="218">
        <v>0</v>
      </c>
      <c r="G123" s="210" t="s">
        <v>283</v>
      </c>
      <c r="J123" s="2"/>
    </row>
    <row r="124" spans="1:23" s="150" customFormat="1" x14ac:dyDescent="0.2">
      <c r="J124" s="2"/>
    </row>
    <row r="125" spans="1:23" s="150" customFormat="1" x14ac:dyDescent="0.2">
      <c r="J125" s="2"/>
    </row>
    <row r="126" spans="1:23" x14ac:dyDescent="0.2">
      <c r="J126" s="2"/>
    </row>
    <row r="127" spans="1:23" x14ac:dyDescent="0.2">
      <c r="J127" s="2"/>
      <c r="U127" s="146"/>
    </row>
    <row r="128" spans="1:23" x14ac:dyDescent="0.2">
      <c r="J128" s="2"/>
      <c r="U128" s="146"/>
    </row>
    <row r="129" spans="4:10" x14ac:dyDescent="0.2">
      <c r="J129" s="2"/>
    </row>
    <row r="130" spans="4:10" x14ac:dyDescent="0.2">
      <c r="J130" s="2"/>
    </row>
    <row r="131" spans="4:10" x14ac:dyDescent="0.2">
      <c r="J131" s="2"/>
    </row>
    <row r="132" spans="4:10" x14ac:dyDescent="0.2">
      <c r="J132" s="2"/>
    </row>
    <row r="133" spans="4:10" x14ac:dyDescent="0.2">
      <c r="J133" s="2"/>
    </row>
    <row r="134" spans="4:10" x14ac:dyDescent="0.2">
      <c r="J134" s="2"/>
    </row>
    <row r="135" spans="4:10" x14ac:dyDescent="0.2">
      <c r="D135" s="204"/>
      <c r="E135" s="204"/>
      <c r="J135" s="2"/>
    </row>
    <row r="136" spans="4:10" x14ac:dyDescent="0.2">
      <c r="E136" s="204"/>
      <c r="J136" s="2"/>
    </row>
    <row r="137" spans="4:10" x14ac:dyDescent="0.2">
      <c r="E137" s="204"/>
      <c r="J137" s="2"/>
    </row>
    <row r="138" spans="4:10" x14ac:dyDescent="0.2">
      <c r="J138" s="2"/>
    </row>
    <row r="139" spans="4:10" x14ac:dyDescent="0.2">
      <c r="J139" s="2"/>
    </row>
    <row r="140" spans="4:10" x14ac:dyDescent="0.2">
      <c r="J140" s="2"/>
    </row>
    <row r="141" spans="4:10" x14ac:dyDescent="0.2">
      <c r="J141" s="2"/>
    </row>
  </sheetData>
  <conditionalFormatting sqref="E5">
    <cfRule type="expression" dxfId="14" priority="19">
      <formula>$E$5=actualizar.seleccion</formula>
    </cfRule>
  </conditionalFormatting>
  <conditionalFormatting sqref="K70">
    <cfRule type="expression" dxfId="13" priority="18">
      <formula>$K$70=error</formula>
    </cfRule>
  </conditionalFormatting>
  <conditionalFormatting sqref="K71">
    <cfRule type="expression" dxfId="12" priority="14">
      <formula>$K$71=error</formula>
    </cfRule>
  </conditionalFormatting>
  <conditionalFormatting sqref="H64">
    <cfRule type="expression" dxfId="11" priority="6">
      <formula>$H$64=error</formula>
    </cfRule>
  </conditionalFormatting>
  <conditionalFormatting sqref="H65">
    <cfRule type="expression" dxfId="10" priority="4">
      <formula>$H$65=error</formula>
    </cfRule>
  </conditionalFormatting>
  <conditionalFormatting sqref="H66">
    <cfRule type="expression" dxfId="9" priority="3">
      <formula>$H$66=error</formula>
    </cfRule>
  </conditionalFormatting>
  <conditionalFormatting sqref="K69">
    <cfRule type="expression" dxfId="8" priority="1">
      <formula>$K$69=error</formula>
    </cfRule>
  </conditionalFormatting>
  <conditionalFormatting sqref="K85">
    <cfRule type="expression" dxfId="7" priority="38">
      <formula>$K$85=error</formula>
    </cfRule>
    <cfRule type="expression" dxfId="6" priority="39">
      <formula>$K$70=error</formula>
    </cfRule>
  </conditionalFormatting>
  <conditionalFormatting sqref="K86">
    <cfRule type="expression" dxfId="5" priority="40">
      <formula>$K$86=error</formula>
    </cfRule>
    <cfRule type="expression" dxfId="4" priority="41">
      <formula>$K$70=error</formula>
    </cfRule>
  </conditionalFormatting>
  <conditionalFormatting sqref="F70">
    <cfRule type="expression" dxfId="3" priority="42" stopIfTrue="1">
      <formula>$F$62=0</formula>
    </cfRule>
  </conditionalFormatting>
  <conditionalFormatting sqref="F71">
    <cfRule type="expression" dxfId="2" priority="43" stopIfTrue="1">
      <formula>$F$63=0</formula>
    </cfRule>
  </conditionalFormatting>
  <conditionalFormatting sqref="F66">
    <cfRule type="expression" dxfId="1" priority="44">
      <formula>$F$63=0</formula>
    </cfRule>
  </conditionalFormatting>
  <conditionalFormatting sqref="F65">
    <cfRule type="expression" dxfId="0" priority="45">
      <formula>$F$62=0</formula>
    </cfRule>
  </conditionalFormatting>
  <dataValidations disablePrompts="1" count="7">
    <dataValidation type="list" allowBlank="1" showInputMessage="1" showErrorMessage="1" sqref="F45">
      <formula1>año</formula1>
    </dataValidation>
    <dataValidation type="list" allowBlank="1" showInputMessage="1" showErrorMessage="1" sqref="F60">
      <formula1>numero.CS</formula1>
    </dataValidation>
    <dataValidation type="list" allowBlank="1" showInputMessage="1" showErrorMessage="1" sqref="F64:F66">
      <formula1>tipo.coubicacion</formula1>
    </dataValidation>
    <dataValidation type="list" allowBlank="1" showInputMessage="1" showErrorMessage="1" sqref="F35">
      <formula1>propiedad.predio</formula1>
    </dataValidation>
    <dataValidation type="list" allowBlank="1" showInputMessage="1" showErrorMessage="1" sqref="F74 F91 F77 F112 F115 F97:F99">
      <formula1>true.false</formula1>
    </dataValidation>
    <dataValidation type="list" allowBlank="1" showInputMessage="1" showErrorMessage="1" sqref="F80">
      <formula1>corriente.energia</formula1>
    </dataValidation>
    <dataValidation type="list" allowBlank="1" showInputMessage="1" showErrorMessage="1" sqref="F48">
      <formula1>vida.util</formula1>
    </dataValidation>
  </dataValidations>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oddFooter xml:space="preserve">&amp;L&amp;F : &amp;A&amp;CPrinted at &amp;T on &amp;D&amp;RCommercial in confidence © Analysys Mason </oddFooter>
  </headerFooter>
  <ignoredErrors>
    <ignoredError sqref="F113:F114" unlockedFormula="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L!$C$42:$C$45</xm:f>
          </x14:formula1>
          <xm:sqref>F34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S104"/>
  <sheetViews>
    <sheetView showGridLines="0" defaultGridColor="0" colorId="22" zoomScale="80" zoomScaleNormal="80" workbookViewId="0">
      <pane ySplit="1" topLeftCell="A33" activePane="bottomLeft" state="frozen"/>
      <selection pane="bottomLeft" activeCell="E61" sqref="E61"/>
    </sheetView>
  </sheetViews>
  <sheetFormatPr baseColWidth="10" defaultColWidth="12.7109375" defaultRowHeight="12" x14ac:dyDescent="0.2"/>
  <cols>
    <col min="1" max="1" width="6.7109375" style="204" customWidth="1"/>
    <col min="2" max="2" width="60.42578125" style="204" customWidth="1"/>
    <col min="3" max="3" width="14.5703125" style="204" customWidth="1"/>
    <col min="4" max="6" width="12.7109375" style="204"/>
    <col min="7" max="7" width="14" style="204" customWidth="1"/>
    <col min="8" max="8" width="16.85546875" style="204" customWidth="1"/>
    <col min="9" max="9" width="12.7109375" style="204"/>
    <col min="10" max="10" width="16" style="204" customWidth="1"/>
    <col min="11" max="16384" width="12.7109375" style="204"/>
  </cols>
  <sheetData>
    <row r="1" spans="1:19" s="206" customFormat="1" ht="33.75" customHeight="1" x14ac:dyDescent="0.2">
      <c r="A1" s="207" t="s">
        <v>513</v>
      </c>
      <c r="M1" s="206" t="s">
        <v>114</v>
      </c>
    </row>
    <row r="3" spans="1:19" x14ac:dyDescent="0.2">
      <c r="A3" s="199" t="s">
        <v>586</v>
      </c>
      <c r="B3" s="211"/>
      <c r="C3" s="261" t="s">
        <v>165</v>
      </c>
      <c r="D3" s="211"/>
      <c r="E3" s="211"/>
      <c r="F3" s="211"/>
      <c r="G3" s="211"/>
      <c r="H3" s="261" t="s">
        <v>167</v>
      </c>
      <c r="I3" s="261" t="s">
        <v>583</v>
      </c>
      <c r="J3" s="261" t="s">
        <v>169</v>
      </c>
      <c r="K3" s="211"/>
      <c r="L3" s="211"/>
      <c r="M3" s="211"/>
      <c r="N3" s="211"/>
      <c r="O3" s="211"/>
      <c r="P3" s="211"/>
      <c r="Q3" s="211"/>
      <c r="R3" s="211"/>
      <c r="S3" s="211"/>
    </row>
    <row r="4" spans="1:19" x14ac:dyDescent="0.2">
      <c r="E4" s="251">
        <v>2.5</v>
      </c>
      <c r="F4" s="251">
        <v>2</v>
      </c>
      <c r="G4" s="251">
        <v>1.5</v>
      </c>
    </row>
    <row r="5" spans="1:19" x14ac:dyDescent="0.2">
      <c r="D5" s="213" t="str">
        <f t="array" ref="D5:G5">TRANSPOSE(tamaño.central.Telmex)</f>
        <v>Pequeña</v>
      </c>
      <c r="E5" s="213" t="str">
        <v>Media</v>
      </c>
      <c r="F5" s="213" t="str">
        <v>Grande</v>
      </c>
      <c r="G5" s="213" t="str">
        <v>Muy grande</v>
      </c>
      <c r="H5" s="205" t="s">
        <v>340</v>
      </c>
    </row>
    <row r="6" spans="1:19" x14ac:dyDescent="0.2">
      <c r="B6" s="225" t="s">
        <v>515</v>
      </c>
      <c r="C6" s="225" t="s">
        <v>195</v>
      </c>
      <c r="D6" s="258">
        <f t="shared" ref="D6:G6" si="0">D22</f>
        <v>13.673999999999999</v>
      </c>
      <c r="E6" s="258">
        <f t="shared" si="0"/>
        <v>14.447999999999999</v>
      </c>
      <c r="F6" s="258">
        <f t="shared" si="0"/>
        <v>16.77</v>
      </c>
      <c r="G6" s="258">
        <f t="shared" si="0"/>
        <v>22.962</v>
      </c>
      <c r="H6" s="205" t="s">
        <v>533</v>
      </c>
    </row>
    <row r="7" spans="1:19" x14ac:dyDescent="0.2">
      <c r="B7" s="225" t="s">
        <v>150</v>
      </c>
      <c r="C7" s="225" t="s">
        <v>195</v>
      </c>
      <c r="D7" s="272">
        <v>10</v>
      </c>
      <c r="E7" s="272">
        <v>10</v>
      </c>
      <c r="F7" s="272">
        <v>15</v>
      </c>
      <c r="G7" s="272">
        <v>15</v>
      </c>
      <c r="H7" s="205" t="s">
        <v>529</v>
      </c>
    </row>
    <row r="8" spans="1:19" x14ac:dyDescent="0.2">
      <c r="B8" s="225" t="s">
        <v>590</v>
      </c>
      <c r="C8" s="225" t="s">
        <v>195</v>
      </c>
      <c r="D8" s="258">
        <f t="shared" ref="D8:G8" si="1">D30</f>
        <v>15.959999999999999</v>
      </c>
      <c r="E8" s="258">
        <f t="shared" si="1"/>
        <v>20.52</v>
      </c>
      <c r="F8" s="258">
        <f t="shared" si="1"/>
        <v>29.639999999999997</v>
      </c>
      <c r="G8" s="258">
        <f t="shared" si="1"/>
        <v>38.76</v>
      </c>
      <c r="H8" s="205" t="s">
        <v>530</v>
      </c>
    </row>
    <row r="9" spans="1:19" x14ac:dyDescent="0.2">
      <c r="B9" s="225" t="s">
        <v>527</v>
      </c>
      <c r="C9" s="225" t="s">
        <v>195</v>
      </c>
      <c r="D9" s="272">
        <f t="shared" ref="D9:G9" si="2">D8</f>
        <v>15.959999999999999</v>
      </c>
      <c r="E9" s="272">
        <f t="shared" si="2"/>
        <v>20.52</v>
      </c>
      <c r="F9" s="272">
        <f t="shared" si="2"/>
        <v>29.639999999999997</v>
      </c>
      <c r="G9" s="272">
        <f t="shared" si="2"/>
        <v>38.76</v>
      </c>
      <c r="H9" s="205" t="s">
        <v>531</v>
      </c>
    </row>
    <row r="12" spans="1:19" x14ac:dyDescent="0.2">
      <c r="B12" s="214" t="s">
        <v>584</v>
      </c>
    </row>
    <row r="13" spans="1:19" x14ac:dyDescent="0.2">
      <c r="B13" s="220" t="s">
        <v>570</v>
      </c>
      <c r="C13" s="159" t="s">
        <v>179</v>
      </c>
      <c r="D13" s="258">
        <f t="array" ref="D13:G13">TRANSPOSE(L!L19:L22)</f>
        <v>250</v>
      </c>
      <c r="E13" s="258">
        <v>1000</v>
      </c>
      <c r="F13" s="258">
        <v>3250</v>
      </c>
      <c r="G13" s="258">
        <v>10000</v>
      </c>
    </row>
    <row r="14" spans="1:19" x14ac:dyDescent="0.2">
      <c r="B14" s="257" t="s">
        <v>572</v>
      </c>
      <c r="C14" s="159" t="s">
        <v>178</v>
      </c>
      <c r="D14" s="260">
        <v>0.5</v>
      </c>
      <c r="E14" s="260">
        <v>0.5</v>
      </c>
      <c r="F14" s="260">
        <v>0.5</v>
      </c>
      <c r="G14" s="260">
        <v>0.5</v>
      </c>
    </row>
    <row r="15" spans="1:19" x14ac:dyDescent="0.2">
      <c r="B15" s="257" t="s">
        <v>571</v>
      </c>
      <c r="C15" s="159" t="s">
        <v>179</v>
      </c>
      <c r="D15" s="3">
        <f>D13*(1+D14)</f>
        <v>375</v>
      </c>
      <c r="E15" s="3">
        <f t="shared" ref="E15:G15" si="3">E13*(1+E14)</f>
        <v>1500</v>
      </c>
      <c r="F15" s="3">
        <f t="shared" si="3"/>
        <v>4875</v>
      </c>
      <c r="G15" s="3">
        <f t="shared" si="3"/>
        <v>15000</v>
      </c>
    </row>
    <row r="16" spans="1:19" x14ac:dyDescent="0.2">
      <c r="B16" s="257" t="s">
        <v>573</v>
      </c>
      <c r="C16" s="159" t="s">
        <v>566</v>
      </c>
      <c r="D16" s="252">
        <v>800</v>
      </c>
      <c r="E16" s="258">
        <f t="shared" ref="E16:G17" si="4">D16</f>
        <v>800</v>
      </c>
      <c r="F16" s="258">
        <f t="shared" si="4"/>
        <v>800</v>
      </c>
      <c r="G16" s="258">
        <f t="shared" si="4"/>
        <v>800</v>
      </c>
    </row>
    <row r="17" spans="2:12" x14ac:dyDescent="0.2">
      <c r="B17" s="265" t="s">
        <v>564</v>
      </c>
      <c r="C17" s="159" t="s">
        <v>563</v>
      </c>
      <c r="D17" s="256">
        <f>0.18</f>
        <v>0.18</v>
      </c>
      <c r="E17" s="262">
        <f t="shared" si="4"/>
        <v>0.18</v>
      </c>
      <c r="F17" s="262">
        <f t="shared" si="4"/>
        <v>0.18</v>
      </c>
      <c r="G17" s="262">
        <f t="shared" si="4"/>
        <v>0.18</v>
      </c>
      <c r="H17" s="204" t="s">
        <v>578</v>
      </c>
    </row>
    <row r="18" spans="2:12" x14ac:dyDescent="0.2">
      <c r="B18" s="265" t="s">
        <v>575</v>
      </c>
      <c r="C18" s="159" t="s">
        <v>563</v>
      </c>
      <c r="D18" s="256">
        <f>1.3</f>
        <v>1.3</v>
      </c>
      <c r="E18" s="262">
        <f t="shared" ref="E18:G18" si="5">D18</f>
        <v>1.3</v>
      </c>
      <c r="F18" s="262">
        <f t="shared" si="5"/>
        <v>1.3</v>
      </c>
      <c r="G18" s="262">
        <f t="shared" si="5"/>
        <v>1.3</v>
      </c>
      <c r="H18" s="204" t="s">
        <v>579</v>
      </c>
    </row>
    <row r="19" spans="2:12" x14ac:dyDescent="0.2">
      <c r="B19" s="257" t="s">
        <v>574</v>
      </c>
      <c r="C19" s="159" t="s">
        <v>179</v>
      </c>
      <c r="D19" s="54">
        <v>1</v>
      </c>
      <c r="E19" s="12">
        <f t="shared" ref="E19:G21" si="6">D19</f>
        <v>1</v>
      </c>
      <c r="F19" s="12">
        <f t="shared" si="6"/>
        <v>1</v>
      </c>
      <c r="G19" s="12">
        <f t="shared" si="6"/>
        <v>1</v>
      </c>
    </row>
    <row r="20" spans="2:12" x14ac:dyDescent="0.2">
      <c r="B20" s="220" t="s">
        <v>576</v>
      </c>
      <c r="C20" s="159" t="s">
        <v>179</v>
      </c>
      <c r="D20" s="3">
        <f>MAX(D19,ROUNDUP(D13/D16,))</f>
        <v>1</v>
      </c>
      <c r="E20" s="3">
        <f>MAX(E19,ROUNDUP(E13/E16,))</f>
        <v>2</v>
      </c>
      <c r="F20" s="3">
        <f>MAX(F19,ROUNDUP(F13/F16,))</f>
        <v>5</v>
      </c>
      <c r="G20" s="3">
        <f>MAX(G19,ROUNDUP(G13/G16,))</f>
        <v>13</v>
      </c>
      <c r="H20" s="204" t="s">
        <v>581</v>
      </c>
    </row>
    <row r="21" spans="2:12" x14ac:dyDescent="0.2">
      <c r="B21" s="257" t="s">
        <v>577</v>
      </c>
      <c r="C21" s="159" t="s">
        <v>563</v>
      </c>
      <c r="D21" s="256">
        <v>1.5</v>
      </c>
      <c r="E21" s="263">
        <f t="shared" si="6"/>
        <v>1.5</v>
      </c>
      <c r="F21" s="263">
        <f t="shared" si="6"/>
        <v>1.5</v>
      </c>
      <c r="G21" s="263">
        <f t="shared" si="6"/>
        <v>1.5</v>
      </c>
      <c r="H21" s="204" t="s">
        <v>580</v>
      </c>
      <c r="I21" s="204" t="s">
        <v>585</v>
      </c>
    </row>
    <row r="22" spans="2:12" x14ac:dyDescent="0.2">
      <c r="B22" s="266" t="s">
        <v>588</v>
      </c>
      <c r="C22" s="267" t="s">
        <v>195</v>
      </c>
      <c r="D22" s="268">
        <f>(D20*D17+2*D21)*(D18+2*D21)</f>
        <v>13.673999999999999</v>
      </c>
      <c r="E22" s="268">
        <f>(E20*E17+2*E21)*(E18+2*E21)</f>
        <v>14.447999999999999</v>
      </c>
      <c r="F22" s="268">
        <f>(F20*F17+2*F21)*(F18+2*F21)</f>
        <v>16.77</v>
      </c>
      <c r="G22" s="268">
        <f>(G20*G17+2*G21)*(G18+2*G21)</f>
        <v>22.962</v>
      </c>
      <c r="H22" s="264" t="s">
        <v>582</v>
      </c>
    </row>
    <row r="24" spans="2:12" x14ac:dyDescent="0.2">
      <c r="B24" s="214" t="s">
        <v>610</v>
      </c>
    </row>
    <row r="25" spans="2:12" x14ac:dyDescent="0.2">
      <c r="B25" s="220" t="s">
        <v>562</v>
      </c>
    </row>
    <row r="26" spans="2:12" x14ac:dyDescent="0.2">
      <c r="B26" s="270" t="s">
        <v>564</v>
      </c>
      <c r="C26" s="204" t="s">
        <v>563</v>
      </c>
      <c r="D26" s="256">
        <v>0.6</v>
      </c>
      <c r="E26" s="263">
        <f t="shared" ref="E26:G26" si="7">D26</f>
        <v>0.6</v>
      </c>
      <c r="F26" s="263">
        <f t="shared" si="7"/>
        <v>0.6</v>
      </c>
      <c r="G26" s="263">
        <f t="shared" si="7"/>
        <v>0.6</v>
      </c>
      <c r="I26" s="316"/>
      <c r="J26" s="316"/>
      <c r="K26" s="316"/>
      <c r="L26" s="316"/>
    </row>
    <row r="27" spans="2:12" x14ac:dyDescent="0.2">
      <c r="B27" s="270" t="s">
        <v>565</v>
      </c>
      <c r="C27" s="204" t="s">
        <v>563</v>
      </c>
      <c r="D27" s="256">
        <v>0.8</v>
      </c>
      <c r="E27" s="263">
        <f t="shared" ref="E27:G27" si="8">D27</f>
        <v>0.8</v>
      </c>
      <c r="F27" s="263">
        <f t="shared" si="8"/>
        <v>0.8</v>
      </c>
      <c r="G27" s="263">
        <f t="shared" si="8"/>
        <v>0.8</v>
      </c>
      <c r="I27" s="316"/>
      <c r="J27" s="316"/>
      <c r="K27" s="316"/>
      <c r="L27" s="316"/>
    </row>
    <row r="28" spans="2:12" x14ac:dyDescent="0.2">
      <c r="B28" s="265" t="s">
        <v>577</v>
      </c>
      <c r="C28" s="204" t="s">
        <v>563</v>
      </c>
      <c r="D28" s="262">
        <f t="shared" ref="D28:G28" si="9">D$21</f>
        <v>1.5</v>
      </c>
      <c r="E28" s="262">
        <f t="shared" si="9"/>
        <v>1.5</v>
      </c>
      <c r="F28" s="262">
        <f t="shared" si="9"/>
        <v>1.5</v>
      </c>
      <c r="G28" s="262">
        <f t="shared" si="9"/>
        <v>1.5</v>
      </c>
      <c r="I28" s="316"/>
      <c r="J28" s="316"/>
      <c r="K28" s="316"/>
      <c r="L28" s="316"/>
    </row>
    <row r="29" spans="2:12" x14ac:dyDescent="0.2">
      <c r="B29" s="257" t="s">
        <v>587</v>
      </c>
      <c r="C29" s="159" t="s">
        <v>179</v>
      </c>
      <c r="D29" s="54">
        <v>2</v>
      </c>
      <c r="E29" s="54">
        <v>4</v>
      </c>
      <c r="F29" s="54">
        <v>8</v>
      </c>
      <c r="G29" s="54">
        <v>12</v>
      </c>
      <c r="I29" s="316"/>
      <c r="J29" s="316"/>
      <c r="K29" s="316"/>
      <c r="L29" s="316"/>
    </row>
    <row r="30" spans="2:12" x14ac:dyDescent="0.2">
      <c r="B30" s="266" t="s">
        <v>589</v>
      </c>
      <c r="C30" s="267" t="s">
        <v>195</v>
      </c>
      <c r="D30" s="269">
        <f>(D29*D26+2*D28)*(D27+2*D28)</f>
        <v>15.959999999999999</v>
      </c>
      <c r="E30" s="269">
        <f t="shared" ref="E30:G30" si="10">(E29*E26+2*E28)*(E27+2*E28)</f>
        <v>20.52</v>
      </c>
      <c r="F30" s="269">
        <f t="shared" si="10"/>
        <v>29.639999999999997</v>
      </c>
      <c r="G30" s="269">
        <f t="shared" si="10"/>
        <v>38.76</v>
      </c>
    </row>
    <row r="32" spans="2:12" x14ac:dyDescent="0.2">
      <c r="B32" s="214" t="s">
        <v>813</v>
      </c>
    </row>
    <row r="33" spans="1:19" x14ac:dyDescent="0.2">
      <c r="B33" s="220" t="s">
        <v>562</v>
      </c>
    </row>
    <row r="34" spans="1:19" x14ac:dyDescent="0.2">
      <c r="B34" s="270" t="s">
        <v>564</v>
      </c>
      <c r="C34" s="204" t="s">
        <v>563</v>
      </c>
      <c r="D34" s="262">
        <f t="shared" ref="D34:G35" si="11">D26</f>
        <v>0.6</v>
      </c>
      <c r="E34" s="262">
        <f t="shared" si="11"/>
        <v>0.6</v>
      </c>
      <c r="F34" s="262">
        <f t="shared" si="11"/>
        <v>0.6</v>
      </c>
      <c r="G34" s="262">
        <f t="shared" si="11"/>
        <v>0.6</v>
      </c>
    </row>
    <row r="35" spans="1:19" x14ac:dyDescent="0.2">
      <c r="B35" s="270" t="s">
        <v>565</v>
      </c>
      <c r="C35" s="204" t="s">
        <v>563</v>
      </c>
      <c r="D35" s="262">
        <f t="shared" si="11"/>
        <v>0.8</v>
      </c>
      <c r="E35" s="262">
        <f t="shared" si="11"/>
        <v>0.8</v>
      </c>
      <c r="F35" s="262">
        <f t="shared" si="11"/>
        <v>0.8</v>
      </c>
      <c r="G35" s="262">
        <f t="shared" si="11"/>
        <v>0.8</v>
      </c>
    </row>
    <row r="36" spans="1:19" x14ac:dyDescent="0.2">
      <c r="B36" s="265" t="s">
        <v>577</v>
      </c>
      <c r="C36" s="204" t="s">
        <v>563</v>
      </c>
      <c r="D36" s="262">
        <f t="shared" ref="D36:G36" si="12">D$21</f>
        <v>1.5</v>
      </c>
      <c r="E36" s="262">
        <f t="shared" si="12"/>
        <v>1.5</v>
      </c>
      <c r="F36" s="262">
        <f t="shared" si="12"/>
        <v>1.5</v>
      </c>
      <c r="G36" s="262">
        <f t="shared" si="12"/>
        <v>1.5</v>
      </c>
    </row>
    <row r="37" spans="1:19" x14ac:dyDescent="0.2">
      <c r="B37" s="257" t="s">
        <v>587</v>
      </c>
      <c r="C37" s="159" t="s">
        <v>179</v>
      </c>
      <c r="D37" s="54">
        <v>2</v>
      </c>
      <c r="E37" s="54">
        <v>4</v>
      </c>
      <c r="F37" s="54">
        <v>8</v>
      </c>
      <c r="G37" s="54">
        <v>12</v>
      </c>
    </row>
    <row r="38" spans="1:19" x14ac:dyDescent="0.2">
      <c r="B38" s="266" t="s">
        <v>814</v>
      </c>
      <c r="C38" s="267" t="s">
        <v>195</v>
      </c>
      <c r="D38" s="269">
        <f>(D37*D34+2*D36)*(D35+2*D36)</f>
        <v>15.959999999999999</v>
      </c>
      <c r="E38" s="269">
        <f t="shared" ref="E38" si="13">(E37*E34+2*E36)*(E35+2*E36)</f>
        <v>20.52</v>
      </c>
      <c r="F38" s="269">
        <f t="shared" ref="F38" si="14">(F37*F34+2*F36)*(F35+2*F36)</f>
        <v>29.639999999999997</v>
      </c>
      <c r="G38" s="269">
        <f t="shared" ref="G38" si="15">(G37*G34+2*G36)*(G35+2*G36)</f>
        <v>38.76</v>
      </c>
    </row>
    <row r="41" spans="1:19" x14ac:dyDescent="0.2">
      <c r="B41" s="219" t="s">
        <v>473</v>
      </c>
      <c r="C41" s="219"/>
      <c r="D41" s="219"/>
      <c r="E41" s="219"/>
      <c r="F41" s="219"/>
      <c r="G41" s="219"/>
      <c r="H41" s="219"/>
      <c r="I41" s="219"/>
      <c r="J41" s="219"/>
      <c r="K41" s="219"/>
      <c r="L41" s="219"/>
      <c r="M41" s="219"/>
      <c r="N41" s="219"/>
      <c r="O41" s="219"/>
      <c r="P41" s="219"/>
      <c r="Q41" s="219"/>
      <c r="R41" s="219"/>
      <c r="S41" s="219"/>
    </row>
    <row r="43" spans="1:19" x14ac:dyDescent="0.2">
      <c r="A43" s="316"/>
      <c r="D43" s="214" t="s">
        <v>231</v>
      </c>
    </row>
    <row r="44" spans="1:19" x14ac:dyDescent="0.2">
      <c r="B44" s="204" t="s">
        <v>776</v>
      </c>
      <c r="C44" s="204" t="s">
        <v>603</v>
      </c>
      <c r="D44" s="350">
        <v>0.5</v>
      </c>
      <c r="E44" s="205" t="s">
        <v>474</v>
      </c>
    </row>
    <row r="45" spans="1:19" x14ac:dyDescent="0.2">
      <c r="B45" s="204" t="s">
        <v>775</v>
      </c>
      <c r="C45" s="204" t="s">
        <v>195</v>
      </c>
      <c r="D45" s="299">
        <f>INDEX($I$52:$I$59,IFERROR(MATCH(C49-0.000001,$B$52:$B$59,1),0)+1)+INDEX($C$52:$C$59,IFERROR(MATCH(C49-0.000001,$B$52:$B$59,1),0)+1)</f>
        <v>4.6274210526315791</v>
      </c>
      <c r="E45" s="205" t="s">
        <v>475</v>
      </c>
    </row>
    <row r="46" spans="1:19" x14ac:dyDescent="0.2">
      <c r="B46" s="316" t="s">
        <v>779</v>
      </c>
      <c r="C46" s="204" t="s">
        <v>639</v>
      </c>
      <c r="D46" s="354">
        <v>7.0000000000000007E-2</v>
      </c>
      <c r="E46" s="205" t="s">
        <v>778</v>
      </c>
      <c r="I46" s="353"/>
    </row>
    <row r="49" spans="1:19" s="316" customFormat="1" x14ac:dyDescent="0.2">
      <c r="B49" s="214" t="s">
        <v>730</v>
      </c>
      <c r="C49" s="228">
        <f>potencia.minima.fuente.energia.respaldo*factor.conversion.kW.kVA</f>
        <v>38</v>
      </c>
      <c r="D49" s="316" t="s">
        <v>633</v>
      </c>
      <c r="E49" s="228">
        <f>INDEX($F$52:$F$59,IFERROR(MATCH(C49-0.000001,$B$52:$B$59,1),0)+1)*(C49/INDEX($B$52:$B$59,IFERROR(MATCH(C49-0.000001,$B$52:$B$59,1),0)+1))</f>
        <v>175.28639999999999</v>
      </c>
      <c r="F49" s="316" t="s">
        <v>721</v>
      </c>
    </row>
    <row r="50" spans="1:19" s="316" customFormat="1" x14ac:dyDescent="0.2"/>
    <row r="51" spans="1:19" x14ac:dyDescent="0.2">
      <c r="B51" s="144" t="s">
        <v>618</v>
      </c>
      <c r="C51" s="314" t="s">
        <v>719</v>
      </c>
      <c r="E51" s="314" t="s">
        <v>718</v>
      </c>
      <c r="F51" s="314" t="s">
        <v>720</v>
      </c>
      <c r="G51" s="314" t="s">
        <v>725</v>
      </c>
      <c r="H51" s="314" t="s">
        <v>726</v>
      </c>
      <c r="I51" s="314" t="s">
        <v>727</v>
      </c>
    </row>
    <row r="52" spans="1:19" x14ac:dyDescent="0.2">
      <c r="B52" s="315">
        <v>375</v>
      </c>
      <c r="C52" s="319">
        <v>3.7170000000000001</v>
      </c>
      <c r="E52" s="228">
        <f>AVERAGE(I84:I85)</f>
        <v>77.5</v>
      </c>
      <c r="F52" s="228">
        <f t="shared" ref="F52:F59" si="16">E52*horas.backup.fuente.energia.respaldo.generador.diesel</f>
        <v>1729.8</v>
      </c>
      <c r="G52" s="318">
        <f>F52/1000</f>
        <v>1.7298</v>
      </c>
      <c r="H52" s="317">
        <f>AVERAGE(O84:O85)/100</f>
        <v>1.9</v>
      </c>
      <c r="I52" s="320">
        <f>G52/H52</f>
        <v>0.91042105263157902</v>
      </c>
      <c r="J52" s="253"/>
    </row>
    <row r="53" spans="1:19" x14ac:dyDescent="0.2">
      <c r="B53" s="315">
        <v>500</v>
      </c>
      <c r="C53" s="319">
        <v>4.0949999999999998</v>
      </c>
      <c r="E53" s="228">
        <f>AVERAGE(I86:I87)</f>
        <v>103</v>
      </c>
      <c r="F53" s="228">
        <f t="shared" si="16"/>
        <v>2298.96</v>
      </c>
      <c r="G53" s="318">
        <f t="shared" ref="G53:G59" si="17">F53/1000</f>
        <v>2.2989600000000001</v>
      </c>
      <c r="H53" s="317">
        <f>AVERAGE(O86:O87)/100</f>
        <v>1.9750000000000001</v>
      </c>
      <c r="I53" s="320">
        <f t="shared" ref="I53:I59" si="18">G53/H53</f>
        <v>1.1640303797468354</v>
      </c>
    </row>
    <row r="54" spans="1:19" x14ac:dyDescent="0.2">
      <c r="B54" s="315">
        <v>750</v>
      </c>
      <c r="C54" s="319">
        <v>5.6924999999999999</v>
      </c>
      <c r="E54" s="228">
        <f>AVERAGE(I88:I90)</f>
        <v>133.33333333333334</v>
      </c>
      <c r="F54" s="228">
        <f t="shared" si="16"/>
        <v>2976.0000000000005</v>
      </c>
      <c r="G54" s="318">
        <f t="shared" si="17"/>
        <v>2.9760000000000004</v>
      </c>
      <c r="H54" s="317">
        <f>AVERAGE(O88:O90)/100</f>
        <v>2.0866666666666664</v>
      </c>
      <c r="I54" s="320">
        <f t="shared" si="18"/>
        <v>1.4261980830670931</v>
      </c>
    </row>
    <row r="55" spans="1:19" x14ac:dyDescent="0.2">
      <c r="B55" s="315">
        <v>1000</v>
      </c>
      <c r="C55" s="319">
        <v>8.3955000000000002</v>
      </c>
      <c r="E55" s="228">
        <f>AVERAGE(I91:I92)</f>
        <v>203.5</v>
      </c>
      <c r="F55" s="228">
        <f t="shared" si="16"/>
        <v>4542.12</v>
      </c>
      <c r="G55" s="318">
        <f t="shared" si="17"/>
        <v>4.5421199999999997</v>
      </c>
      <c r="H55" s="317">
        <f>AVERAGE(O91:O92)/100</f>
        <v>2.31</v>
      </c>
      <c r="I55" s="320">
        <f t="shared" si="18"/>
        <v>1.9662857142857142</v>
      </c>
    </row>
    <row r="56" spans="1:19" x14ac:dyDescent="0.2">
      <c r="B56" s="315">
        <v>1500</v>
      </c>
      <c r="C56" s="319">
        <v>10.1835</v>
      </c>
      <c r="E56" s="228">
        <f>AVERAGE(I93:I95)</f>
        <v>273.33333333333331</v>
      </c>
      <c r="F56" s="228">
        <f t="shared" si="16"/>
        <v>6100.7999999999993</v>
      </c>
      <c r="G56" s="318">
        <f t="shared" si="17"/>
        <v>6.1007999999999996</v>
      </c>
      <c r="H56" s="317">
        <f>AVERAGE(O93:O95)/100</f>
        <v>2.5033333333333334</v>
      </c>
      <c r="I56" s="320">
        <f t="shared" si="18"/>
        <v>2.4370705725699064</v>
      </c>
    </row>
    <row r="57" spans="1:19" x14ac:dyDescent="0.2">
      <c r="B57" s="315">
        <v>2200</v>
      </c>
      <c r="C57" s="319">
        <v>11.9328</v>
      </c>
      <c r="E57" s="228">
        <f>AVERAGE(I96:I98)</f>
        <v>424.33333333333331</v>
      </c>
      <c r="F57" s="228">
        <f t="shared" si="16"/>
        <v>9471.119999999999</v>
      </c>
      <c r="G57" s="318">
        <f t="shared" si="17"/>
        <v>9.4711199999999991</v>
      </c>
      <c r="H57" s="317">
        <f>AVERAGE(O96:O98)/100</f>
        <v>2.85</v>
      </c>
      <c r="I57" s="320">
        <f t="shared" si="18"/>
        <v>3.3231999999999995</v>
      </c>
    </row>
    <row r="58" spans="1:19" x14ac:dyDescent="0.2">
      <c r="B58" s="315">
        <v>2500</v>
      </c>
      <c r="C58" s="319">
        <v>27.36</v>
      </c>
      <c r="E58" s="228">
        <f>AVERAGE(I99:I100)</f>
        <v>574</v>
      </c>
      <c r="F58" s="228">
        <f t="shared" si="16"/>
        <v>12811.68</v>
      </c>
      <c r="G58" s="318">
        <f t="shared" si="17"/>
        <v>12.811680000000001</v>
      </c>
      <c r="H58" s="317">
        <f>AVERAGE(O99:O100)/100</f>
        <v>3</v>
      </c>
      <c r="I58" s="320">
        <f t="shared" si="18"/>
        <v>4.2705600000000006</v>
      </c>
    </row>
    <row r="59" spans="1:19" x14ac:dyDescent="0.2">
      <c r="B59" s="315">
        <v>3125</v>
      </c>
      <c r="C59" s="319">
        <v>30</v>
      </c>
      <c r="E59" s="228">
        <f>AVERAGE(I101:I104)</f>
        <v>713.75</v>
      </c>
      <c r="F59" s="228">
        <f t="shared" si="16"/>
        <v>15930.9</v>
      </c>
      <c r="G59" s="318">
        <f t="shared" si="17"/>
        <v>15.930899999999999</v>
      </c>
      <c r="H59" s="317">
        <f>AVERAGE(O101:O104)/100</f>
        <v>3.15</v>
      </c>
      <c r="I59" s="320">
        <f t="shared" si="18"/>
        <v>5.0574285714285709</v>
      </c>
    </row>
    <row r="61" spans="1:19" x14ac:dyDescent="0.2">
      <c r="A61" s="199" t="s">
        <v>616</v>
      </c>
      <c r="B61" s="211"/>
      <c r="C61" s="261"/>
      <c r="D61" s="382" t="s">
        <v>165</v>
      </c>
      <c r="E61" s="382" t="s">
        <v>165</v>
      </c>
      <c r="F61" s="211"/>
      <c r="G61" s="211"/>
      <c r="H61" s="261" t="s">
        <v>167</v>
      </c>
      <c r="I61" s="261" t="s">
        <v>583</v>
      </c>
      <c r="J61" s="261" t="s">
        <v>169</v>
      </c>
      <c r="K61" s="211"/>
      <c r="L61" s="211"/>
      <c r="M61" s="211"/>
      <c r="N61" s="211"/>
      <c r="O61" s="211"/>
      <c r="P61" s="211"/>
      <c r="Q61" s="211"/>
      <c r="R61" s="211"/>
      <c r="S61" s="211"/>
    </row>
    <row r="62" spans="1:19" x14ac:dyDescent="0.2">
      <c r="B62" s="219" t="s">
        <v>617</v>
      </c>
      <c r="C62" s="219"/>
      <c r="D62" s="219"/>
      <c r="E62" s="219"/>
      <c r="F62" s="219"/>
      <c r="G62" s="219"/>
      <c r="H62" s="219"/>
      <c r="I62" s="219"/>
      <c r="J62" s="219"/>
      <c r="K62" s="219"/>
      <c r="L62" s="219"/>
      <c r="M62" s="219"/>
      <c r="N62" s="219"/>
      <c r="O62" s="219"/>
      <c r="P62" s="219"/>
      <c r="Q62" s="219"/>
      <c r="R62" s="219"/>
      <c r="S62" s="219"/>
    </row>
    <row r="63" spans="1:19" x14ac:dyDescent="0.2">
      <c r="D63" s="259"/>
      <c r="E63" s="259"/>
      <c r="F63" s="259"/>
      <c r="G63" s="259"/>
      <c r="I63" s="345"/>
    </row>
    <row r="64" spans="1:19" x14ac:dyDescent="0.2">
      <c r="C64" s="214" t="s">
        <v>620</v>
      </c>
      <c r="D64" s="214" t="s">
        <v>619</v>
      </c>
      <c r="E64" s="259"/>
      <c r="F64" s="259"/>
      <c r="G64" s="259"/>
      <c r="I64" s="345"/>
    </row>
    <row r="65" spans="2:7" x14ac:dyDescent="0.2">
      <c r="B65" s="204" t="s">
        <v>780</v>
      </c>
      <c r="C65" s="208">
        <v>48</v>
      </c>
      <c r="D65" s="208">
        <v>200</v>
      </c>
      <c r="E65" s="259"/>
      <c r="F65" s="259"/>
      <c r="G65" s="259"/>
    </row>
    <row r="66" spans="2:7" x14ac:dyDescent="0.2">
      <c r="B66" s="316"/>
      <c r="C66" s="316"/>
      <c r="D66" s="259"/>
      <c r="E66" s="259"/>
      <c r="F66" s="259"/>
      <c r="G66" s="259"/>
    </row>
    <row r="67" spans="2:7" x14ac:dyDescent="0.2">
      <c r="B67" s="214" t="s">
        <v>824</v>
      </c>
      <c r="C67" s="214" t="s">
        <v>621</v>
      </c>
      <c r="D67" s="214" t="s">
        <v>622</v>
      </c>
      <c r="E67" s="316"/>
    </row>
    <row r="68" spans="2:7" x14ac:dyDescent="0.2">
      <c r="B68" s="316" t="s">
        <v>623</v>
      </c>
      <c r="C68" s="356">
        <f>1220/thousand</f>
        <v>1.22</v>
      </c>
      <c r="D68" s="252">
        <f>7.6*60</f>
        <v>456</v>
      </c>
      <c r="E68" s="316" t="s">
        <v>624</v>
      </c>
    </row>
    <row r="69" spans="2:7" x14ac:dyDescent="0.2">
      <c r="B69" s="316" t="s">
        <v>625</v>
      </c>
      <c r="C69" s="356">
        <f>1970/thousand</f>
        <v>1.97</v>
      </c>
      <c r="D69" s="252">
        <f>4.4*60</f>
        <v>264</v>
      </c>
      <c r="E69" s="316" t="s">
        <v>626</v>
      </c>
    </row>
    <row r="70" spans="2:7" x14ac:dyDescent="0.2">
      <c r="B70" s="227" t="s">
        <v>627</v>
      </c>
      <c r="C70" s="255">
        <f>(D68-D69)/(C68-C69)</f>
        <v>-256</v>
      </c>
      <c r="D70" s="316"/>
      <c r="E70" s="316"/>
    </row>
    <row r="71" spans="2:7" x14ac:dyDescent="0.2">
      <c r="B71" s="227" t="s">
        <v>628</v>
      </c>
      <c r="C71" s="255">
        <f>-((C70*C68)-D68)</f>
        <v>768.31999999999994</v>
      </c>
      <c r="D71" s="316"/>
      <c r="E71" s="316"/>
    </row>
    <row r="72" spans="2:7" x14ac:dyDescent="0.2">
      <c r="D72" s="316"/>
      <c r="E72" s="316"/>
    </row>
    <row r="73" spans="2:7" x14ac:dyDescent="0.2">
      <c r="D73" s="316"/>
      <c r="E73" s="316"/>
    </row>
    <row r="75" spans="2:7" x14ac:dyDescent="0.2">
      <c r="B75" s="214" t="s">
        <v>629</v>
      </c>
    </row>
    <row r="76" spans="2:7" x14ac:dyDescent="0.2">
      <c r="B76" s="225" t="s">
        <v>731</v>
      </c>
      <c r="C76" s="255">
        <f>potencia.minima.fuente.energia.respaldo</f>
        <v>30.400000000000002</v>
      </c>
      <c r="D76" s="204" t="s">
        <v>395</v>
      </c>
    </row>
    <row r="77" spans="2:7" x14ac:dyDescent="0.2">
      <c r="B77" s="225" t="s">
        <v>630</v>
      </c>
      <c r="C77" s="258">
        <f>horas.backup.fuente.energia.respaldo.baterias</f>
        <v>4.12</v>
      </c>
      <c r="D77" s="204" t="s">
        <v>632</v>
      </c>
    </row>
    <row r="78" spans="2:7" x14ac:dyDescent="0.2">
      <c r="B78" s="225" t="s">
        <v>732</v>
      </c>
      <c r="C78" s="255">
        <f>(C71-C77*60)/-C70</f>
        <v>2.0356249999999996</v>
      </c>
      <c r="D78" s="204" t="s">
        <v>395</v>
      </c>
    </row>
    <row r="79" spans="2:7" x14ac:dyDescent="0.2">
      <c r="B79" s="225" t="s">
        <v>631</v>
      </c>
      <c r="C79" s="352">
        <f>ROUNDUP(C76/C78,0)</f>
        <v>15</v>
      </c>
      <c r="D79" s="205" t="s">
        <v>729</v>
      </c>
    </row>
    <row r="81" spans="2:19" x14ac:dyDescent="0.2">
      <c r="B81" s="219" t="s">
        <v>717</v>
      </c>
      <c r="C81" s="219"/>
      <c r="D81" s="219"/>
      <c r="E81" s="219"/>
      <c r="F81" s="219"/>
      <c r="G81" s="219"/>
      <c r="H81" s="219"/>
      <c r="I81" s="219"/>
      <c r="J81" s="219"/>
      <c r="K81" s="219"/>
      <c r="L81" s="219"/>
      <c r="M81" s="219"/>
      <c r="N81" s="219"/>
      <c r="O81" s="219"/>
      <c r="P81" s="219"/>
      <c r="Q81" s="219"/>
      <c r="R81" s="219"/>
      <c r="S81" s="219"/>
    </row>
    <row r="83" spans="2:19" ht="60" x14ac:dyDescent="0.2">
      <c r="B83" s="1" t="s">
        <v>640</v>
      </c>
      <c r="C83" s="1" t="s">
        <v>633</v>
      </c>
      <c r="D83" s="1" t="s">
        <v>641</v>
      </c>
      <c r="E83" s="1" t="s">
        <v>633</v>
      </c>
      <c r="F83" s="1" t="s">
        <v>641</v>
      </c>
      <c r="G83" s="1" t="s">
        <v>642</v>
      </c>
      <c r="H83" s="1" t="s">
        <v>643</v>
      </c>
      <c r="I83" s="1" t="s">
        <v>644</v>
      </c>
      <c r="J83" s="1" t="s">
        <v>347</v>
      </c>
      <c r="K83" s="1" t="s">
        <v>645</v>
      </c>
      <c r="L83" s="1" t="s">
        <v>646</v>
      </c>
      <c r="M83" s="1" t="s">
        <v>722</v>
      </c>
      <c r="N83" s="1" t="s">
        <v>723</v>
      </c>
      <c r="O83" s="1" t="s">
        <v>724</v>
      </c>
      <c r="P83" s="1" t="s">
        <v>647</v>
      </c>
      <c r="Q83" s="1" t="s">
        <v>195</v>
      </c>
    </row>
    <row r="84" spans="2:19" x14ac:dyDescent="0.2">
      <c r="B84" s="209" t="s">
        <v>648</v>
      </c>
      <c r="C84" s="252">
        <v>312</v>
      </c>
      <c r="D84" s="252">
        <v>250</v>
      </c>
      <c r="E84" s="252" t="s">
        <v>140</v>
      </c>
      <c r="F84" s="252" t="s">
        <v>140</v>
      </c>
      <c r="G84" s="209" t="s">
        <v>649</v>
      </c>
      <c r="H84" s="252">
        <v>6</v>
      </c>
      <c r="I84" s="252">
        <v>74</v>
      </c>
      <c r="J84" s="209" t="s">
        <v>650</v>
      </c>
      <c r="K84" s="209" t="s">
        <v>651</v>
      </c>
      <c r="L84" s="252">
        <v>2099</v>
      </c>
      <c r="M84" s="252">
        <v>315</v>
      </c>
      <c r="N84" s="252">
        <v>118</v>
      </c>
      <c r="O84" s="252">
        <v>190</v>
      </c>
      <c r="P84" s="258">
        <f t="shared" ref="P84:P104" si="19">C84</f>
        <v>312</v>
      </c>
      <c r="Q84" s="351">
        <f t="shared" ref="Q84:Q104" si="20">M84*N84/10000</f>
        <v>3.7170000000000001</v>
      </c>
    </row>
    <row r="85" spans="2:19" x14ac:dyDescent="0.2">
      <c r="B85" s="209" t="s">
        <v>652</v>
      </c>
      <c r="C85" s="252">
        <v>375</v>
      </c>
      <c r="D85" s="252">
        <v>300</v>
      </c>
      <c r="E85" s="252" t="s">
        <v>140</v>
      </c>
      <c r="F85" s="252" t="s">
        <v>140</v>
      </c>
      <c r="G85" s="209" t="s">
        <v>653</v>
      </c>
      <c r="H85" s="252">
        <v>6</v>
      </c>
      <c r="I85" s="252">
        <v>81</v>
      </c>
      <c r="J85" s="209" t="s">
        <v>650</v>
      </c>
      <c r="K85" s="209" t="s">
        <v>651</v>
      </c>
      <c r="L85" s="252">
        <v>2164</v>
      </c>
      <c r="M85" s="252">
        <v>315</v>
      </c>
      <c r="N85" s="252">
        <v>118</v>
      </c>
      <c r="O85" s="252">
        <v>190</v>
      </c>
      <c r="P85" s="258">
        <f t="shared" si="19"/>
        <v>375</v>
      </c>
      <c r="Q85" s="351">
        <f t="shared" si="20"/>
        <v>3.7170000000000001</v>
      </c>
    </row>
    <row r="86" spans="2:19" x14ac:dyDescent="0.2">
      <c r="B86" s="209" t="s">
        <v>654</v>
      </c>
      <c r="C86" s="252">
        <v>437</v>
      </c>
      <c r="D86" s="252">
        <v>350</v>
      </c>
      <c r="E86" s="252" t="s">
        <v>140</v>
      </c>
      <c r="F86" s="252" t="s">
        <v>140</v>
      </c>
      <c r="G86" s="209" t="s">
        <v>655</v>
      </c>
      <c r="H86" s="252">
        <v>8</v>
      </c>
      <c r="I86" s="252">
        <v>99</v>
      </c>
      <c r="J86" s="209" t="s">
        <v>656</v>
      </c>
      <c r="K86" s="209" t="s">
        <v>657</v>
      </c>
      <c r="L86" s="252">
        <v>2605</v>
      </c>
      <c r="M86" s="252">
        <v>315</v>
      </c>
      <c r="N86" s="252">
        <v>125</v>
      </c>
      <c r="O86" s="252">
        <v>196</v>
      </c>
      <c r="P86" s="258">
        <f t="shared" si="19"/>
        <v>437</v>
      </c>
      <c r="Q86" s="351">
        <f t="shared" si="20"/>
        <v>3.9375</v>
      </c>
    </row>
    <row r="87" spans="2:19" x14ac:dyDescent="0.2">
      <c r="B87" s="209" t="s">
        <v>658</v>
      </c>
      <c r="C87" s="252">
        <v>500</v>
      </c>
      <c r="D87" s="252">
        <v>400</v>
      </c>
      <c r="E87" s="252" t="s">
        <v>140</v>
      </c>
      <c r="F87" s="252" t="s">
        <v>140</v>
      </c>
      <c r="G87" s="209" t="s">
        <v>659</v>
      </c>
      <c r="H87" s="252">
        <v>8</v>
      </c>
      <c r="I87" s="252">
        <v>107</v>
      </c>
      <c r="J87" s="209" t="s">
        <v>656</v>
      </c>
      <c r="K87" s="209" t="s">
        <v>660</v>
      </c>
      <c r="L87" s="252">
        <v>2676</v>
      </c>
      <c r="M87" s="252">
        <v>315</v>
      </c>
      <c r="N87" s="252">
        <v>130</v>
      </c>
      <c r="O87" s="252">
        <v>199</v>
      </c>
      <c r="P87" s="258">
        <f t="shared" si="19"/>
        <v>500</v>
      </c>
      <c r="Q87" s="351">
        <f t="shared" si="20"/>
        <v>4.0949999999999998</v>
      </c>
    </row>
    <row r="88" spans="2:19" x14ac:dyDescent="0.2">
      <c r="B88" s="209" t="s">
        <v>661</v>
      </c>
      <c r="C88" s="252">
        <v>562</v>
      </c>
      <c r="D88" s="252">
        <v>450</v>
      </c>
      <c r="E88" s="252" t="s">
        <v>140</v>
      </c>
      <c r="F88" s="252" t="s">
        <v>140</v>
      </c>
      <c r="G88" s="209" t="s">
        <v>662</v>
      </c>
      <c r="H88" s="252">
        <v>10</v>
      </c>
      <c r="I88" s="252">
        <v>126</v>
      </c>
      <c r="J88" s="209" t="s">
        <v>663</v>
      </c>
      <c r="K88" s="209" t="s">
        <v>664</v>
      </c>
      <c r="L88" s="252">
        <v>3724</v>
      </c>
      <c r="M88" s="252">
        <v>345</v>
      </c>
      <c r="N88" s="252">
        <v>125</v>
      </c>
      <c r="O88" s="252">
        <v>204</v>
      </c>
      <c r="P88" s="258">
        <f t="shared" si="19"/>
        <v>562</v>
      </c>
      <c r="Q88" s="351">
        <f t="shared" si="20"/>
        <v>4.3125</v>
      </c>
    </row>
    <row r="89" spans="2:19" x14ac:dyDescent="0.2">
      <c r="B89" s="209" t="s">
        <v>665</v>
      </c>
      <c r="C89" s="252">
        <v>625</v>
      </c>
      <c r="D89" s="252">
        <v>500</v>
      </c>
      <c r="E89" s="252" t="s">
        <v>140</v>
      </c>
      <c r="F89" s="252" t="s">
        <v>140</v>
      </c>
      <c r="G89" s="209" t="s">
        <v>666</v>
      </c>
      <c r="H89" s="252">
        <v>10</v>
      </c>
      <c r="I89" s="252">
        <v>124</v>
      </c>
      <c r="J89" s="209" t="s">
        <v>667</v>
      </c>
      <c r="K89" s="209" t="s">
        <v>664</v>
      </c>
      <c r="L89" s="252">
        <v>3724</v>
      </c>
      <c r="M89" s="252">
        <v>345</v>
      </c>
      <c r="N89" s="252">
        <v>125</v>
      </c>
      <c r="O89" s="252">
        <v>204</v>
      </c>
      <c r="P89" s="258">
        <f t="shared" si="19"/>
        <v>625</v>
      </c>
      <c r="Q89" s="351">
        <f t="shared" si="20"/>
        <v>4.3125</v>
      </c>
    </row>
    <row r="90" spans="2:19" x14ac:dyDescent="0.2">
      <c r="B90" s="209" t="s">
        <v>668</v>
      </c>
      <c r="C90" s="252">
        <v>750</v>
      </c>
      <c r="D90" s="252">
        <v>600</v>
      </c>
      <c r="E90" s="252" t="s">
        <v>140</v>
      </c>
      <c r="F90" s="252" t="s">
        <v>140</v>
      </c>
      <c r="G90" s="209" t="s">
        <v>669</v>
      </c>
      <c r="H90" s="252">
        <v>12</v>
      </c>
      <c r="I90" s="252">
        <v>150</v>
      </c>
      <c r="J90" s="209" t="s">
        <v>670</v>
      </c>
      <c r="K90" s="209" t="s">
        <v>671</v>
      </c>
      <c r="L90" s="252">
        <v>3537</v>
      </c>
      <c r="M90" s="252">
        <v>345</v>
      </c>
      <c r="N90" s="252">
        <v>165</v>
      </c>
      <c r="O90" s="252">
        <v>218</v>
      </c>
      <c r="P90" s="258">
        <f t="shared" si="19"/>
        <v>750</v>
      </c>
      <c r="Q90" s="351">
        <f t="shared" si="20"/>
        <v>5.6924999999999999</v>
      </c>
    </row>
    <row r="91" spans="2:19" x14ac:dyDescent="0.2">
      <c r="B91" s="209" t="s">
        <v>672</v>
      </c>
      <c r="C91" s="252">
        <v>875</v>
      </c>
      <c r="D91" s="252">
        <v>700</v>
      </c>
      <c r="E91" s="252">
        <v>875</v>
      </c>
      <c r="F91" s="252">
        <v>700</v>
      </c>
      <c r="G91" s="209" t="s">
        <v>673</v>
      </c>
      <c r="H91" s="252">
        <v>12</v>
      </c>
      <c r="I91" s="252">
        <v>190</v>
      </c>
      <c r="J91" s="209" t="s">
        <v>674</v>
      </c>
      <c r="K91" s="209" t="s">
        <v>675</v>
      </c>
      <c r="L91" s="252">
        <v>5176</v>
      </c>
      <c r="M91" s="252">
        <v>435</v>
      </c>
      <c r="N91" s="252">
        <v>193</v>
      </c>
      <c r="O91" s="252">
        <v>231</v>
      </c>
      <c r="P91" s="258">
        <f t="shared" si="19"/>
        <v>875</v>
      </c>
      <c r="Q91" s="351">
        <f t="shared" si="20"/>
        <v>8.3955000000000002</v>
      </c>
    </row>
    <row r="92" spans="2:19" x14ac:dyDescent="0.2">
      <c r="B92" s="209" t="s">
        <v>676</v>
      </c>
      <c r="C92" s="252">
        <v>1000</v>
      </c>
      <c r="D92" s="252">
        <v>800</v>
      </c>
      <c r="E92" s="252">
        <v>1000</v>
      </c>
      <c r="F92" s="252">
        <v>800</v>
      </c>
      <c r="G92" s="209" t="s">
        <v>677</v>
      </c>
      <c r="H92" s="252">
        <v>12</v>
      </c>
      <c r="I92" s="252">
        <v>217</v>
      </c>
      <c r="J92" s="209" t="s">
        <v>678</v>
      </c>
      <c r="K92" s="209" t="s">
        <v>675</v>
      </c>
      <c r="L92" s="252">
        <v>5576</v>
      </c>
      <c r="M92" s="252">
        <v>435</v>
      </c>
      <c r="N92" s="252">
        <v>193</v>
      </c>
      <c r="O92" s="252">
        <v>231</v>
      </c>
      <c r="P92" s="258">
        <f t="shared" si="19"/>
        <v>1000</v>
      </c>
      <c r="Q92" s="351">
        <f t="shared" si="20"/>
        <v>8.3955000000000002</v>
      </c>
    </row>
    <row r="93" spans="2:19" x14ac:dyDescent="0.2">
      <c r="B93" s="209" t="s">
        <v>679</v>
      </c>
      <c r="C93" s="252">
        <v>1125</v>
      </c>
      <c r="D93" s="252">
        <v>900</v>
      </c>
      <c r="E93" s="252">
        <v>1125</v>
      </c>
      <c r="F93" s="252">
        <v>900</v>
      </c>
      <c r="G93" s="209" t="s">
        <v>680</v>
      </c>
      <c r="H93" s="252">
        <v>16</v>
      </c>
      <c r="I93" s="252">
        <v>241</v>
      </c>
      <c r="J93" s="209" t="s">
        <v>681</v>
      </c>
      <c r="K93" s="209" t="s">
        <v>682</v>
      </c>
      <c r="L93" s="252">
        <v>6188</v>
      </c>
      <c r="M93" s="252">
        <v>465</v>
      </c>
      <c r="N93" s="252">
        <v>219</v>
      </c>
      <c r="O93" s="252">
        <v>249</v>
      </c>
      <c r="P93" s="258">
        <f t="shared" si="19"/>
        <v>1125</v>
      </c>
      <c r="Q93" s="351">
        <f t="shared" si="20"/>
        <v>10.1835</v>
      </c>
    </row>
    <row r="94" spans="2:19" x14ac:dyDescent="0.2">
      <c r="B94" s="209" t="s">
        <v>683</v>
      </c>
      <c r="C94" s="252">
        <v>1250</v>
      </c>
      <c r="D94" s="252">
        <v>1000</v>
      </c>
      <c r="E94" s="252">
        <v>1250</v>
      </c>
      <c r="F94" s="252">
        <v>1000</v>
      </c>
      <c r="G94" s="209" t="s">
        <v>684</v>
      </c>
      <c r="H94" s="252">
        <v>16</v>
      </c>
      <c r="I94" s="252">
        <v>267</v>
      </c>
      <c r="J94" s="209" t="s">
        <v>685</v>
      </c>
      <c r="K94" s="209" t="s">
        <v>682</v>
      </c>
      <c r="L94" s="252">
        <v>6298</v>
      </c>
      <c r="M94" s="252">
        <v>465</v>
      </c>
      <c r="N94" s="252">
        <v>219</v>
      </c>
      <c r="O94" s="252">
        <v>249</v>
      </c>
      <c r="P94" s="258">
        <f t="shared" si="19"/>
        <v>1250</v>
      </c>
      <c r="Q94" s="351">
        <f t="shared" si="20"/>
        <v>10.1835</v>
      </c>
    </row>
    <row r="95" spans="2:19" x14ac:dyDescent="0.2">
      <c r="B95" s="209" t="s">
        <v>686</v>
      </c>
      <c r="C95" s="252">
        <v>1500</v>
      </c>
      <c r="D95" s="252">
        <v>1200</v>
      </c>
      <c r="E95" s="252">
        <v>1500</v>
      </c>
      <c r="F95" s="252">
        <v>1200</v>
      </c>
      <c r="G95" s="209" t="s">
        <v>687</v>
      </c>
      <c r="H95" s="252">
        <v>18</v>
      </c>
      <c r="I95" s="252">
        <v>312</v>
      </c>
      <c r="J95" s="209" t="s">
        <v>688</v>
      </c>
      <c r="K95" s="209" t="s">
        <v>689</v>
      </c>
      <c r="L95" s="252">
        <v>7717</v>
      </c>
      <c r="M95" s="252">
        <v>465</v>
      </c>
      <c r="N95" s="252">
        <v>219</v>
      </c>
      <c r="O95" s="252">
        <v>253</v>
      </c>
      <c r="P95" s="258">
        <f t="shared" si="19"/>
        <v>1500</v>
      </c>
      <c r="Q95" s="351">
        <f t="shared" si="20"/>
        <v>10.1835</v>
      </c>
    </row>
    <row r="96" spans="2:19" x14ac:dyDescent="0.2">
      <c r="B96" s="209" t="s">
        <v>690</v>
      </c>
      <c r="C96" s="252">
        <v>1562</v>
      </c>
      <c r="D96" s="252">
        <v>1250</v>
      </c>
      <c r="E96" s="252">
        <v>1562</v>
      </c>
      <c r="F96" s="252">
        <v>1250</v>
      </c>
      <c r="G96" s="209" t="s">
        <v>691</v>
      </c>
      <c r="H96" s="252">
        <v>12</v>
      </c>
      <c r="I96" s="252">
        <v>407</v>
      </c>
      <c r="J96" s="209" t="s">
        <v>688</v>
      </c>
      <c r="K96" s="209" t="s">
        <v>692</v>
      </c>
      <c r="L96" s="252">
        <v>11204</v>
      </c>
      <c r="M96" s="252">
        <v>528</v>
      </c>
      <c r="N96" s="252">
        <v>226</v>
      </c>
      <c r="O96" s="252">
        <v>285</v>
      </c>
      <c r="P96" s="258">
        <f t="shared" si="19"/>
        <v>1562</v>
      </c>
      <c r="Q96" s="351">
        <f t="shared" si="20"/>
        <v>11.9328</v>
      </c>
    </row>
    <row r="97" spans="2:17" x14ac:dyDescent="0.2">
      <c r="B97" s="209" t="s">
        <v>693</v>
      </c>
      <c r="C97" s="252">
        <v>1875</v>
      </c>
      <c r="D97" s="252">
        <v>1500</v>
      </c>
      <c r="E97" s="252">
        <v>1875</v>
      </c>
      <c r="F97" s="252">
        <v>1500</v>
      </c>
      <c r="G97" s="209" t="s">
        <v>691</v>
      </c>
      <c r="H97" s="252">
        <v>12</v>
      </c>
      <c r="I97" s="252">
        <v>407</v>
      </c>
      <c r="J97" s="209" t="s">
        <v>694</v>
      </c>
      <c r="K97" s="209" t="s">
        <v>692</v>
      </c>
      <c r="L97" s="252">
        <v>11474</v>
      </c>
      <c r="M97" s="252">
        <v>528</v>
      </c>
      <c r="N97" s="252">
        <v>226</v>
      </c>
      <c r="O97" s="252">
        <v>285</v>
      </c>
      <c r="P97" s="258">
        <f t="shared" si="19"/>
        <v>1875</v>
      </c>
      <c r="Q97" s="351">
        <f t="shared" si="20"/>
        <v>11.9328</v>
      </c>
    </row>
    <row r="98" spans="2:17" x14ac:dyDescent="0.2">
      <c r="B98" s="209" t="s">
        <v>695</v>
      </c>
      <c r="C98" s="252">
        <v>2187</v>
      </c>
      <c r="D98" s="252">
        <v>1750</v>
      </c>
      <c r="E98" s="252">
        <v>2187</v>
      </c>
      <c r="F98" s="252">
        <v>1750</v>
      </c>
      <c r="G98" s="209" t="s">
        <v>696</v>
      </c>
      <c r="H98" s="252">
        <v>12</v>
      </c>
      <c r="I98" s="252">
        <v>459</v>
      </c>
      <c r="J98" s="209" t="s">
        <v>697</v>
      </c>
      <c r="K98" s="209" t="s">
        <v>692</v>
      </c>
      <c r="L98" s="252">
        <v>11974</v>
      </c>
      <c r="M98" s="252">
        <v>528</v>
      </c>
      <c r="N98" s="252">
        <v>226</v>
      </c>
      <c r="O98" s="252">
        <v>285</v>
      </c>
      <c r="P98" s="258">
        <f t="shared" si="19"/>
        <v>2187</v>
      </c>
      <c r="Q98" s="351">
        <f t="shared" si="20"/>
        <v>11.9328</v>
      </c>
    </row>
    <row r="99" spans="2:17" x14ac:dyDescent="0.2">
      <c r="B99" s="209" t="s">
        <v>698</v>
      </c>
      <c r="C99" s="252">
        <v>2500</v>
      </c>
      <c r="D99" s="252">
        <v>2000</v>
      </c>
      <c r="E99" s="252">
        <v>2500</v>
      </c>
      <c r="F99" s="252">
        <v>2000</v>
      </c>
      <c r="G99" s="209" t="s">
        <v>699</v>
      </c>
      <c r="H99" s="252">
        <v>16</v>
      </c>
      <c r="I99" s="252">
        <v>538</v>
      </c>
      <c r="J99" s="209" t="s">
        <v>700</v>
      </c>
      <c r="K99" s="209" t="s">
        <v>701</v>
      </c>
      <c r="L99" s="252">
        <v>20200</v>
      </c>
      <c r="M99" s="252">
        <v>720</v>
      </c>
      <c r="N99" s="252">
        <v>380</v>
      </c>
      <c r="O99" s="252">
        <v>300</v>
      </c>
      <c r="P99" s="258">
        <f t="shared" si="19"/>
        <v>2500</v>
      </c>
      <c r="Q99" s="351">
        <f t="shared" si="20"/>
        <v>27.36</v>
      </c>
    </row>
    <row r="100" spans="2:17" x14ac:dyDescent="0.2">
      <c r="B100" s="209" t="s">
        <v>702</v>
      </c>
      <c r="C100" s="252">
        <v>2812</v>
      </c>
      <c r="D100" s="252">
        <v>2250</v>
      </c>
      <c r="E100" s="252">
        <v>2812</v>
      </c>
      <c r="F100" s="252">
        <v>2250</v>
      </c>
      <c r="G100" s="209" t="s">
        <v>703</v>
      </c>
      <c r="H100" s="252">
        <v>16</v>
      </c>
      <c r="I100" s="252">
        <v>610</v>
      </c>
      <c r="J100" s="209" t="s">
        <v>704</v>
      </c>
      <c r="K100" s="209" t="s">
        <v>701</v>
      </c>
      <c r="L100" s="252" t="s">
        <v>705</v>
      </c>
      <c r="M100" s="252">
        <v>720</v>
      </c>
      <c r="N100" s="252">
        <v>380</v>
      </c>
      <c r="O100" s="252">
        <v>300</v>
      </c>
      <c r="P100" s="258">
        <f t="shared" si="19"/>
        <v>2812</v>
      </c>
      <c r="Q100" s="351">
        <f t="shared" si="20"/>
        <v>27.36</v>
      </c>
    </row>
    <row r="101" spans="2:17" x14ac:dyDescent="0.2">
      <c r="B101" s="209" t="s">
        <v>706</v>
      </c>
      <c r="C101" s="252">
        <v>3125</v>
      </c>
      <c r="D101" s="252">
        <v>2250</v>
      </c>
      <c r="E101" s="252">
        <v>3125</v>
      </c>
      <c r="F101" s="252">
        <v>2250</v>
      </c>
      <c r="G101" s="209" t="s">
        <v>707</v>
      </c>
      <c r="H101" s="252">
        <v>16</v>
      </c>
      <c r="I101" s="252">
        <v>688</v>
      </c>
      <c r="J101" s="209" t="s">
        <v>708</v>
      </c>
      <c r="K101" s="209" t="s">
        <v>701</v>
      </c>
      <c r="L101" s="252" t="s">
        <v>705</v>
      </c>
      <c r="M101" s="252">
        <v>720</v>
      </c>
      <c r="N101" s="252">
        <v>380</v>
      </c>
      <c r="O101" s="252">
        <v>300</v>
      </c>
      <c r="P101" s="258">
        <f t="shared" si="19"/>
        <v>3125</v>
      </c>
      <c r="Q101" s="351">
        <f t="shared" si="20"/>
        <v>27.36</v>
      </c>
    </row>
    <row r="102" spans="2:17" x14ac:dyDescent="0.2">
      <c r="B102" s="209" t="s">
        <v>706</v>
      </c>
      <c r="C102" s="252">
        <v>3125</v>
      </c>
      <c r="D102" s="252">
        <v>2500</v>
      </c>
      <c r="E102" s="252">
        <v>3125</v>
      </c>
      <c r="F102" s="252">
        <v>2500</v>
      </c>
      <c r="G102" s="209" t="s">
        <v>709</v>
      </c>
      <c r="H102" s="252">
        <v>20</v>
      </c>
      <c r="I102" s="252">
        <v>624</v>
      </c>
      <c r="J102" s="209" t="s">
        <v>708</v>
      </c>
      <c r="K102" s="209" t="s">
        <v>710</v>
      </c>
      <c r="L102" s="252" t="s">
        <v>705</v>
      </c>
      <c r="M102" s="252">
        <v>750</v>
      </c>
      <c r="N102" s="252">
        <v>400</v>
      </c>
      <c r="O102" s="252">
        <v>320</v>
      </c>
      <c r="P102" s="258">
        <f t="shared" si="19"/>
        <v>3125</v>
      </c>
      <c r="Q102" s="351">
        <f t="shared" si="20"/>
        <v>30</v>
      </c>
    </row>
    <row r="103" spans="2:17" x14ac:dyDescent="0.2">
      <c r="B103" s="209" t="s">
        <v>711</v>
      </c>
      <c r="C103" s="252">
        <v>3500</v>
      </c>
      <c r="D103" s="252">
        <v>2500</v>
      </c>
      <c r="E103" s="252">
        <v>3500</v>
      </c>
      <c r="F103" s="252">
        <v>2500</v>
      </c>
      <c r="G103" s="209" t="s">
        <v>712</v>
      </c>
      <c r="H103" s="252">
        <v>20</v>
      </c>
      <c r="I103" s="252">
        <v>703</v>
      </c>
      <c r="J103" s="209" t="s">
        <v>713</v>
      </c>
      <c r="K103" s="209" t="s">
        <v>710</v>
      </c>
      <c r="L103" s="252" t="s">
        <v>705</v>
      </c>
      <c r="M103" s="252">
        <v>750</v>
      </c>
      <c r="N103" s="252">
        <v>400</v>
      </c>
      <c r="O103" s="252">
        <v>320</v>
      </c>
      <c r="P103" s="258">
        <f t="shared" si="19"/>
        <v>3500</v>
      </c>
      <c r="Q103" s="351">
        <f t="shared" si="20"/>
        <v>30</v>
      </c>
    </row>
    <row r="104" spans="2:17" x14ac:dyDescent="0.2">
      <c r="B104" s="209" t="s">
        <v>714</v>
      </c>
      <c r="C104" s="252">
        <v>4062</v>
      </c>
      <c r="D104" s="252">
        <v>3250</v>
      </c>
      <c r="E104" s="252">
        <v>4062</v>
      </c>
      <c r="F104" s="252">
        <v>3250</v>
      </c>
      <c r="G104" s="209" t="s">
        <v>715</v>
      </c>
      <c r="H104" s="252">
        <v>20</v>
      </c>
      <c r="I104" s="252">
        <v>840</v>
      </c>
      <c r="J104" s="209" t="s">
        <v>716</v>
      </c>
      <c r="K104" s="209" t="s">
        <v>710</v>
      </c>
      <c r="L104" s="252" t="s">
        <v>705</v>
      </c>
      <c r="M104" s="252">
        <v>750</v>
      </c>
      <c r="N104" s="252">
        <v>400</v>
      </c>
      <c r="O104" s="252">
        <v>320</v>
      </c>
      <c r="P104" s="258">
        <f t="shared" si="19"/>
        <v>4062</v>
      </c>
      <c r="Q104" s="351">
        <f t="shared" si="20"/>
        <v>30</v>
      </c>
    </row>
  </sheetData>
  <sortState ref="B50:C57">
    <sortCondition ref="B50:B57"/>
  </sortState>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oddFooter xml:space="preserve">&amp;L&amp;F : &amp;A&amp;CPrinted at &amp;T on &amp;D&amp;RCommercial in confidence © Analysys Mason </oddFooter>
  </headerFooter>
  <ignoredErrors>
    <ignoredError sqref="E52:E59 H52:H59"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S107"/>
  <sheetViews>
    <sheetView showGridLines="0" defaultGridColor="0" colorId="22" zoomScale="80" zoomScaleNormal="80" workbookViewId="0">
      <pane ySplit="1" topLeftCell="A2" activePane="bottomLeft" state="frozen"/>
      <selection pane="bottomLeft"/>
    </sheetView>
  </sheetViews>
  <sheetFormatPr baseColWidth="10" defaultColWidth="12.7109375" defaultRowHeight="12" outlineLevelCol="1" x14ac:dyDescent="0.2"/>
  <cols>
    <col min="1" max="1" width="6.7109375" style="166" customWidth="1"/>
    <col min="2" max="2" width="5.5703125" style="166" customWidth="1"/>
    <col min="3" max="3" width="7.140625" style="166" customWidth="1"/>
    <col min="4" max="4" width="60.7109375" style="166" customWidth="1"/>
    <col min="5" max="6" width="12.7109375" style="166"/>
    <col min="7" max="7" width="68.28515625" style="166" customWidth="1" outlineLevel="1"/>
    <col min="8" max="16384" width="12.7109375" style="166"/>
  </cols>
  <sheetData>
    <row r="1" spans="1:19" s="167" customFormat="1" ht="33.75" customHeight="1" x14ac:dyDescent="0.2">
      <c r="A1" s="168" t="s">
        <v>231</v>
      </c>
      <c r="L1" s="167" t="s">
        <v>114</v>
      </c>
    </row>
    <row r="3" spans="1:19" s="173" customFormat="1" x14ac:dyDescent="0.2">
      <c r="D3" s="177" t="s">
        <v>164</v>
      </c>
      <c r="E3" s="177" t="s">
        <v>165</v>
      </c>
      <c r="F3" s="177" t="s">
        <v>166</v>
      </c>
      <c r="G3" s="177" t="s">
        <v>167</v>
      </c>
      <c r="H3" s="176"/>
      <c r="I3" s="177" t="s">
        <v>169</v>
      </c>
    </row>
    <row r="4" spans="1:19" s="173" customFormat="1" x14ac:dyDescent="0.2"/>
    <row r="5" spans="1:19" x14ac:dyDescent="0.2">
      <c r="A5" s="172" t="s">
        <v>232</v>
      </c>
      <c r="B5" s="171"/>
      <c r="C5" s="171"/>
      <c r="D5" s="171"/>
      <c r="E5" s="171"/>
      <c r="F5" s="171"/>
      <c r="G5" s="171"/>
      <c r="H5" s="171"/>
      <c r="I5" s="171"/>
      <c r="J5" s="171"/>
      <c r="K5" s="171"/>
      <c r="L5" s="171"/>
      <c r="M5" s="171"/>
      <c r="N5" s="171"/>
      <c r="O5" s="171"/>
      <c r="P5" s="171"/>
      <c r="Q5" s="171"/>
      <c r="R5" s="171"/>
      <c r="S5" s="170"/>
    </row>
    <row r="6" spans="1:19" x14ac:dyDescent="0.2">
      <c r="A6" s="174">
        <v>1</v>
      </c>
      <c r="B6" s="175" t="str">
        <f>INDEX(lista.activos,$A6)</f>
        <v>Predio</v>
      </c>
      <c r="C6" s="175"/>
      <c r="D6" s="175"/>
      <c r="E6" s="175"/>
      <c r="F6" s="175"/>
      <c r="G6" s="175"/>
      <c r="H6" s="175"/>
      <c r="I6" s="175"/>
      <c r="J6" s="175"/>
      <c r="K6" s="175"/>
      <c r="L6" s="175"/>
      <c r="M6" s="175"/>
      <c r="N6" s="175"/>
      <c r="O6" s="175"/>
      <c r="P6" s="175"/>
      <c r="Q6" s="175"/>
      <c r="R6" s="175"/>
    </row>
    <row r="8" spans="1:19" x14ac:dyDescent="0.2">
      <c r="D8" s="180" t="s">
        <v>233</v>
      </c>
      <c r="E8" s="180" t="s">
        <v>195</v>
      </c>
      <c r="F8" s="255">
        <f>area.exterior.central.telmex+area.sala.coubicacion.externa.CS</f>
        <v>54.902272368421052</v>
      </c>
      <c r="G8" s="182" t="s">
        <v>237</v>
      </c>
    </row>
    <row r="9" spans="1:19" x14ac:dyDescent="0.2">
      <c r="D9" s="180" t="s">
        <v>234</v>
      </c>
      <c r="E9" s="180" t="s">
        <v>178</v>
      </c>
      <c r="F9" s="254">
        <f>markup.predio*predio.activo</f>
        <v>0.5</v>
      </c>
      <c r="G9" s="204"/>
    </row>
    <row r="10" spans="1:19" x14ac:dyDescent="0.2">
      <c r="D10" s="180" t="s">
        <v>235</v>
      </c>
      <c r="E10" s="180" t="s">
        <v>178</v>
      </c>
      <c r="F10" s="310">
        <f>markup.zona.rural</f>
        <v>0</v>
      </c>
      <c r="G10" s="181"/>
    </row>
    <row r="11" spans="1:19" x14ac:dyDescent="0.2">
      <c r="D11" s="180" t="s">
        <v>236</v>
      </c>
      <c r="E11" s="180" t="s">
        <v>195</v>
      </c>
      <c r="F11" s="255">
        <f>F8*(1+F9)*(1+F10)</f>
        <v>82.353408552631578</v>
      </c>
      <c r="G11" s="182" t="s">
        <v>238</v>
      </c>
    </row>
    <row r="13" spans="1:19" x14ac:dyDescent="0.2">
      <c r="A13" s="178">
        <v>2</v>
      </c>
      <c r="B13" s="179" t="str">
        <f>INDEX(lista.activos,$A13)</f>
        <v>Central del AEP</v>
      </c>
      <c r="C13" s="179"/>
      <c r="D13" s="179"/>
      <c r="E13" s="179"/>
      <c r="F13" s="179"/>
      <c r="G13" s="179"/>
      <c r="H13" s="179"/>
      <c r="I13" s="179"/>
      <c r="J13" s="179"/>
      <c r="K13" s="179"/>
      <c r="L13" s="179"/>
      <c r="M13" s="179"/>
      <c r="N13" s="179"/>
      <c r="O13" s="179"/>
      <c r="P13" s="179"/>
      <c r="Q13" s="179"/>
      <c r="R13" s="179"/>
    </row>
    <row r="14" spans="1:19" s="204" customFormat="1" x14ac:dyDescent="0.2">
      <c r="A14" s="216"/>
      <c r="B14" s="216"/>
      <c r="C14" s="216"/>
      <c r="D14" s="216"/>
      <c r="E14" s="216"/>
      <c r="F14" s="216"/>
      <c r="G14" s="216"/>
      <c r="H14" s="216"/>
      <c r="I14" s="216"/>
      <c r="J14" s="216"/>
      <c r="K14" s="216"/>
      <c r="L14" s="216"/>
      <c r="M14" s="216"/>
      <c r="N14" s="216"/>
      <c r="O14" s="216"/>
      <c r="P14" s="216"/>
      <c r="Q14" s="216"/>
      <c r="R14" s="216"/>
    </row>
    <row r="15" spans="1:19" s="204" customFormat="1" x14ac:dyDescent="0.2">
      <c r="A15" s="216"/>
      <c r="B15" s="216"/>
      <c r="C15" s="216"/>
      <c r="D15" s="204" t="s">
        <v>323</v>
      </c>
      <c r="E15" s="204" t="s">
        <v>195</v>
      </c>
      <c r="F15" s="255">
        <f>(area.sala.MDF.AEP+area.sala.coubicacion.CS+area.sala.control+area.sala.switching+area.sala.transmision+area.sala.subestacion.electrica+area.sala.emergencia+area.sala.baterias+area.espacio.overheads)</f>
        <v>109.8045447368421</v>
      </c>
      <c r="G15" s="205" t="s">
        <v>324</v>
      </c>
      <c r="H15" s="216"/>
      <c r="I15" s="216"/>
      <c r="J15" s="216"/>
      <c r="K15" s="216"/>
      <c r="L15" s="216"/>
      <c r="M15" s="216"/>
      <c r="N15" s="216"/>
      <c r="O15" s="216"/>
      <c r="P15" s="216"/>
      <c r="Q15" s="216"/>
      <c r="R15" s="216"/>
    </row>
    <row r="16" spans="1:19" s="204" customFormat="1" x14ac:dyDescent="0.2">
      <c r="A16" s="216"/>
      <c r="B16" s="216"/>
      <c r="C16" s="216"/>
      <c r="D16" s="204" t="s">
        <v>333</v>
      </c>
      <c r="E16" s="204" t="s">
        <v>195</v>
      </c>
      <c r="F16" s="255">
        <f>area.salas.central.telmex*(1+markup.area.exterior.central.telmex)/numero.plantas.central.telmex.activo</f>
        <v>54.902272368421052</v>
      </c>
      <c r="G16" s="205" t="s">
        <v>334</v>
      </c>
      <c r="H16" s="216"/>
      <c r="I16" s="204" t="s">
        <v>825</v>
      </c>
      <c r="J16" s="216"/>
      <c r="K16" s="216"/>
      <c r="L16" s="216"/>
      <c r="M16" s="216"/>
      <c r="N16" s="216"/>
      <c r="O16" s="216"/>
      <c r="P16" s="216"/>
      <c r="Q16" s="216"/>
      <c r="R16" s="216"/>
    </row>
    <row r="17" spans="1:18" s="204" customFormat="1" x14ac:dyDescent="0.2">
      <c r="A17" s="216"/>
      <c r="B17" s="216"/>
      <c r="C17" s="216"/>
      <c r="D17" s="216"/>
      <c r="E17" s="216"/>
      <c r="F17" s="216"/>
      <c r="G17" s="216"/>
      <c r="H17" s="216"/>
      <c r="I17" s="216"/>
      <c r="J17" s="216"/>
      <c r="K17" s="216"/>
      <c r="L17" s="216"/>
      <c r="M17" s="216"/>
      <c r="N17" s="216"/>
      <c r="O17" s="216"/>
      <c r="P17" s="216"/>
      <c r="Q17" s="216"/>
      <c r="R17" s="216"/>
    </row>
    <row r="18" spans="1:18" x14ac:dyDescent="0.2">
      <c r="B18" s="187">
        <v>1</v>
      </c>
      <c r="C18" s="189" t="str">
        <f>INDEX(lista.componentes.central.telmex,$B18)</f>
        <v>Sala MDF/ODF AEP</v>
      </c>
      <c r="D18" s="189"/>
      <c r="E18" s="189"/>
      <c r="F18" s="189"/>
      <c r="G18" s="189"/>
      <c r="H18" s="189"/>
      <c r="I18" s="189"/>
      <c r="J18" s="189"/>
      <c r="K18" s="189"/>
      <c r="L18" s="189"/>
      <c r="M18" s="189"/>
      <c r="N18" s="189"/>
      <c r="O18" s="189"/>
      <c r="P18" s="189"/>
      <c r="Q18" s="189"/>
      <c r="R18" s="189"/>
    </row>
    <row r="20" spans="1:18" x14ac:dyDescent="0.2">
      <c r="D20" s="166" t="s">
        <v>515</v>
      </c>
      <c r="E20" s="204" t="s">
        <v>195</v>
      </c>
      <c r="F20" s="258">
        <f>INDEX(calculos.secundarios.Sala_MDF,MATCH(tipo.central.telmex.activa,calculos.secundarios.tamano.caseta,0))</f>
        <v>14.447999999999999</v>
      </c>
      <c r="G20" s="205" t="s">
        <v>532</v>
      </c>
    </row>
    <row r="22" spans="1:18" x14ac:dyDescent="0.2">
      <c r="B22" s="187">
        <v>2</v>
      </c>
      <c r="C22" s="189" t="str">
        <f>INDEX(lista.componentes.central.telmex,$B22)</f>
        <v>Sala coubicación CS</v>
      </c>
      <c r="D22" s="189"/>
      <c r="E22" s="189"/>
      <c r="F22" s="189"/>
      <c r="G22" s="189"/>
      <c r="H22" s="189"/>
      <c r="I22" s="189"/>
      <c r="J22" s="189"/>
      <c r="K22" s="189"/>
      <c r="L22" s="189"/>
      <c r="M22" s="189"/>
      <c r="N22" s="189"/>
      <c r="O22" s="189"/>
      <c r="P22" s="189"/>
      <c r="Q22" s="189"/>
      <c r="R22" s="189"/>
    </row>
    <row r="24" spans="1:18" x14ac:dyDescent="0.2">
      <c r="D24" s="204" t="s">
        <v>284</v>
      </c>
      <c r="E24" s="204" t="s">
        <v>195</v>
      </c>
      <c r="F24" s="258">
        <f>IF(tipo.coubicacion.activo.CS1="CI",espacio.coubicacion.activo.CS1,0)</f>
        <v>4</v>
      </c>
      <c r="G24" s="205" t="s">
        <v>484</v>
      </c>
    </row>
    <row r="25" spans="1:18" x14ac:dyDescent="0.2">
      <c r="D25" s="204" t="s">
        <v>285</v>
      </c>
      <c r="E25" s="204" t="s">
        <v>195</v>
      </c>
      <c r="F25" s="258">
        <f>IF(tipo.coubicacion.activo.CS2="CI",espacio.coubicacion.activo.CS2,0)</f>
        <v>0</v>
      </c>
      <c r="G25" s="205" t="s">
        <v>485</v>
      </c>
    </row>
    <row r="26" spans="1:18" x14ac:dyDescent="0.2">
      <c r="D26" s="204" t="s">
        <v>286</v>
      </c>
      <c r="E26" s="204" t="s">
        <v>195</v>
      </c>
      <c r="F26" s="258">
        <f>IF(tipo.coubicacion.activo.CS3="CI",espacio.coubicacion.activo.CS3,0)</f>
        <v>0</v>
      </c>
      <c r="G26" s="205" t="s">
        <v>486</v>
      </c>
    </row>
    <row r="27" spans="1:18" x14ac:dyDescent="0.2">
      <c r="D27" s="204" t="s">
        <v>325</v>
      </c>
      <c r="E27" s="204" t="s">
        <v>195</v>
      </c>
      <c r="F27" s="255">
        <f>(F24+F25+F26)*(1+markup.sala.CS)</f>
        <v>4</v>
      </c>
      <c r="G27" s="205" t="s">
        <v>326</v>
      </c>
    </row>
    <row r="29" spans="1:18" x14ac:dyDescent="0.2">
      <c r="B29" s="187">
        <v>3</v>
      </c>
      <c r="C29" s="189" t="str">
        <f>INDEX(lista.componentes.central.telmex,$B29)</f>
        <v>Sala de control</v>
      </c>
      <c r="D29" s="189"/>
      <c r="E29" s="189"/>
      <c r="F29" s="189"/>
      <c r="G29" s="189"/>
      <c r="H29" s="189"/>
      <c r="I29" s="189"/>
      <c r="J29" s="189"/>
      <c r="K29" s="189"/>
      <c r="L29" s="189"/>
      <c r="M29" s="189"/>
      <c r="N29" s="189"/>
      <c r="O29" s="189"/>
      <c r="P29" s="189"/>
      <c r="Q29" s="189"/>
      <c r="R29" s="189"/>
    </row>
    <row r="31" spans="1:18" x14ac:dyDescent="0.2">
      <c r="D31" s="204" t="s">
        <v>287</v>
      </c>
      <c r="E31" s="204" t="s">
        <v>195</v>
      </c>
      <c r="F31" s="255">
        <f>INDEX(calculos.secundarios.Sala_de_control,MATCH(tipo.central.telmex.activa,calculos.secundarios.tamano.caseta,0))</f>
        <v>10</v>
      </c>
      <c r="G31" s="205" t="s">
        <v>327</v>
      </c>
    </row>
    <row r="33" spans="2:18" x14ac:dyDescent="0.2">
      <c r="B33" s="187">
        <v>4</v>
      </c>
      <c r="C33" s="189" t="str">
        <f>INDEX(lista.componentes.central.telmex,$B33)</f>
        <v>Sala de switching del AEP</v>
      </c>
      <c r="D33" s="189"/>
      <c r="E33" s="189"/>
      <c r="F33" s="189"/>
      <c r="G33" s="189"/>
      <c r="H33" s="189"/>
      <c r="I33" s="189"/>
      <c r="J33" s="189"/>
      <c r="K33" s="189"/>
      <c r="L33" s="189"/>
      <c r="M33" s="189"/>
      <c r="N33" s="189"/>
      <c r="O33" s="189"/>
      <c r="P33" s="189"/>
      <c r="Q33" s="189"/>
      <c r="R33" s="189"/>
    </row>
    <row r="35" spans="2:18" x14ac:dyDescent="0.2">
      <c r="D35" s="204" t="s">
        <v>288</v>
      </c>
      <c r="E35" s="204" t="s">
        <v>195</v>
      </c>
      <c r="F35" s="255">
        <f>INDEX(calculos.secundarios.Sala_de_switching,MATCH(tipo.central.telmex.activa,calculos.secundarios.tamano.caseta,0))</f>
        <v>20.52</v>
      </c>
      <c r="G35" s="205" t="s">
        <v>328</v>
      </c>
    </row>
    <row r="36" spans="2:18" s="204" customFormat="1" x14ac:dyDescent="0.2"/>
    <row r="37" spans="2:18" s="204" customFormat="1" x14ac:dyDescent="0.2">
      <c r="B37" s="216">
        <v>5</v>
      </c>
      <c r="C37" s="219" t="str">
        <f>INDEX(lista.componentes.central.telmex,$B37)</f>
        <v>Sala equipos de transmisión del AEP</v>
      </c>
      <c r="D37" s="219"/>
      <c r="E37" s="219"/>
      <c r="F37" s="219"/>
      <c r="G37" s="219"/>
      <c r="H37" s="219"/>
      <c r="I37" s="219"/>
      <c r="J37" s="219"/>
      <c r="K37" s="219"/>
      <c r="L37" s="219"/>
      <c r="M37" s="219"/>
      <c r="N37" s="219"/>
      <c r="O37" s="219"/>
      <c r="P37" s="219"/>
      <c r="Q37" s="219"/>
      <c r="R37" s="219"/>
    </row>
    <row r="38" spans="2:18" s="204" customFormat="1" x14ac:dyDescent="0.2"/>
    <row r="39" spans="2:18" s="204" customFormat="1" x14ac:dyDescent="0.2">
      <c r="D39" s="204" t="s">
        <v>319</v>
      </c>
      <c r="E39" s="204" t="s">
        <v>195</v>
      </c>
      <c r="F39" s="255">
        <f>INDEX(calculos.secundarios.Sala_equipos_de_transmisión_del_AEP,MATCH(tipo.central.telmex.activa,calculos.secundarios.tamano.caseta,0))</f>
        <v>20.52</v>
      </c>
      <c r="G39" s="205" t="s">
        <v>329</v>
      </c>
    </row>
    <row r="40" spans="2:18" s="204" customFormat="1" x14ac:dyDescent="0.2"/>
    <row r="41" spans="2:18" s="204" customFormat="1" x14ac:dyDescent="0.2">
      <c r="B41" s="216">
        <v>6</v>
      </c>
      <c r="C41" s="219" t="str">
        <f>INDEX(lista.componentes.central.telmex,$B41)</f>
        <v>Sala subestacion electrica</v>
      </c>
      <c r="D41" s="219"/>
      <c r="E41" s="219"/>
      <c r="F41" s="219"/>
      <c r="G41" s="219"/>
      <c r="H41" s="219"/>
      <c r="I41" s="219"/>
      <c r="J41" s="219"/>
      <c r="K41" s="219"/>
      <c r="L41" s="219"/>
      <c r="M41" s="219"/>
      <c r="N41" s="219"/>
      <c r="O41" s="219"/>
      <c r="P41" s="219"/>
      <c r="Q41" s="219"/>
      <c r="R41" s="219"/>
    </row>
    <row r="42" spans="2:18" s="204" customFormat="1" x14ac:dyDescent="0.2"/>
    <row r="43" spans="2:18" s="204" customFormat="1" x14ac:dyDescent="0.2">
      <c r="D43" s="204" t="s">
        <v>320</v>
      </c>
      <c r="E43" s="204" t="s">
        <v>195</v>
      </c>
      <c r="F43" s="285">
        <f>SUM(area.sala.subestacion.electrica.AEP+area.sala.subestacion.electrica.CS1+area.sala.subestacion.electrica.CS2+area.sala.subestacion.electrica.CS3)</f>
        <v>24</v>
      </c>
      <c r="G43" s="205" t="s">
        <v>330</v>
      </c>
    </row>
    <row r="44" spans="2:18" s="204" customFormat="1" x14ac:dyDescent="0.2">
      <c r="G44" s="205"/>
    </row>
    <row r="45" spans="2:18" s="204" customFormat="1" x14ac:dyDescent="0.2">
      <c r="D45" s="204" t="s">
        <v>476</v>
      </c>
      <c r="E45" s="204" t="s">
        <v>195</v>
      </c>
      <c r="F45" s="285">
        <f>IF(tipo.central.telmex.activa="Pequeña",0,consumo.equipos.AEP*calculos.secundarios.Sala_subestacion_electrica)</f>
        <v>19</v>
      </c>
      <c r="G45" s="205" t="s">
        <v>480</v>
      </c>
    </row>
    <row r="46" spans="2:18" s="204" customFormat="1" x14ac:dyDescent="0.2">
      <c r="D46" s="204" t="s">
        <v>477</v>
      </c>
      <c r="E46" s="204" t="s">
        <v>195</v>
      </c>
      <c r="F46" s="285">
        <f>IF(tipo.central.telmex.activa="Pequeña",0,consumo.equipos.CS1*calculos.secundarios.Sala_subestacion_electrica)</f>
        <v>5</v>
      </c>
      <c r="G46" s="205" t="s">
        <v>481</v>
      </c>
    </row>
    <row r="47" spans="2:18" s="204" customFormat="1" x14ac:dyDescent="0.2">
      <c r="D47" s="204" t="s">
        <v>478</v>
      </c>
      <c r="E47" s="204" t="s">
        <v>195</v>
      </c>
      <c r="F47" s="285">
        <f>IF(tipo.central.telmex.activa="Pequeña",0,consumo.equipos.CS2*calculos.secundarios.Sala_subestacion_electrica)</f>
        <v>0</v>
      </c>
      <c r="G47" s="205" t="s">
        <v>482</v>
      </c>
    </row>
    <row r="48" spans="2:18" s="204" customFormat="1" x14ac:dyDescent="0.2">
      <c r="D48" s="204" t="s">
        <v>479</v>
      </c>
      <c r="E48" s="204" t="s">
        <v>195</v>
      </c>
      <c r="F48" s="285">
        <f>IF(tipo.central.telmex.activa="Pequeña",0,consumo.equipos.CS3*calculos.secundarios.Sala_subestacion_electrica)</f>
        <v>0</v>
      </c>
      <c r="G48" s="205" t="s">
        <v>483</v>
      </c>
    </row>
    <row r="49" spans="1:18" s="204" customFormat="1" x14ac:dyDescent="0.2"/>
    <row r="50" spans="1:18" s="204" customFormat="1" x14ac:dyDescent="0.2">
      <c r="B50" s="216">
        <v>7</v>
      </c>
      <c r="C50" s="219" t="str">
        <f>INDEX(lista.componentes.central.telmex,$B50)</f>
        <v>Sala planta de emergencia</v>
      </c>
      <c r="D50" s="219"/>
      <c r="E50" s="219"/>
      <c r="F50" s="219"/>
      <c r="G50" s="219"/>
      <c r="H50" s="219"/>
      <c r="I50" s="219"/>
      <c r="J50" s="219"/>
      <c r="K50" s="219"/>
      <c r="L50" s="219"/>
      <c r="M50" s="219"/>
      <c r="N50" s="219"/>
      <c r="O50" s="219"/>
      <c r="P50" s="219"/>
      <c r="Q50" s="219"/>
      <c r="R50" s="219"/>
    </row>
    <row r="51" spans="1:18" s="204" customFormat="1" x14ac:dyDescent="0.2">
      <c r="A51" s="316"/>
    </row>
    <row r="52" spans="1:18" s="316" customFormat="1" x14ac:dyDescent="0.2">
      <c r="D52" s="316" t="s">
        <v>728</v>
      </c>
      <c r="E52" s="316" t="s">
        <v>178</v>
      </c>
      <c r="F52" s="153">
        <v>0.5</v>
      </c>
    </row>
    <row r="53" spans="1:18" s="316" customFormat="1" x14ac:dyDescent="0.2"/>
    <row r="54" spans="1:18" s="204" customFormat="1" x14ac:dyDescent="0.2">
      <c r="A54" s="316"/>
      <c r="D54" s="204" t="s">
        <v>321</v>
      </c>
      <c r="E54" s="204" t="s">
        <v>195</v>
      </c>
      <c r="F54" s="228">
        <f>calculos.secundarios.Sala_planta_de_emergencia*(1+F52)</f>
        <v>6.9411315789473687</v>
      </c>
      <c r="G54" s="205" t="s">
        <v>331</v>
      </c>
    </row>
    <row r="55" spans="1:18" s="204" customFormat="1" x14ac:dyDescent="0.2">
      <c r="A55" s="316"/>
    </row>
    <row r="56" spans="1:18" s="204" customFormat="1" x14ac:dyDescent="0.2">
      <c r="A56" s="316"/>
      <c r="B56" s="216">
        <v>8</v>
      </c>
      <c r="C56" s="219" t="str">
        <f>INDEX(lista.componentes.central.telmex,$B56)</f>
        <v>Sala baterias</v>
      </c>
      <c r="D56" s="219"/>
      <c r="E56" s="219"/>
      <c r="F56" s="219"/>
      <c r="G56" s="219"/>
      <c r="H56" s="219"/>
      <c r="I56" s="219"/>
      <c r="J56" s="219"/>
      <c r="K56" s="219"/>
      <c r="L56" s="219"/>
      <c r="M56" s="219"/>
      <c r="N56" s="219"/>
      <c r="O56" s="219"/>
      <c r="P56" s="219"/>
      <c r="Q56" s="219"/>
      <c r="R56" s="219"/>
    </row>
    <row r="57" spans="1:18" s="204" customFormat="1" x14ac:dyDescent="0.2">
      <c r="A57" s="316"/>
    </row>
    <row r="58" spans="1:18" s="316" customFormat="1" x14ac:dyDescent="0.2">
      <c r="D58" s="316" t="s">
        <v>728</v>
      </c>
      <c r="E58" s="316" t="s">
        <v>178</v>
      </c>
      <c r="F58" s="153">
        <v>0.5</v>
      </c>
      <c r="I58" s="316" t="s">
        <v>777</v>
      </c>
    </row>
    <row r="59" spans="1:18" s="316" customFormat="1" x14ac:dyDescent="0.2"/>
    <row r="60" spans="1:18" s="204" customFormat="1" x14ac:dyDescent="0.2">
      <c r="A60" s="316"/>
      <c r="D60" s="204" t="s">
        <v>322</v>
      </c>
      <c r="E60" s="204" t="s">
        <v>195</v>
      </c>
      <c r="F60" s="355">
        <f>m2.por.bateria*numero.baterias*(1+F58)</f>
        <v>1.5750000000000002</v>
      </c>
      <c r="G60" s="205" t="s">
        <v>332</v>
      </c>
    </row>
    <row r="61" spans="1:18" s="204" customFormat="1" x14ac:dyDescent="0.2">
      <c r="A61" s="316"/>
    </row>
    <row r="62" spans="1:18" s="204" customFormat="1" x14ac:dyDescent="0.2">
      <c r="A62" s="316"/>
    </row>
    <row r="63" spans="1:18" s="204" customFormat="1" x14ac:dyDescent="0.2">
      <c r="B63" s="216">
        <v>9</v>
      </c>
      <c r="C63" s="219" t="str">
        <f>INDEX(lista.componentes.central.telmex,$B63)</f>
        <v>Espacio de overheads</v>
      </c>
      <c r="D63" s="219"/>
      <c r="E63" s="219"/>
      <c r="F63" s="219"/>
      <c r="G63" s="219"/>
      <c r="H63" s="219"/>
      <c r="I63" s="219"/>
      <c r="J63" s="219"/>
      <c r="K63" s="219"/>
      <c r="L63" s="219"/>
      <c r="M63" s="219"/>
      <c r="N63" s="219"/>
      <c r="O63" s="219"/>
      <c r="P63" s="219"/>
      <c r="Q63" s="219"/>
      <c r="R63" s="219"/>
    </row>
    <row r="64" spans="1:18" s="204" customFormat="1" x14ac:dyDescent="0.2"/>
    <row r="65" spans="1:18" s="204" customFormat="1" x14ac:dyDescent="0.2">
      <c r="D65" s="204" t="s">
        <v>540</v>
      </c>
      <c r="E65" s="204" t="s">
        <v>195</v>
      </c>
      <c r="F65" s="255">
        <f>(area.sala.MDF.AEP+area.sala.coubicacion.CS+area.sala.control+area.sala.switching+area.sala.transmision+area.sala.emergencia+area.sala.baterias)*markup.espacio.overheads</f>
        <v>7.8004131578947371</v>
      </c>
      <c r="G65" s="205" t="s">
        <v>541</v>
      </c>
    </row>
    <row r="66" spans="1:18" s="204" customFormat="1" x14ac:dyDescent="0.2"/>
    <row r="67" spans="1:18" x14ac:dyDescent="0.2">
      <c r="A67" s="187">
        <v>3</v>
      </c>
      <c r="B67" s="190" t="str">
        <f>INDEX(lista.activos,$A67)</f>
        <v>Sala coubicación externa</v>
      </c>
      <c r="C67" s="190"/>
      <c r="D67" s="190"/>
      <c r="E67" s="190"/>
      <c r="F67" s="190"/>
      <c r="G67" s="190"/>
      <c r="H67" s="190"/>
      <c r="I67" s="190"/>
      <c r="J67" s="190"/>
      <c r="K67" s="190"/>
      <c r="L67" s="190"/>
      <c r="M67" s="190"/>
      <c r="N67" s="190"/>
      <c r="O67" s="190"/>
      <c r="P67" s="190"/>
      <c r="Q67" s="190"/>
      <c r="R67" s="190"/>
    </row>
    <row r="69" spans="1:18" x14ac:dyDescent="0.2">
      <c r="D69" s="166" t="s">
        <v>341</v>
      </c>
      <c r="F69" s="258">
        <f>IF(tipo.coubicacion.activo.CS1="CE",1,0)</f>
        <v>0</v>
      </c>
      <c r="I69" s="166" t="s">
        <v>293</v>
      </c>
    </row>
    <row r="70" spans="1:18" s="204" customFormat="1" x14ac:dyDescent="0.2">
      <c r="D70" s="204" t="s">
        <v>342</v>
      </c>
      <c r="F70" s="258">
        <f>IF(tipo.coubicacion.activo.CS2="CE",1,0)</f>
        <v>0</v>
      </c>
    </row>
    <row r="71" spans="1:18" s="204" customFormat="1" x14ac:dyDescent="0.2">
      <c r="D71" s="204" t="s">
        <v>343</v>
      </c>
      <c r="F71" s="258">
        <f>IF(tipo.coubicacion.activo.CS3="CE",1,0)</f>
        <v>0</v>
      </c>
    </row>
    <row r="72" spans="1:18" s="204" customFormat="1" x14ac:dyDescent="0.2">
      <c r="F72" s="3"/>
    </row>
    <row r="73" spans="1:18" x14ac:dyDescent="0.2">
      <c r="D73" s="204" t="s">
        <v>289</v>
      </c>
      <c r="F73" s="255">
        <f>espacio.coubicacion.activo.CS1*F69</f>
        <v>0</v>
      </c>
      <c r="G73" s="205" t="s">
        <v>344</v>
      </c>
    </row>
    <row r="74" spans="1:18" s="204" customFormat="1" x14ac:dyDescent="0.2">
      <c r="D74" s="204" t="s">
        <v>290</v>
      </c>
      <c r="F74" s="255">
        <f>espacio.coubicacion.activo.CS2*F70</f>
        <v>0</v>
      </c>
      <c r="G74" s="205" t="s">
        <v>345</v>
      </c>
    </row>
    <row r="75" spans="1:18" s="204" customFormat="1" x14ac:dyDescent="0.2">
      <c r="D75" s="204" t="s">
        <v>291</v>
      </c>
      <c r="F75" s="255">
        <f>espacio.coubicacion.activo.CS3*F71</f>
        <v>0</v>
      </c>
      <c r="G75" s="205" t="s">
        <v>346</v>
      </c>
    </row>
    <row r="76" spans="1:18" s="204" customFormat="1" x14ac:dyDescent="0.2">
      <c r="F76" s="3"/>
    </row>
    <row r="77" spans="1:18" s="204" customFormat="1" x14ac:dyDescent="0.2">
      <c r="D77" s="204" t="s">
        <v>292</v>
      </c>
      <c r="F77" s="255">
        <f>(area.sala.coubicacion.externa.CS1+area.sala.coubicacion.externa.CS2+area.sala.coubicacion.externa.CS3)*(1+markup.sala.CS)</f>
        <v>0</v>
      </c>
      <c r="G77" s="205" t="s">
        <v>339</v>
      </c>
    </row>
    <row r="78" spans="1:18" s="204" customFormat="1" x14ac:dyDescent="0.2"/>
    <row r="79" spans="1:18" x14ac:dyDescent="0.2">
      <c r="A79" s="187">
        <v>4</v>
      </c>
      <c r="B79" s="190" t="str">
        <f>INDEX(lista.activos,$A79)</f>
        <v>Subestación electrica</v>
      </c>
      <c r="C79" s="190"/>
      <c r="D79" s="190"/>
      <c r="E79" s="190"/>
      <c r="F79" s="190"/>
      <c r="G79" s="190"/>
      <c r="H79" s="190"/>
      <c r="I79" s="190"/>
      <c r="J79" s="190"/>
      <c r="K79" s="190"/>
      <c r="L79" s="190"/>
      <c r="M79" s="190"/>
      <c r="N79" s="190"/>
      <c r="O79" s="190"/>
      <c r="P79" s="190"/>
      <c r="Q79" s="190"/>
      <c r="R79" s="190"/>
    </row>
    <row r="81" spans="1:18" x14ac:dyDescent="0.2">
      <c r="D81" s="222" t="s">
        <v>604</v>
      </c>
      <c r="E81" s="166" t="s">
        <v>395</v>
      </c>
      <c r="F81" s="258">
        <f>consumo.equipos.AEP</f>
        <v>38</v>
      </c>
    </row>
    <row r="82" spans="1:18" x14ac:dyDescent="0.2">
      <c r="D82" s="222" t="s">
        <v>605</v>
      </c>
      <c r="E82" s="204" t="s">
        <v>395</v>
      </c>
      <c r="F82" s="258">
        <f>consumo.equipos.CS1</f>
        <v>10</v>
      </c>
    </row>
    <row r="83" spans="1:18" x14ac:dyDescent="0.2">
      <c r="D83" s="222" t="s">
        <v>606</v>
      </c>
      <c r="E83" s="204" t="s">
        <v>395</v>
      </c>
      <c r="F83" s="258">
        <f>consumo.equipos.CS2</f>
        <v>0</v>
      </c>
    </row>
    <row r="84" spans="1:18" x14ac:dyDescent="0.2">
      <c r="D84" s="222" t="s">
        <v>607</v>
      </c>
      <c r="E84" s="204" t="s">
        <v>395</v>
      </c>
      <c r="F84" s="258">
        <f>consumo.equipos.CS3</f>
        <v>0</v>
      </c>
    </row>
    <row r="85" spans="1:18" s="204" customFormat="1" x14ac:dyDescent="0.2">
      <c r="D85" s="222"/>
    </row>
    <row r="86" spans="1:18" s="204" customFormat="1" x14ac:dyDescent="0.2">
      <c r="D86" s="222" t="s">
        <v>608</v>
      </c>
      <c r="E86" s="204" t="s">
        <v>395</v>
      </c>
      <c r="F86" s="255">
        <f>IF(tipo.central.telmex.activa="Pequeña",0,SUM(F81:F84))</f>
        <v>48</v>
      </c>
      <c r="G86" s="205" t="s">
        <v>411</v>
      </c>
      <c r="I86" s="204" t="s">
        <v>755</v>
      </c>
    </row>
    <row r="87" spans="1:18" s="204" customFormat="1" x14ac:dyDescent="0.2">
      <c r="D87" s="222"/>
    </row>
    <row r="88" spans="1:18" x14ac:dyDescent="0.2">
      <c r="A88" s="187">
        <v>5</v>
      </c>
      <c r="B88" s="190" t="str">
        <f>INDEX(lista.activos,$A88)</f>
        <v>Fuente de energia de respaldo (planta de emergencia)</v>
      </c>
      <c r="C88" s="190"/>
      <c r="D88" s="190"/>
      <c r="E88" s="190"/>
      <c r="F88" s="190"/>
      <c r="G88" s="190"/>
      <c r="H88" s="190"/>
      <c r="I88" s="190"/>
      <c r="J88" s="190"/>
      <c r="K88" s="190"/>
      <c r="L88" s="190"/>
      <c r="M88" s="190"/>
      <c r="N88" s="190"/>
      <c r="O88" s="190"/>
      <c r="P88" s="190"/>
      <c r="Q88" s="190"/>
      <c r="R88" s="190"/>
    </row>
    <row r="90" spans="1:18" s="204" customFormat="1" x14ac:dyDescent="0.2">
      <c r="D90" s="204" t="s">
        <v>353</v>
      </c>
      <c r="E90" s="204" t="s">
        <v>395</v>
      </c>
      <c r="F90" s="255">
        <f>SUM(F81:F84)</f>
        <v>48</v>
      </c>
    </row>
    <row r="91" spans="1:18" s="204" customFormat="1" x14ac:dyDescent="0.2"/>
    <row r="92" spans="1:18" s="316" customFormat="1" x14ac:dyDescent="0.2">
      <c r="D92" s="316" t="s">
        <v>789</v>
      </c>
      <c r="E92" s="316" t="s">
        <v>395</v>
      </c>
      <c r="F92" s="215">
        <f>consumo.equipos.AEP*fuente.energia.respaldo.activo.AEP</f>
        <v>38</v>
      </c>
    </row>
    <row r="93" spans="1:18" s="316" customFormat="1" x14ac:dyDescent="0.2">
      <c r="D93" s="316" t="s">
        <v>790</v>
      </c>
      <c r="E93" s="316" t="s">
        <v>395</v>
      </c>
      <c r="F93" s="215">
        <f>consumo.equipos.CS1*solicitacion.fuente.energia.respaldo.activo.CS1</f>
        <v>0</v>
      </c>
    </row>
    <row r="94" spans="1:18" s="316" customFormat="1" x14ac:dyDescent="0.2">
      <c r="D94" s="316" t="s">
        <v>791</v>
      </c>
      <c r="E94" s="316" t="s">
        <v>395</v>
      </c>
      <c r="F94" s="215">
        <f>consumo.equipos.CS2*solicitacion.fuente.energia.respaldo.activo.CS2</f>
        <v>0</v>
      </c>
    </row>
    <row r="95" spans="1:18" s="316" customFormat="1" x14ac:dyDescent="0.2">
      <c r="D95" s="316" t="s">
        <v>792</v>
      </c>
      <c r="E95" s="316" t="s">
        <v>395</v>
      </c>
      <c r="F95" s="215">
        <f>consumo.equipos.CS3*solicitacion.fuente.energia.respaldo.activo.CS3</f>
        <v>0</v>
      </c>
    </row>
    <row r="96" spans="1:18" s="316" customFormat="1" x14ac:dyDescent="0.2"/>
    <row r="97" spans="1:18" s="204" customFormat="1" x14ac:dyDescent="0.2">
      <c r="D97" s="204" t="s">
        <v>354</v>
      </c>
      <c r="E97" s="204" t="s">
        <v>395</v>
      </c>
      <c r="F97" s="255">
        <f>SUM(F92:F95)*capacidad.fuente.energia.respaldo</f>
        <v>30.400000000000002</v>
      </c>
      <c r="G97" s="205" t="s">
        <v>412</v>
      </c>
    </row>
    <row r="99" spans="1:18" x14ac:dyDescent="0.2">
      <c r="A99" s="188" t="s">
        <v>239</v>
      </c>
      <c r="B99" s="186"/>
      <c r="C99" s="186"/>
      <c r="D99" s="186"/>
      <c r="E99" s="186"/>
      <c r="F99" s="186"/>
      <c r="G99" s="186"/>
      <c r="H99" s="186"/>
      <c r="I99" s="186"/>
      <c r="J99" s="186"/>
      <c r="K99" s="186"/>
      <c r="L99" s="186"/>
      <c r="M99" s="186"/>
      <c r="N99" s="186"/>
      <c r="O99" s="186"/>
      <c r="P99" s="186"/>
      <c r="Q99" s="186"/>
      <c r="R99" s="186"/>
    </row>
    <row r="100" spans="1:18" x14ac:dyDescent="0.2">
      <c r="A100" s="187">
        <v>6</v>
      </c>
      <c r="B100" s="190" t="str">
        <f>INDEX(lista.activos,$A100)</f>
        <v>Aire acondicionado</v>
      </c>
      <c r="C100" s="190"/>
      <c r="D100" s="190"/>
      <c r="E100" s="190"/>
      <c r="F100" s="190"/>
      <c r="G100" s="190"/>
      <c r="H100" s="190"/>
      <c r="I100" s="190"/>
      <c r="J100" s="190"/>
      <c r="K100" s="190"/>
      <c r="L100" s="190"/>
      <c r="M100" s="190"/>
      <c r="N100" s="190"/>
      <c r="O100" s="190"/>
      <c r="P100" s="190"/>
      <c r="Q100" s="190"/>
      <c r="R100" s="190"/>
    </row>
    <row r="102" spans="1:18" x14ac:dyDescent="0.2">
      <c r="D102" s="227" t="s">
        <v>348</v>
      </c>
      <c r="E102" s="204"/>
      <c r="F102" s="213" t="b">
        <f>solicitacion.aire.acondicionado.activo</f>
        <v>1</v>
      </c>
    </row>
    <row r="103" spans="1:18" s="204" customFormat="1" ht="7.5" customHeight="1" x14ac:dyDescent="0.2"/>
    <row r="104" spans="1:18" x14ac:dyDescent="0.2">
      <c r="D104" s="204" t="s">
        <v>487</v>
      </c>
      <c r="E104" s="204" t="s">
        <v>195</v>
      </c>
      <c r="F104" s="285">
        <f>area.salas.central.telmex-area.sala.coubicacion.CS+(area.sala.coubicacion.CS*F102)</f>
        <v>109.8045447368421</v>
      </c>
      <c r="I104" s="166" t="s">
        <v>488</v>
      </c>
    </row>
    <row r="105" spans="1:18" ht="24" x14ac:dyDescent="0.2">
      <c r="A105" s="204"/>
      <c r="B105" s="204"/>
      <c r="C105" s="204"/>
      <c r="D105" s="226" t="s">
        <v>592</v>
      </c>
      <c r="E105" s="204" t="s">
        <v>591</v>
      </c>
      <c r="F105" s="213">
        <f>aire.acondicionado.capacidad.superficie</f>
        <v>0.1</v>
      </c>
    </row>
    <row r="106" spans="1:18" x14ac:dyDescent="0.2">
      <c r="B106" s="204"/>
      <c r="C106" s="204"/>
      <c r="D106" s="227" t="s">
        <v>349</v>
      </c>
      <c r="E106" s="204" t="s">
        <v>593</v>
      </c>
      <c r="F106" s="242">
        <f>F104*F105</f>
        <v>10.980454473684212</v>
      </c>
      <c r="G106" s="205" t="s">
        <v>413</v>
      </c>
    </row>
    <row r="107" spans="1:18" x14ac:dyDescent="0.2">
      <c r="B107" s="204"/>
      <c r="C107" s="204"/>
    </row>
  </sheetData>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oddFooter xml:space="preserve">&amp;L&amp;F : &amp;A&amp;CPrinted at &amp;T on &amp;D&amp;RCommercial in confidence © Analysys Mason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A86"/>
  <sheetViews>
    <sheetView showGridLines="0" defaultGridColor="0" colorId="22" zoomScale="80" zoomScaleNormal="80" workbookViewId="0">
      <pane xSplit="5" ySplit="5" topLeftCell="O6" activePane="bottomRight" state="frozen"/>
      <selection pane="topRight" activeCell="F1" sqref="F1"/>
      <selection pane="bottomLeft" activeCell="A6" sqref="A6"/>
      <selection pane="bottomRight" activeCell="W15" sqref="W15"/>
    </sheetView>
  </sheetViews>
  <sheetFormatPr baseColWidth="10" defaultColWidth="12.7109375" defaultRowHeight="12" outlineLevelCol="1" x14ac:dyDescent="0.2"/>
  <cols>
    <col min="1" max="1" width="6.7109375" style="183" customWidth="1"/>
    <col min="2" max="2" width="20" style="183" customWidth="1"/>
    <col min="3" max="4" width="12.7109375" style="183"/>
    <col min="5" max="5" width="12.7109375" style="183" customWidth="1" outlineLevel="1"/>
    <col min="6" max="6" width="4" style="183" customWidth="1"/>
    <col min="7" max="7" width="32.140625" style="183" customWidth="1"/>
    <col min="8" max="8" width="12.7109375" style="183"/>
    <col min="9" max="9" width="25.28515625" style="183" customWidth="1"/>
    <col min="10" max="12" width="12.7109375" style="183"/>
    <col min="13" max="13" width="6.85546875" style="183" customWidth="1"/>
    <col min="14" max="14" width="22.5703125" style="183" customWidth="1"/>
    <col min="15" max="15" width="12.7109375" style="183"/>
    <col min="16" max="17" width="16.28515625" style="183" customWidth="1"/>
    <col min="18" max="18" width="16.5703125" style="183" bestFit="1" customWidth="1"/>
    <col min="19" max="19" width="26.42578125" style="204" customWidth="1"/>
    <col min="20" max="20" width="29.5703125" style="183" customWidth="1"/>
    <col min="21" max="21" width="8.42578125" style="183" customWidth="1"/>
    <col min="22" max="24" width="12.7109375" style="3"/>
    <col min="25" max="25" width="12.7109375" style="3" outlineLevel="1"/>
    <col min="26" max="16384" width="12.7109375" style="183"/>
  </cols>
  <sheetData>
    <row r="1" spans="1:27" s="184" customFormat="1" ht="33.75" customHeight="1" x14ac:dyDescent="0.2">
      <c r="A1" s="185" t="s">
        <v>240</v>
      </c>
      <c r="J1" s="184" t="s">
        <v>114</v>
      </c>
      <c r="S1" s="206"/>
      <c r="V1" s="277"/>
      <c r="W1" s="277"/>
      <c r="X1" s="277"/>
      <c r="Y1" s="277"/>
    </row>
    <row r="2" spans="1:27" x14ac:dyDescent="0.2">
      <c r="G2" s="367" t="s">
        <v>819</v>
      </c>
    </row>
    <row r="3" spans="1:27" x14ac:dyDescent="0.2">
      <c r="B3" s="194" t="s">
        <v>176</v>
      </c>
      <c r="C3" s="195">
        <v>2014</v>
      </c>
    </row>
    <row r="4" spans="1:27" x14ac:dyDescent="0.2">
      <c r="B4" s="194" t="s">
        <v>241</v>
      </c>
      <c r="C4" s="196">
        <f>año.activo</f>
        <v>2015</v>
      </c>
      <c r="G4" s="383" t="s">
        <v>244</v>
      </c>
      <c r="H4" s="383"/>
      <c r="I4" s="383"/>
      <c r="J4" s="383"/>
      <c r="K4" s="383"/>
      <c r="L4" s="383"/>
      <c r="N4" s="383" t="s">
        <v>245</v>
      </c>
      <c r="O4" s="383"/>
      <c r="P4" s="383"/>
      <c r="Q4" s="383"/>
      <c r="R4" s="383"/>
      <c r="S4" s="383"/>
      <c r="T4" s="383"/>
      <c r="V4" s="380" t="s">
        <v>491</v>
      </c>
      <c r="W4" s="380"/>
      <c r="X4" s="380"/>
      <c r="Y4" s="380"/>
      <c r="AA4" s="379" t="s">
        <v>246</v>
      </c>
    </row>
    <row r="5" spans="1:27" x14ac:dyDescent="0.2">
      <c r="C5" s="197">
        <f>C4-C3</f>
        <v>1</v>
      </c>
      <c r="G5" s="383"/>
      <c r="H5" s="383"/>
      <c r="I5" s="383"/>
      <c r="J5" s="383"/>
      <c r="K5" s="383"/>
      <c r="L5" s="383"/>
      <c r="N5" s="383"/>
      <c r="O5" s="383"/>
      <c r="P5" s="383"/>
      <c r="Q5" s="383"/>
      <c r="R5" s="383"/>
      <c r="S5" s="383"/>
      <c r="T5" s="383"/>
      <c r="V5" s="380"/>
      <c r="W5" s="380"/>
      <c r="X5" s="380"/>
      <c r="Y5" s="380"/>
      <c r="AA5" s="379"/>
    </row>
    <row r="7" spans="1:27" x14ac:dyDescent="0.2">
      <c r="A7" s="199" t="s">
        <v>232</v>
      </c>
      <c r="B7" s="198"/>
      <c r="C7" s="198"/>
      <c r="D7" s="198"/>
      <c r="E7" s="198"/>
      <c r="F7" s="198"/>
      <c r="G7" s="198"/>
      <c r="H7" s="198"/>
      <c r="I7" s="198"/>
      <c r="J7" s="198"/>
      <c r="K7" s="198"/>
      <c r="L7" s="198"/>
      <c r="M7" s="198"/>
      <c r="N7" s="198"/>
      <c r="O7" s="198"/>
      <c r="P7" s="198"/>
      <c r="Q7" s="198"/>
      <c r="R7" s="198"/>
      <c r="S7" s="211"/>
      <c r="T7" s="198"/>
      <c r="U7" s="198"/>
      <c r="V7" s="283"/>
      <c r="W7" s="283"/>
      <c r="X7" s="283"/>
      <c r="Y7" s="283"/>
      <c r="Z7" s="198"/>
      <c r="AA7" s="198"/>
    </row>
    <row r="8" spans="1:27" x14ac:dyDescent="0.2">
      <c r="A8" s="216">
        <v>1</v>
      </c>
      <c r="B8" s="190" t="str">
        <f>INDEX(lista.activos,$A8)</f>
        <v>Predio</v>
      </c>
      <c r="C8" s="190"/>
      <c r="D8" s="190"/>
      <c r="E8" s="190"/>
      <c r="F8" s="190"/>
      <c r="G8" s="190"/>
      <c r="H8" s="190"/>
      <c r="I8" s="190"/>
      <c r="J8" s="190"/>
      <c r="K8" s="190"/>
      <c r="L8" s="190"/>
      <c r="M8" s="190"/>
      <c r="N8" s="190"/>
      <c r="O8" s="190"/>
      <c r="P8" s="190"/>
      <c r="Q8" s="190"/>
      <c r="R8" s="190"/>
      <c r="S8" s="190"/>
      <c r="T8" s="190"/>
      <c r="U8" s="190"/>
      <c r="V8" s="284"/>
      <c r="W8" s="284"/>
      <c r="X8" s="284"/>
      <c r="Y8" s="284"/>
      <c r="Z8" s="190"/>
      <c r="AA8" s="190"/>
    </row>
    <row r="9" spans="1:27" ht="60" x14ac:dyDescent="0.2">
      <c r="C9" s="229" t="s">
        <v>153</v>
      </c>
      <c r="D9" s="229" t="s">
        <v>355</v>
      </c>
      <c r="E9" s="229" t="s">
        <v>356</v>
      </c>
      <c r="G9" s="229" t="s">
        <v>357</v>
      </c>
      <c r="H9" s="229" t="s">
        <v>358</v>
      </c>
      <c r="I9" s="229" t="s">
        <v>398</v>
      </c>
      <c r="J9" s="229" t="s">
        <v>359</v>
      </c>
      <c r="K9" s="229" t="s">
        <v>358</v>
      </c>
      <c r="L9" s="229" t="s">
        <v>360</v>
      </c>
      <c r="M9" s="229"/>
      <c r="N9" s="229" t="s">
        <v>366</v>
      </c>
      <c r="O9" s="229" t="s">
        <v>358</v>
      </c>
      <c r="P9" s="229" t="s">
        <v>361</v>
      </c>
      <c r="Q9" s="229" t="s">
        <v>362</v>
      </c>
      <c r="R9" s="229" t="s">
        <v>358</v>
      </c>
      <c r="S9" s="229" t="s">
        <v>372</v>
      </c>
      <c r="T9" s="229" t="s">
        <v>363</v>
      </c>
      <c r="U9" s="204"/>
      <c r="V9" s="308" t="s">
        <v>492</v>
      </c>
      <c r="W9" s="308" t="s">
        <v>493</v>
      </c>
      <c r="X9" s="308" t="s">
        <v>494</v>
      </c>
      <c r="Y9" s="308" t="s">
        <v>364</v>
      </c>
    </row>
    <row r="10" spans="1:27" x14ac:dyDescent="0.2">
      <c r="C10" s="208" t="s">
        <v>210</v>
      </c>
      <c r="D10" s="208" t="s">
        <v>158</v>
      </c>
      <c r="E10" s="212" t="str">
        <f>C10&amp;D10</f>
        <v>TelmexDistrito Federal</v>
      </c>
      <c r="G10" s="272">
        <v>500</v>
      </c>
      <c r="H10" s="271">
        <v>0.05</v>
      </c>
      <c r="I10" s="228">
        <f>G10*(1+H10)^$C$5</f>
        <v>525</v>
      </c>
      <c r="J10" s="368">
        <v>6720</v>
      </c>
      <c r="K10" s="271">
        <v>0.03</v>
      </c>
      <c r="L10" s="228">
        <f>J10*(1+K10)^$C$5</f>
        <v>6921.6</v>
      </c>
      <c r="M10" s="204"/>
      <c r="N10" s="323">
        <v>0</v>
      </c>
      <c r="O10" s="271">
        <v>0.03</v>
      </c>
      <c r="P10" s="228">
        <f>N10*(1+O10)^$C$5</f>
        <v>0</v>
      </c>
      <c r="Q10" s="255">
        <f>(G10+J10)*S10</f>
        <v>0</v>
      </c>
      <c r="R10" s="311">
        <v>0.03</v>
      </c>
      <c r="S10" s="311">
        <v>0</v>
      </c>
      <c r="T10" s="228">
        <f>Q10*(1+R10)^$C$5</f>
        <v>0</v>
      </c>
      <c r="U10" s="204"/>
      <c r="V10" s="252">
        <v>80</v>
      </c>
      <c r="W10" s="346">
        <v>80</v>
      </c>
      <c r="X10" s="255">
        <f>CHOOSE(vida.util.activo.indice,'Costos unitarios'!V10,'Costos unitarios'!W10)</f>
        <v>80</v>
      </c>
      <c r="Y10" s="255">
        <f>MAX(0,X10-$C$5)</f>
        <v>79</v>
      </c>
    </row>
    <row r="11" spans="1:27" x14ac:dyDescent="0.2">
      <c r="C11" s="208" t="s">
        <v>210</v>
      </c>
      <c r="D11" s="208" t="s">
        <v>159</v>
      </c>
      <c r="E11" s="212" t="str">
        <f t="shared" ref="E11:E21" si="0">C11&amp;D11</f>
        <v>TelmexUrbano</v>
      </c>
      <c r="G11" s="272">
        <v>550</v>
      </c>
      <c r="H11" s="271">
        <v>0.05</v>
      </c>
      <c r="I11" s="228">
        <f t="shared" ref="I11:I21" si="1">G11*(1+H11)^$C$5</f>
        <v>577.5</v>
      </c>
      <c r="J11" s="368">
        <v>10400</v>
      </c>
      <c r="K11" s="271">
        <v>0.03</v>
      </c>
      <c r="L11" s="228">
        <f t="shared" ref="L11:L21" si="2">J11*(1+K11)^$C$5</f>
        <v>10712</v>
      </c>
      <c r="M11" s="204"/>
      <c r="N11" s="323">
        <v>0</v>
      </c>
      <c r="O11" s="271">
        <v>0.03</v>
      </c>
      <c r="P11" s="228">
        <f t="shared" ref="P11:P21" si="3">N11*(1+O11)^$C$5</f>
        <v>0</v>
      </c>
      <c r="Q11" s="255">
        <f t="shared" ref="Q11:Q21" si="4">(G11+J11)*S11</f>
        <v>0</v>
      </c>
      <c r="R11" s="311">
        <v>0.03</v>
      </c>
      <c r="S11" s="311">
        <v>0</v>
      </c>
      <c r="T11" s="228">
        <f t="shared" ref="T11:T21" si="5">Q11*(1+R11)^$C$5</f>
        <v>0</v>
      </c>
      <c r="U11" s="204"/>
      <c r="V11" s="258">
        <f>$V$10</f>
        <v>80</v>
      </c>
      <c r="W11" s="258">
        <f>$W$10</f>
        <v>80</v>
      </c>
      <c r="X11" s="258">
        <f>$X$10</f>
        <v>80</v>
      </c>
      <c r="Y11" s="255">
        <f t="shared" ref="Y11:Y21" si="6">MAX(0,X11-$C$5)</f>
        <v>79</v>
      </c>
    </row>
    <row r="12" spans="1:27" x14ac:dyDescent="0.2">
      <c r="C12" s="208" t="s">
        <v>210</v>
      </c>
      <c r="D12" s="208" t="s">
        <v>160</v>
      </c>
      <c r="E12" s="212" t="str">
        <f t="shared" si="0"/>
        <v>TelmexRural</v>
      </c>
      <c r="G12" s="272">
        <v>600</v>
      </c>
      <c r="H12" s="271">
        <v>0.05</v>
      </c>
      <c r="I12" s="228">
        <f t="shared" si="1"/>
        <v>630</v>
      </c>
      <c r="J12" s="368">
        <v>9200</v>
      </c>
      <c r="K12" s="271">
        <v>0.03</v>
      </c>
      <c r="L12" s="228">
        <f t="shared" si="2"/>
        <v>9476</v>
      </c>
      <c r="M12" s="204"/>
      <c r="N12" s="323">
        <v>0</v>
      </c>
      <c r="O12" s="271">
        <v>0.03</v>
      </c>
      <c r="P12" s="228">
        <f t="shared" si="3"/>
        <v>0</v>
      </c>
      <c r="Q12" s="255">
        <f t="shared" si="4"/>
        <v>0</v>
      </c>
      <c r="R12" s="311">
        <v>0.03</v>
      </c>
      <c r="S12" s="311">
        <v>0</v>
      </c>
      <c r="T12" s="228">
        <f t="shared" si="5"/>
        <v>0</v>
      </c>
      <c r="U12" s="204"/>
      <c r="V12" s="258">
        <f t="shared" ref="V12:V21" si="7">$V$10</f>
        <v>80</v>
      </c>
      <c r="W12" s="258">
        <f t="shared" ref="W12:W21" si="8">$W$10</f>
        <v>80</v>
      </c>
      <c r="X12" s="258">
        <f t="shared" ref="X12:X21" si="9">$X$10</f>
        <v>80</v>
      </c>
      <c r="Y12" s="255">
        <f t="shared" si="6"/>
        <v>79</v>
      </c>
    </row>
    <row r="13" spans="1:27" x14ac:dyDescent="0.2">
      <c r="C13" s="208" t="s">
        <v>210</v>
      </c>
      <c r="D13" s="208" t="s">
        <v>161</v>
      </c>
      <c r="E13" s="212" t="str">
        <f t="shared" si="0"/>
        <v>TelmexCarreteras</v>
      </c>
      <c r="G13" s="272">
        <v>400</v>
      </c>
      <c r="H13" s="271">
        <v>0.05</v>
      </c>
      <c r="I13" s="228">
        <f t="shared" si="1"/>
        <v>420</v>
      </c>
      <c r="J13" s="368">
        <v>9280</v>
      </c>
      <c r="K13" s="271">
        <v>0.03</v>
      </c>
      <c r="L13" s="228">
        <f t="shared" si="2"/>
        <v>9558.4</v>
      </c>
      <c r="M13" s="204"/>
      <c r="N13" s="323">
        <v>0</v>
      </c>
      <c r="O13" s="271">
        <v>0.03</v>
      </c>
      <c r="P13" s="228">
        <f t="shared" si="3"/>
        <v>0</v>
      </c>
      <c r="Q13" s="255">
        <f t="shared" si="4"/>
        <v>0</v>
      </c>
      <c r="R13" s="311">
        <v>0.03</v>
      </c>
      <c r="S13" s="311">
        <v>0</v>
      </c>
      <c r="T13" s="228">
        <f t="shared" si="5"/>
        <v>0</v>
      </c>
      <c r="U13" s="204"/>
      <c r="V13" s="258">
        <f t="shared" si="7"/>
        <v>80</v>
      </c>
      <c r="W13" s="258">
        <f t="shared" si="8"/>
        <v>80</v>
      </c>
      <c r="X13" s="258">
        <f t="shared" si="9"/>
        <v>80</v>
      </c>
      <c r="Y13" s="255">
        <f t="shared" si="6"/>
        <v>79</v>
      </c>
    </row>
    <row r="14" spans="1:27" x14ac:dyDescent="0.2">
      <c r="A14" s="316"/>
      <c r="C14" s="208" t="s">
        <v>154</v>
      </c>
      <c r="D14" s="208" t="s">
        <v>158</v>
      </c>
      <c r="E14" s="212" t="str">
        <f t="shared" si="0"/>
        <v>Tercero en arrendamientoDistrito Federal</v>
      </c>
      <c r="G14" s="272">
        <v>500</v>
      </c>
      <c r="H14" s="271">
        <v>0.05</v>
      </c>
      <c r="I14" s="228">
        <f t="shared" si="1"/>
        <v>525</v>
      </c>
      <c r="J14" s="272">
        <v>0</v>
      </c>
      <c r="K14" s="271">
        <v>0.03</v>
      </c>
      <c r="L14" s="228">
        <f t="shared" si="2"/>
        <v>0</v>
      </c>
      <c r="M14" s="204"/>
      <c r="N14" s="323">
        <v>0</v>
      </c>
      <c r="O14" s="271">
        <v>0.03</v>
      </c>
      <c r="P14" s="228">
        <f t="shared" si="3"/>
        <v>0</v>
      </c>
      <c r="Q14" s="255">
        <f t="shared" si="4"/>
        <v>0</v>
      </c>
      <c r="R14" s="311">
        <v>0.03</v>
      </c>
      <c r="S14" s="311">
        <v>0</v>
      </c>
      <c r="T14" s="228">
        <f t="shared" si="5"/>
        <v>0</v>
      </c>
      <c r="U14" s="204"/>
      <c r="V14" s="258">
        <f t="shared" si="7"/>
        <v>80</v>
      </c>
      <c r="W14" s="258">
        <f t="shared" si="8"/>
        <v>80</v>
      </c>
      <c r="X14" s="258">
        <f t="shared" si="9"/>
        <v>80</v>
      </c>
      <c r="Y14" s="255">
        <f t="shared" si="6"/>
        <v>79</v>
      </c>
    </row>
    <row r="15" spans="1:27" x14ac:dyDescent="0.2">
      <c r="C15" s="208" t="s">
        <v>154</v>
      </c>
      <c r="D15" s="208" t="s">
        <v>159</v>
      </c>
      <c r="E15" s="212" t="str">
        <f t="shared" si="0"/>
        <v>Tercero en arrendamientoUrbano</v>
      </c>
      <c r="G15" s="272">
        <v>550</v>
      </c>
      <c r="H15" s="271">
        <v>0.05</v>
      </c>
      <c r="I15" s="228">
        <f t="shared" si="1"/>
        <v>577.5</v>
      </c>
      <c r="J15" s="272">
        <v>0</v>
      </c>
      <c r="K15" s="271">
        <v>0.03</v>
      </c>
      <c r="L15" s="228">
        <f t="shared" si="2"/>
        <v>0</v>
      </c>
      <c r="M15" s="204"/>
      <c r="N15" s="323">
        <v>0</v>
      </c>
      <c r="O15" s="271">
        <v>0.03</v>
      </c>
      <c r="P15" s="228">
        <f t="shared" si="3"/>
        <v>0</v>
      </c>
      <c r="Q15" s="255">
        <f t="shared" si="4"/>
        <v>0</v>
      </c>
      <c r="R15" s="311">
        <v>0.03</v>
      </c>
      <c r="S15" s="311">
        <v>0</v>
      </c>
      <c r="T15" s="228">
        <f t="shared" si="5"/>
        <v>0</v>
      </c>
      <c r="U15" s="204"/>
      <c r="V15" s="258">
        <f t="shared" si="7"/>
        <v>80</v>
      </c>
      <c r="W15" s="258">
        <f t="shared" si="8"/>
        <v>80</v>
      </c>
      <c r="X15" s="258">
        <f t="shared" si="9"/>
        <v>80</v>
      </c>
      <c r="Y15" s="255">
        <f t="shared" si="6"/>
        <v>79</v>
      </c>
    </row>
    <row r="16" spans="1:27" x14ac:dyDescent="0.2">
      <c r="C16" s="208" t="s">
        <v>154</v>
      </c>
      <c r="D16" s="208" t="s">
        <v>160</v>
      </c>
      <c r="E16" s="212" t="str">
        <f t="shared" si="0"/>
        <v>Tercero en arrendamientoRural</v>
      </c>
      <c r="G16" s="272">
        <v>600</v>
      </c>
      <c r="H16" s="271">
        <v>0.05</v>
      </c>
      <c r="I16" s="228">
        <f t="shared" si="1"/>
        <v>630</v>
      </c>
      <c r="J16" s="272">
        <v>0</v>
      </c>
      <c r="K16" s="271">
        <v>0.03</v>
      </c>
      <c r="L16" s="228">
        <f t="shared" si="2"/>
        <v>0</v>
      </c>
      <c r="M16" s="204"/>
      <c r="N16" s="323">
        <v>0</v>
      </c>
      <c r="O16" s="271">
        <v>0.03</v>
      </c>
      <c r="P16" s="228">
        <f t="shared" si="3"/>
        <v>0</v>
      </c>
      <c r="Q16" s="255">
        <f t="shared" si="4"/>
        <v>0</v>
      </c>
      <c r="R16" s="311">
        <v>0.03</v>
      </c>
      <c r="S16" s="311">
        <v>0</v>
      </c>
      <c r="T16" s="228">
        <f t="shared" si="5"/>
        <v>0</v>
      </c>
      <c r="U16" s="204"/>
      <c r="V16" s="258">
        <f t="shared" si="7"/>
        <v>80</v>
      </c>
      <c r="W16" s="258">
        <f t="shared" si="8"/>
        <v>80</v>
      </c>
      <c r="X16" s="258">
        <f t="shared" si="9"/>
        <v>80</v>
      </c>
      <c r="Y16" s="255">
        <f t="shared" si="6"/>
        <v>79</v>
      </c>
    </row>
    <row r="17" spans="1:27" x14ac:dyDescent="0.2">
      <c r="C17" s="208" t="s">
        <v>154</v>
      </c>
      <c r="D17" s="208" t="s">
        <v>161</v>
      </c>
      <c r="E17" s="212" t="str">
        <f t="shared" si="0"/>
        <v>Tercero en arrendamientoCarreteras</v>
      </c>
      <c r="G17" s="272">
        <v>400</v>
      </c>
      <c r="H17" s="271">
        <v>0.05</v>
      </c>
      <c r="I17" s="228">
        <f t="shared" si="1"/>
        <v>420</v>
      </c>
      <c r="J17" s="272">
        <v>0</v>
      </c>
      <c r="K17" s="271">
        <v>0.03</v>
      </c>
      <c r="L17" s="228">
        <f t="shared" si="2"/>
        <v>0</v>
      </c>
      <c r="M17" s="204"/>
      <c r="N17" s="323">
        <v>0</v>
      </c>
      <c r="O17" s="271">
        <v>0.03</v>
      </c>
      <c r="P17" s="228">
        <f t="shared" si="3"/>
        <v>0</v>
      </c>
      <c r="Q17" s="255">
        <f t="shared" si="4"/>
        <v>0</v>
      </c>
      <c r="R17" s="311">
        <v>0.03</v>
      </c>
      <c r="S17" s="311">
        <v>0</v>
      </c>
      <c r="T17" s="228">
        <f t="shared" si="5"/>
        <v>0</v>
      </c>
      <c r="U17" s="204"/>
      <c r="V17" s="258">
        <f t="shared" si="7"/>
        <v>80</v>
      </c>
      <c r="W17" s="258">
        <f t="shared" si="8"/>
        <v>80</v>
      </c>
      <c r="X17" s="258">
        <f t="shared" si="9"/>
        <v>80</v>
      </c>
      <c r="Y17" s="255">
        <f t="shared" si="6"/>
        <v>79</v>
      </c>
    </row>
    <row r="18" spans="1:27" x14ac:dyDescent="0.2">
      <c r="C18" s="208" t="s">
        <v>155</v>
      </c>
      <c r="D18" s="208" t="s">
        <v>158</v>
      </c>
      <c r="E18" s="212" t="str">
        <f t="shared" si="0"/>
        <v>Tercero en comodatoDistrito Federal</v>
      </c>
      <c r="G18" s="272">
        <v>500</v>
      </c>
      <c r="H18" s="271">
        <v>0.05</v>
      </c>
      <c r="I18" s="228">
        <f t="shared" si="1"/>
        <v>525</v>
      </c>
      <c r="J18" s="272">
        <v>0</v>
      </c>
      <c r="K18" s="271">
        <v>0.03</v>
      </c>
      <c r="L18" s="228">
        <f t="shared" si="2"/>
        <v>0</v>
      </c>
      <c r="M18" s="204"/>
      <c r="N18" s="323">
        <v>0</v>
      </c>
      <c r="O18" s="271">
        <v>0.03</v>
      </c>
      <c r="P18" s="228">
        <f t="shared" si="3"/>
        <v>0</v>
      </c>
      <c r="Q18" s="255">
        <f t="shared" si="4"/>
        <v>0</v>
      </c>
      <c r="R18" s="311">
        <v>0.03</v>
      </c>
      <c r="S18" s="311">
        <v>0</v>
      </c>
      <c r="T18" s="228">
        <f t="shared" si="5"/>
        <v>0</v>
      </c>
      <c r="U18" s="204"/>
      <c r="V18" s="258">
        <f t="shared" si="7"/>
        <v>80</v>
      </c>
      <c r="W18" s="258">
        <f t="shared" si="8"/>
        <v>80</v>
      </c>
      <c r="X18" s="258">
        <f t="shared" si="9"/>
        <v>80</v>
      </c>
      <c r="Y18" s="255">
        <f t="shared" si="6"/>
        <v>79</v>
      </c>
    </row>
    <row r="19" spans="1:27" x14ac:dyDescent="0.2">
      <c r="C19" s="208" t="s">
        <v>155</v>
      </c>
      <c r="D19" s="208" t="s">
        <v>159</v>
      </c>
      <c r="E19" s="212" t="str">
        <f t="shared" si="0"/>
        <v>Tercero en comodatoUrbano</v>
      </c>
      <c r="G19" s="272">
        <v>550</v>
      </c>
      <c r="H19" s="271">
        <v>0.05</v>
      </c>
      <c r="I19" s="228">
        <f t="shared" si="1"/>
        <v>577.5</v>
      </c>
      <c r="J19" s="272">
        <v>0</v>
      </c>
      <c r="K19" s="271">
        <v>0.03</v>
      </c>
      <c r="L19" s="228">
        <f t="shared" si="2"/>
        <v>0</v>
      </c>
      <c r="M19" s="204"/>
      <c r="N19" s="323">
        <v>0</v>
      </c>
      <c r="O19" s="271">
        <v>0.03</v>
      </c>
      <c r="P19" s="228">
        <f t="shared" si="3"/>
        <v>0</v>
      </c>
      <c r="Q19" s="255">
        <f t="shared" si="4"/>
        <v>0</v>
      </c>
      <c r="R19" s="311">
        <v>0.03</v>
      </c>
      <c r="S19" s="311">
        <v>0</v>
      </c>
      <c r="T19" s="228">
        <f t="shared" si="5"/>
        <v>0</v>
      </c>
      <c r="U19" s="204"/>
      <c r="V19" s="258">
        <f t="shared" si="7"/>
        <v>80</v>
      </c>
      <c r="W19" s="258">
        <f t="shared" si="8"/>
        <v>80</v>
      </c>
      <c r="X19" s="258">
        <f t="shared" si="9"/>
        <v>80</v>
      </c>
      <c r="Y19" s="255">
        <f t="shared" si="6"/>
        <v>79</v>
      </c>
    </row>
    <row r="20" spans="1:27" x14ac:dyDescent="0.2">
      <c r="C20" s="208" t="s">
        <v>155</v>
      </c>
      <c r="D20" s="208" t="s">
        <v>160</v>
      </c>
      <c r="E20" s="212" t="str">
        <f t="shared" si="0"/>
        <v>Tercero en comodatoRural</v>
      </c>
      <c r="G20" s="272">
        <v>600</v>
      </c>
      <c r="H20" s="271">
        <v>0.05</v>
      </c>
      <c r="I20" s="228">
        <f t="shared" si="1"/>
        <v>630</v>
      </c>
      <c r="J20" s="272">
        <v>0</v>
      </c>
      <c r="K20" s="271">
        <v>0.03</v>
      </c>
      <c r="L20" s="228">
        <f t="shared" si="2"/>
        <v>0</v>
      </c>
      <c r="M20" s="204"/>
      <c r="N20" s="323">
        <v>0</v>
      </c>
      <c r="O20" s="271">
        <v>0.03</v>
      </c>
      <c r="P20" s="228">
        <f t="shared" si="3"/>
        <v>0</v>
      </c>
      <c r="Q20" s="255">
        <f t="shared" si="4"/>
        <v>0</v>
      </c>
      <c r="R20" s="311">
        <v>0.03</v>
      </c>
      <c r="S20" s="311">
        <v>0</v>
      </c>
      <c r="T20" s="228">
        <f t="shared" si="5"/>
        <v>0</v>
      </c>
      <c r="U20" s="204"/>
      <c r="V20" s="258">
        <f t="shared" si="7"/>
        <v>80</v>
      </c>
      <c r="W20" s="258">
        <f t="shared" si="8"/>
        <v>80</v>
      </c>
      <c r="X20" s="258">
        <f t="shared" si="9"/>
        <v>80</v>
      </c>
      <c r="Y20" s="255">
        <f t="shared" si="6"/>
        <v>79</v>
      </c>
    </row>
    <row r="21" spans="1:27" x14ac:dyDescent="0.2">
      <c r="C21" s="208" t="s">
        <v>155</v>
      </c>
      <c r="D21" s="208" t="s">
        <v>161</v>
      </c>
      <c r="E21" s="212" t="str">
        <f t="shared" si="0"/>
        <v>Tercero en comodatoCarreteras</v>
      </c>
      <c r="G21" s="272">
        <v>400</v>
      </c>
      <c r="H21" s="271">
        <v>0.05</v>
      </c>
      <c r="I21" s="228">
        <f t="shared" si="1"/>
        <v>420</v>
      </c>
      <c r="J21" s="272">
        <v>0</v>
      </c>
      <c r="K21" s="271">
        <v>0.03</v>
      </c>
      <c r="L21" s="228">
        <f t="shared" si="2"/>
        <v>0</v>
      </c>
      <c r="M21" s="204"/>
      <c r="N21" s="323">
        <v>0</v>
      </c>
      <c r="O21" s="271">
        <v>0.03</v>
      </c>
      <c r="P21" s="228">
        <f t="shared" si="3"/>
        <v>0</v>
      </c>
      <c r="Q21" s="255">
        <f t="shared" si="4"/>
        <v>0</v>
      </c>
      <c r="R21" s="311">
        <v>0.03</v>
      </c>
      <c r="S21" s="311">
        <v>0</v>
      </c>
      <c r="T21" s="228">
        <f t="shared" si="5"/>
        <v>0</v>
      </c>
      <c r="U21" s="204"/>
      <c r="V21" s="258">
        <f t="shared" si="7"/>
        <v>80</v>
      </c>
      <c r="W21" s="258">
        <f t="shared" si="8"/>
        <v>80</v>
      </c>
      <c r="X21" s="258">
        <f t="shared" si="9"/>
        <v>80</v>
      </c>
      <c r="Y21" s="255">
        <f t="shared" si="6"/>
        <v>79</v>
      </c>
    </row>
    <row r="22" spans="1:27" x14ac:dyDescent="0.2">
      <c r="E22" s="230" t="s">
        <v>375</v>
      </c>
      <c r="F22" s="204"/>
      <c r="G22" s="204"/>
      <c r="I22" s="230" t="s">
        <v>399</v>
      </c>
      <c r="J22" s="204"/>
      <c r="K22" s="204"/>
      <c r="L22" s="230" t="s">
        <v>376</v>
      </c>
      <c r="M22" s="204"/>
      <c r="N22" s="204"/>
      <c r="O22" s="204"/>
      <c r="P22" s="230" t="s">
        <v>377</v>
      </c>
      <c r="Q22" s="204"/>
      <c r="R22" s="204"/>
      <c r="T22" s="230" t="s">
        <v>378</v>
      </c>
      <c r="U22" s="204"/>
      <c r="W22" s="316"/>
      <c r="X22" s="295" t="s">
        <v>379</v>
      </c>
      <c r="Y22" s="295" t="s">
        <v>380</v>
      </c>
    </row>
    <row r="23" spans="1:27" s="204" customFormat="1" x14ac:dyDescent="0.2">
      <c r="V23" s="3"/>
      <c r="W23" s="3"/>
      <c r="X23" s="3"/>
      <c r="Y23" s="3"/>
    </row>
    <row r="24" spans="1:27" x14ac:dyDescent="0.2">
      <c r="A24" s="216">
        <v>2</v>
      </c>
      <c r="B24" s="190" t="str">
        <f>INDEX(lista.activos,$A24)</f>
        <v>Central del AEP</v>
      </c>
      <c r="C24" s="190"/>
      <c r="D24" s="190"/>
      <c r="E24" s="190"/>
      <c r="F24" s="190"/>
      <c r="G24" s="190"/>
      <c r="H24" s="190"/>
      <c r="I24" s="190"/>
      <c r="J24" s="190"/>
      <c r="K24" s="190"/>
      <c r="L24" s="190"/>
      <c r="M24" s="190"/>
      <c r="N24" s="190"/>
      <c r="O24" s="190"/>
      <c r="P24" s="190"/>
      <c r="Q24" s="190"/>
      <c r="R24" s="190"/>
      <c r="S24" s="190"/>
      <c r="T24" s="190"/>
      <c r="U24" s="190"/>
      <c r="V24" s="284"/>
      <c r="W24" s="284"/>
      <c r="X24" s="284"/>
      <c r="Y24" s="284"/>
      <c r="Z24" s="190"/>
      <c r="AA24" s="190"/>
    </row>
    <row r="25" spans="1:27" ht="36" x14ac:dyDescent="0.2">
      <c r="A25" s="316"/>
      <c r="C25" s="229" t="s">
        <v>751</v>
      </c>
      <c r="D25" s="229" t="s">
        <v>157</v>
      </c>
      <c r="E25" s="204"/>
      <c r="F25" s="204"/>
      <c r="G25" s="229" t="s">
        <v>769</v>
      </c>
      <c r="H25" s="229" t="s">
        <v>358</v>
      </c>
      <c r="I25" s="229" t="s">
        <v>770</v>
      </c>
      <c r="J25" s="204"/>
      <c r="K25" s="204"/>
      <c r="L25" s="204"/>
      <c r="M25" s="204"/>
      <c r="N25" s="229" t="s">
        <v>366</v>
      </c>
      <c r="O25" s="229" t="s">
        <v>358</v>
      </c>
      <c r="P25" s="229" t="s">
        <v>367</v>
      </c>
      <c r="Q25" s="229" t="s">
        <v>368</v>
      </c>
      <c r="R25" s="229" t="s">
        <v>358</v>
      </c>
      <c r="S25" s="229" t="s">
        <v>372</v>
      </c>
      <c r="T25" s="229" t="s">
        <v>369</v>
      </c>
      <c r="U25" s="204"/>
      <c r="V25" s="308" t="s">
        <v>492</v>
      </c>
      <c r="W25" s="308" t="s">
        <v>493</v>
      </c>
      <c r="X25" s="308" t="s">
        <v>494</v>
      </c>
      <c r="Y25" s="308" t="s">
        <v>364</v>
      </c>
    </row>
    <row r="26" spans="1:27" x14ac:dyDescent="0.2">
      <c r="C26" s="208" t="s">
        <v>269</v>
      </c>
      <c r="D26" s="208" t="s">
        <v>158</v>
      </c>
      <c r="E26" s="212" t="str">
        <f>C26&amp;D26</f>
        <v>PequeñaDistrito Federal</v>
      </c>
      <c r="G26" s="240">
        <f>AVERAGE(G28,G31)</f>
        <v>11979.3825</v>
      </c>
      <c r="H26" s="271">
        <v>0.03</v>
      </c>
      <c r="I26" s="228">
        <f>G26*(1+H26)^$C$5</f>
        <v>12338.763975</v>
      </c>
      <c r="J26" s="204"/>
      <c r="K26" s="204"/>
      <c r="L26" s="204"/>
      <c r="M26" s="204"/>
      <c r="N26" s="372">
        <f>N45*area.salas.central.telmex/(area.salas.central.telmex+area.sala.coubicacion.externa.CS)</f>
        <v>79909.000937243938</v>
      </c>
      <c r="O26" s="271">
        <v>0.03</v>
      </c>
      <c r="P26" s="285">
        <f>N26*(1+O26)^$C$5</f>
        <v>82306.270965361255</v>
      </c>
      <c r="Q26" s="372">
        <f>Q45*area.salas.central.telmex/(area.salas.central.telmex+area.sala.coubicacion.externa.CS)</f>
        <v>141294.7653194486</v>
      </c>
      <c r="R26" s="271">
        <v>0.03</v>
      </c>
      <c r="S26" s="323">
        <v>0</v>
      </c>
      <c r="T26" s="285">
        <f>Q26*(1+R26)^$C$5</f>
        <v>145533.60827903208</v>
      </c>
      <c r="U26" s="204"/>
      <c r="V26" s="369">
        <v>70</v>
      </c>
      <c r="W26" s="369">
        <v>27.3</v>
      </c>
      <c r="X26" s="255">
        <f>CHOOSE(vida.util.activo.indice,'Costos unitarios'!V26,'Costos unitarios'!W26)</f>
        <v>27.3</v>
      </c>
      <c r="Y26" s="255">
        <f>MAX(0,X26-$C$5)</f>
        <v>26.3</v>
      </c>
    </row>
    <row r="27" spans="1:27" x14ac:dyDescent="0.2">
      <c r="C27" s="208" t="s">
        <v>269</v>
      </c>
      <c r="D27" s="208" t="s">
        <v>159</v>
      </c>
      <c r="E27" s="212" t="str">
        <f t="shared" ref="E27:E41" si="10">C27&amp;D27</f>
        <v>PequeñaUrbano</v>
      </c>
      <c r="G27" s="240">
        <f>AVERAGE(G28,G31)</f>
        <v>11979.3825</v>
      </c>
      <c r="H27" s="271">
        <v>0.03</v>
      </c>
      <c r="I27" s="228">
        <f t="shared" ref="I27:I29" si="11">G27*(1+H27)^$C$5</f>
        <v>12338.763975</v>
      </c>
      <c r="J27" s="204"/>
      <c r="K27" s="204"/>
      <c r="L27" s="204"/>
      <c r="M27" s="204"/>
      <c r="N27" s="372">
        <f t="shared" ref="N27:N41" si="12">N26</f>
        <v>79909.000937243938</v>
      </c>
      <c r="O27" s="271">
        <v>0.03</v>
      </c>
      <c r="P27" s="285">
        <f t="shared" ref="P27:P30" si="13">N27*(1+O27)^$C$5</f>
        <v>82306.270965361255</v>
      </c>
      <c r="Q27" s="372">
        <f t="shared" ref="Q27:Q41" si="14">Q26</f>
        <v>141294.7653194486</v>
      </c>
      <c r="R27" s="271">
        <v>0.03</v>
      </c>
      <c r="S27" s="323">
        <v>0</v>
      </c>
      <c r="T27" s="285">
        <f t="shared" ref="T27:T41" si="15">Q27*(1+R27)^$C$5</f>
        <v>145533.60827903208</v>
      </c>
      <c r="U27" s="204"/>
      <c r="V27" s="369">
        <f>$V$26</f>
        <v>70</v>
      </c>
      <c r="W27" s="369">
        <f>$W$26</f>
        <v>27.3</v>
      </c>
      <c r="X27" s="258">
        <f>$X$26</f>
        <v>27.3</v>
      </c>
      <c r="Y27" s="255">
        <f t="shared" ref="Y27:Y28" si="16">MAX(0,X27-$C$5)</f>
        <v>26.3</v>
      </c>
    </row>
    <row r="28" spans="1:27" x14ac:dyDescent="0.2">
      <c r="C28" s="208" t="s">
        <v>269</v>
      </c>
      <c r="D28" s="208" t="s">
        <v>160</v>
      </c>
      <c r="E28" s="212" t="str">
        <f t="shared" si="10"/>
        <v>PequeñaRural</v>
      </c>
      <c r="G28" s="374">
        <v>9552.1875</v>
      </c>
      <c r="H28" s="271">
        <v>0.03</v>
      </c>
      <c r="I28" s="228">
        <f t="shared" si="11"/>
        <v>9838.7531250000011</v>
      </c>
      <c r="J28" s="204"/>
      <c r="K28" s="204"/>
      <c r="L28" s="204"/>
      <c r="M28" s="204"/>
      <c r="N28" s="372">
        <f t="shared" si="12"/>
        <v>79909.000937243938</v>
      </c>
      <c r="O28" s="271">
        <v>0.03</v>
      </c>
      <c r="P28" s="285">
        <f t="shared" si="13"/>
        <v>82306.270965361255</v>
      </c>
      <c r="Q28" s="372">
        <f t="shared" si="14"/>
        <v>141294.7653194486</v>
      </c>
      <c r="R28" s="271">
        <v>0.03</v>
      </c>
      <c r="S28" s="323">
        <v>0</v>
      </c>
      <c r="T28" s="285">
        <f t="shared" si="15"/>
        <v>145533.60827903208</v>
      </c>
      <c r="U28" s="204"/>
      <c r="V28" s="369">
        <f t="shared" ref="V28:V41" si="17">$V$26</f>
        <v>70</v>
      </c>
      <c r="W28" s="369">
        <f t="shared" ref="W28:W41" si="18">$W$26</f>
        <v>27.3</v>
      </c>
      <c r="X28" s="258">
        <f t="shared" ref="X28:X41" si="19">$X$26</f>
        <v>27.3</v>
      </c>
      <c r="Y28" s="255">
        <f t="shared" si="16"/>
        <v>26.3</v>
      </c>
    </row>
    <row r="29" spans="1:27" x14ac:dyDescent="0.2">
      <c r="C29" s="208" t="s">
        <v>269</v>
      </c>
      <c r="D29" s="208" t="s">
        <v>161</v>
      </c>
      <c r="E29" s="212" t="str">
        <f t="shared" si="10"/>
        <v>PequeñaCarreteras</v>
      </c>
      <c r="G29" s="378">
        <f>G28</f>
        <v>9552.1875</v>
      </c>
      <c r="H29" s="271">
        <v>0.03</v>
      </c>
      <c r="I29" s="228">
        <f t="shared" si="11"/>
        <v>9838.7531250000011</v>
      </c>
      <c r="J29" s="204"/>
      <c r="K29" s="204"/>
      <c r="L29" s="204"/>
      <c r="M29" s="204"/>
      <c r="N29" s="372">
        <f t="shared" si="12"/>
        <v>79909.000937243938</v>
      </c>
      <c r="O29" s="271">
        <v>0.03</v>
      </c>
      <c r="P29" s="285">
        <f t="shared" si="13"/>
        <v>82306.270965361255</v>
      </c>
      <c r="Q29" s="372">
        <f t="shared" si="14"/>
        <v>141294.7653194486</v>
      </c>
      <c r="R29" s="271">
        <v>0.03</v>
      </c>
      <c r="S29" s="323">
        <v>0</v>
      </c>
      <c r="T29" s="285">
        <f t="shared" si="15"/>
        <v>145533.60827903208</v>
      </c>
      <c r="U29" s="204"/>
      <c r="V29" s="369">
        <f t="shared" si="17"/>
        <v>70</v>
      </c>
      <c r="W29" s="369">
        <f t="shared" si="18"/>
        <v>27.3</v>
      </c>
      <c r="X29" s="258">
        <f t="shared" si="19"/>
        <v>27.3</v>
      </c>
      <c r="Y29" s="255"/>
    </row>
    <row r="30" spans="1:27" s="316" customFormat="1" x14ac:dyDescent="0.2">
      <c r="C30" s="208" t="s">
        <v>270</v>
      </c>
      <c r="D30" s="208" t="s">
        <v>158</v>
      </c>
      <c r="E30" s="212" t="str">
        <f t="shared" si="10"/>
        <v>MediaDistrito Federal</v>
      </c>
      <c r="G30" s="240">
        <f>G31</f>
        <v>14406.577499999999</v>
      </c>
      <c r="H30" s="271">
        <v>0.03</v>
      </c>
      <c r="I30" s="228">
        <f t="shared" ref="I30:I41" si="20">G30*(1+H30)^$C$5</f>
        <v>14838.774825</v>
      </c>
      <c r="N30" s="372">
        <f t="shared" si="12"/>
        <v>79909.000937243938</v>
      </c>
      <c r="O30" s="271">
        <v>0.03</v>
      </c>
      <c r="P30" s="285">
        <f t="shared" si="13"/>
        <v>82306.270965361255</v>
      </c>
      <c r="Q30" s="372">
        <f t="shared" si="14"/>
        <v>141294.7653194486</v>
      </c>
      <c r="R30" s="271">
        <v>0.03</v>
      </c>
      <c r="S30" s="323">
        <v>0</v>
      </c>
      <c r="T30" s="285">
        <f t="shared" si="15"/>
        <v>145533.60827903208</v>
      </c>
      <c r="V30" s="369">
        <f t="shared" si="17"/>
        <v>70</v>
      </c>
      <c r="W30" s="369">
        <f t="shared" si="18"/>
        <v>27.3</v>
      </c>
      <c r="X30" s="258">
        <f t="shared" si="19"/>
        <v>27.3</v>
      </c>
      <c r="Y30" s="255">
        <f t="shared" ref="Y30:Y41" si="21">MAX(0,X30-$C$5)</f>
        <v>26.3</v>
      </c>
    </row>
    <row r="31" spans="1:27" s="316" customFormat="1" x14ac:dyDescent="0.2">
      <c r="C31" s="208" t="s">
        <v>270</v>
      </c>
      <c r="D31" s="208" t="s">
        <v>159</v>
      </c>
      <c r="E31" s="212" t="str">
        <f t="shared" si="10"/>
        <v>MediaUrbano</v>
      </c>
      <c r="G31" s="374">
        <v>14406.577499999999</v>
      </c>
      <c r="H31" s="271">
        <v>0.03</v>
      </c>
      <c r="I31" s="228">
        <f t="shared" si="20"/>
        <v>14838.774825</v>
      </c>
      <c r="N31" s="372">
        <f t="shared" si="12"/>
        <v>79909.000937243938</v>
      </c>
      <c r="O31" s="271">
        <v>0.03</v>
      </c>
      <c r="P31" s="285">
        <f t="shared" ref="P31:P41" si="22">N31*(1+O31)^$C$5</f>
        <v>82306.270965361255</v>
      </c>
      <c r="Q31" s="372">
        <f t="shared" si="14"/>
        <v>141294.7653194486</v>
      </c>
      <c r="R31" s="271">
        <v>0.03</v>
      </c>
      <c r="S31" s="323">
        <v>0</v>
      </c>
      <c r="T31" s="285">
        <f t="shared" si="15"/>
        <v>145533.60827903208</v>
      </c>
      <c r="V31" s="369">
        <f t="shared" si="17"/>
        <v>70</v>
      </c>
      <c r="W31" s="369">
        <f t="shared" si="18"/>
        <v>27.3</v>
      </c>
      <c r="X31" s="258">
        <f t="shared" si="19"/>
        <v>27.3</v>
      </c>
      <c r="Y31" s="255">
        <f t="shared" si="21"/>
        <v>26.3</v>
      </c>
    </row>
    <row r="32" spans="1:27" s="316" customFormat="1" x14ac:dyDescent="0.2">
      <c r="C32" s="208" t="s">
        <v>270</v>
      </c>
      <c r="D32" s="208" t="s">
        <v>160</v>
      </c>
      <c r="E32" s="212" t="str">
        <f t="shared" si="10"/>
        <v>MediaRural</v>
      </c>
      <c r="G32" s="240">
        <f>AVERAGE(G28,G31)</f>
        <v>11979.3825</v>
      </c>
      <c r="H32" s="271">
        <v>0.03</v>
      </c>
      <c r="I32" s="228">
        <f t="shared" si="20"/>
        <v>12338.763975</v>
      </c>
      <c r="N32" s="372">
        <f t="shared" si="12"/>
        <v>79909.000937243938</v>
      </c>
      <c r="O32" s="271">
        <v>0.03</v>
      </c>
      <c r="P32" s="285">
        <f t="shared" si="22"/>
        <v>82306.270965361255</v>
      </c>
      <c r="Q32" s="372">
        <f t="shared" si="14"/>
        <v>141294.7653194486</v>
      </c>
      <c r="R32" s="271">
        <v>0.03</v>
      </c>
      <c r="S32" s="323">
        <v>0</v>
      </c>
      <c r="T32" s="285">
        <f t="shared" si="15"/>
        <v>145533.60827903208</v>
      </c>
      <c r="V32" s="369">
        <f t="shared" si="17"/>
        <v>70</v>
      </c>
      <c r="W32" s="369">
        <f t="shared" si="18"/>
        <v>27.3</v>
      </c>
      <c r="X32" s="258">
        <f t="shared" si="19"/>
        <v>27.3</v>
      </c>
      <c r="Y32" s="255">
        <f t="shared" si="21"/>
        <v>26.3</v>
      </c>
    </row>
    <row r="33" spans="1:27" s="316" customFormat="1" x14ac:dyDescent="0.2">
      <c r="C33" s="208" t="s">
        <v>270</v>
      </c>
      <c r="D33" s="208" t="s">
        <v>161</v>
      </c>
      <c r="E33" s="212" t="str">
        <f t="shared" si="10"/>
        <v>MediaCarreteras</v>
      </c>
      <c r="G33" s="378">
        <f>G32</f>
        <v>11979.3825</v>
      </c>
      <c r="H33" s="271">
        <v>0.03</v>
      </c>
      <c r="I33" s="228">
        <f t="shared" si="20"/>
        <v>12338.763975</v>
      </c>
      <c r="N33" s="372">
        <f t="shared" si="12"/>
        <v>79909.000937243938</v>
      </c>
      <c r="O33" s="271">
        <v>0.03</v>
      </c>
      <c r="P33" s="285">
        <f t="shared" si="22"/>
        <v>82306.270965361255</v>
      </c>
      <c r="Q33" s="372">
        <f t="shared" si="14"/>
        <v>141294.7653194486</v>
      </c>
      <c r="R33" s="271">
        <v>0.03</v>
      </c>
      <c r="S33" s="323">
        <v>0</v>
      </c>
      <c r="T33" s="285">
        <f t="shared" si="15"/>
        <v>145533.60827903208</v>
      </c>
      <c r="V33" s="369">
        <f t="shared" si="17"/>
        <v>70</v>
      </c>
      <c r="W33" s="369">
        <f t="shared" si="18"/>
        <v>27.3</v>
      </c>
      <c r="X33" s="258">
        <f t="shared" si="19"/>
        <v>27.3</v>
      </c>
      <c r="Y33" s="255">
        <f t="shared" si="21"/>
        <v>26.3</v>
      </c>
    </row>
    <row r="34" spans="1:27" s="316" customFormat="1" x14ac:dyDescent="0.2">
      <c r="C34" s="208" t="s">
        <v>271</v>
      </c>
      <c r="D34" s="208" t="s">
        <v>158</v>
      </c>
      <c r="E34" s="212" t="str">
        <f t="shared" si="10"/>
        <v>GrandeDistrito Federal</v>
      </c>
      <c r="G34" s="374">
        <v>28227.904799999997</v>
      </c>
      <c r="H34" s="271">
        <v>0.03</v>
      </c>
      <c r="I34" s="228">
        <f t="shared" si="20"/>
        <v>29074.741943999998</v>
      </c>
      <c r="N34" s="372">
        <f t="shared" si="12"/>
        <v>79909.000937243938</v>
      </c>
      <c r="O34" s="271">
        <v>0.03</v>
      </c>
      <c r="P34" s="285">
        <f t="shared" si="22"/>
        <v>82306.270965361255</v>
      </c>
      <c r="Q34" s="372">
        <f t="shared" si="14"/>
        <v>141294.7653194486</v>
      </c>
      <c r="R34" s="271">
        <v>0.03</v>
      </c>
      <c r="S34" s="323">
        <v>0</v>
      </c>
      <c r="T34" s="285">
        <f t="shared" si="15"/>
        <v>145533.60827903208</v>
      </c>
      <c r="V34" s="369">
        <f t="shared" si="17"/>
        <v>70</v>
      </c>
      <c r="W34" s="369">
        <f t="shared" si="18"/>
        <v>27.3</v>
      </c>
      <c r="X34" s="258">
        <f t="shared" si="19"/>
        <v>27.3</v>
      </c>
      <c r="Y34" s="255">
        <f t="shared" si="21"/>
        <v>26.3</v>
      </c>
    </row>
    <row r="35" spans="1:27" s="316" customFormat="1" x14ac:dyDescent="0.2">
      <c r="C35" s="208" t="s">
        <v>271</v>
      </c>
      <c r="D35" s="208" t="s">
        <v>159</v>
      </c>
      <c r="E35" s="212" t="str">
        <f t="shared" si="10"/>
        <v>GrandeUrbano</v>
      </c>
      <c r="G35" s="240">
        <f>AVERAGE(G31,G34)</f>
        <v>21317.241149999998</v>
      </c>
      <c r="H35" s="271">
        <v>0.03</v>
      </c>
      <c r="I35" s="228">
        <f t="shared" si="20"/>
        <v>21956.758384499997</v>
      </c>
      <c r="N35" s="372">
        <f t="shared" si="12"/>
        <v>79909.000937243938</v>
      </c>
      <c r="O35" s="271">
        <v>0.03</v>
      </c>
      <c r="P35" s="285">
        <f t="shared" si="22"/>
        <v>82306.270965361255</v>
      </c>
      <c r="Q35" s="372">
        <f t="shared" si="14"/>
        <v>141294.7653194486</v>
      </c>
      <c r="R35" s="271">
        <v>0.03</v>
      </c>
      <c r="S35" s="323">
        <v>0</v>
      </c>
      <c r="T35" s="285">
        <f t="shared" si="15"/>
        <v>145533.60827903208</v>
      </c>
      <c r="V35" s="369">
        <f t="shared" si="17"/>
        <v>70</v>
      </c>
      <c r="W35" s="369">
        <f t="shared" si="18"/>
        <v>27.3</v>
      </c>
      <c r="X35" s="258">
        <f t="shared" si="19"/>
        <v>27.3</v>
      </c>
      <c r="Y35" s="255">
        <f t="shared" si="21"/>
        <v>26.3</v>
      </c>
    </row>
    <row r="36" spans="1:27" s="316" customFormat="1" x14ac:dyDescent="0.2">
      <c r="C36" s="208" t="s">
        <v>271</v>
      </c>
      <c r="D36" s="208" t="s">
        <v>160</v>
      </c>
      <c r="E36" s="212" t="str">
        <f t="shared" si="10"/>
        <v>GrandeRural</v>
      </c>
      <c r="G36" s="240">
        <f>G31</f>
        <v>14406.577499999999</v>
      </c>
      <c r="H36" s="271">
        <v>0.03</v>
      </c>
      <c r="I36" s="228">
        <f t="shared" si="20"/>
        <v>14838.774825</v>
      </c>
      <c r="N36" s="372">
        <f t="shared" si="12"/>
        <v>79909.000937243938</v>
      </c>
      <c r="O36" s="271">
        <v>0.03</v>
      </c>
      <c r="P36" s="285">
        <f t="shared" si="22"/>
        <v>82306.270965361255</v>
      </c>
      <c r="Q36" s="372">
        <f t="shared" si="14"/>
        <v>141294.7653194486</v>
      </c>
      <c r="R36" s="271">
        <v>0.03</v>
      </c>
      <c r="S36" s="323">
        <v>0</v>
      </c>
      <c r="T36" s="285">
        <f t="shared" si="15"/>
        <v>145533.60827903208</v>
      </c>
      <c r="V36" s="369">
        <f t="shared" si="17"/>
        <v>70</v>
      </c>
      <c r="W36" s="369">
        <f t="shared" si="18"/>
        <v>27.3</v>
      </c>
      <c r="X36" s="258">
        <f t="shared" si="19"/>
        <v>27.3</v>
      </c>
      <c r="Y36" s="255">
        <f t="shared" si="21"/>
        <v>26.3</v>
      </c>
    </row>
    <row r="37" spans="1:27" s="316" customFormat="1" x14ac:dyDescent="0.2">
      <c r="C37" s="208" t="s">
        <v>271</v>
      </c>
      <c r="D37" s="208" t="s">
        <v>161</v>
      </c>
      <c r="E37" s="212" t="str">
        <f t="shared" si="10"/>
        <v>GrandeCarreteras</v>
      </c>
      <c r="G37" s="378">
        <f>G36</f>
        <v>14406.577499999999</v>
      </c>
      <c r="H37" s="271">
        <v>0.03</v>
      </c>
      <c r="I37" s="228">
        <f t="shared" si="20"/>
        <v>14838.774825</v>
      </c>
      <c r="N37" s="372">
        <f t="shared" si="12"/>
        <v>79909.000937243938</v>
      </c>
      <c r="O37" s="271">
        <v>0.03</v>
      </c>
      <c r="P37" s="285">
        <f t="shared" si="22"/>
        <v>82306.270965361255</v>
      </c>
      <c r="Q37" s="372">
        <f t="shared" si="14"/>
        <v>141294.7653194486</v>
      </c>
      <c r="R37" s="271">
        <v>0.03</v>
      </c>
      <c r="S37" s="323">
        <v>0</v>
      </c>
      <c r="T37" s="285">
        <f t="shared" si="15"/>
        <v>145533.60827903208</v>
      </c>
      <c r="V37" s="369">
        <f t="shared" si="17"/>
        <v>70</v>
      </c>
      <c r="W37" s="369">
        <f t="shared" si="18"/>
        <v>27.3</v>
      </c>
      <c r="X37" s="258">
        <f t="shared" si="19"/>
        <v>27.3</v>
      </c>
      <c r="Y37" s="255">
        <f t="shared" si="21"/>
        <v>26.3</v>
      </c>
    </row>
    <row r="38" spans="1:27" s="316" customFormat="1" x14ac:dyDescent="0.2">
      <c r="C38" s="208" t="s">
        <v>272</v>
      </c>
      <c r="D38" s="208" t="s">
        <v>158</v>
      </c>
      <c r="E38" s="212" t="str">
        <f t="shared" si="10"/>
        <v>Muy grandeDistrito Federal</v>
      </c>
      <c r="G38" s="240">
        <f>G34</f>
        <v>28227.904799999997</v>
      </c>
      <c r="H38" s="271">
        <v>0.03</v>
      </c>
      <c r="I38" s="228">
        <f t="shared" si="20"/>
        <v>29074.741943999998</v>
      </c>
      <c r="N38" s="372">
        <f t="shared" si="12"/>
        <v>79909.000937243938</v>
      </c>
      <c r="O38" s="271">
        <v>0.03</v>
      </c>
      <c r="P38" s="285">
        <f t="shared" si="22"/>
        <v>82306.270965361255</v>
      </c>
      <c r="Q38" s="372">
        <f t="shared" si="14"/>
        <v>141294.7653194486</v>
      </c>
      <c r="R38" s="271">
        <v>0.03</v>
      </c>
      <c r="S38" s="323">
        <v>0</v>
      </c>
      <c r="T38" s="285">
        <f t="shared" si="15"/>
        <v>145533.60827903208</v>
      </c>
      <c r="V38" s="369">
        <f t="shared" si="17"/>
        <v>70</v>
      </c>
      <c r="W38" s="369">
        <f t="shared" si="18"/>
        <v>27.3</v>
      </c>
      <c r="X38" s="258">
        <f t="shared" si="19"/>
        <v>27.3</v>
      </c>
      <c r="Y38" s="255">
        <f t="shared" si="21"/>
        <v>26.3</v>
      </c>
    </row>
    <row r="39" spans="1:27" s="316" customFormat="1" x14ac:dyDescent="0.2">
      <c r="C39" s="208" t="s">
        <v>272</v>
      </c>
      <c r="D39" s="208" t="s">
        <v>159</v>
      </c>
      <c r="E39" s="212" t="str">
        <f t="shared" si="10"/>
        <v>Muy grandeUrbano</v>
      </c>
      <c r="G39" s="240">
        <f>G34</f>
        <v>28227.904799999997</v>
      </c>
      <c r="H39" s="271">
        <v>0.03</v>
      </c>
      <c r="I39" s="228">
        <f t="shared" si="20"/>
        <v>29074.741943999998</v>
      </c>
      <c r="N39" s="372">
        <f t="shared" si="12"/>
        <v>79909.000937243938</v>
      </c>
      <c r="O39" s="271">
        <v>0.03</v>
      </c>
      <c r="P39" s="285">
        <f t="shared" si="22"/>
        <v>82306.270965361255</v>
      </c>
      <c r="Q39" s="372">
        <f t="shared" si="14"/>
        <v>141294.7653194486</v>
      </c>
      <c r="R39" s="271">
        <v>0.03</v>
      </c>
      <c r="S39" s="323">
        <v>0</v>
      </c>
      <c r="T39" s="285">
        <f t="shared" si="15"/>
        <v>145533.60827903208</v>
      </c>
      <c r="V39" s="369">
        <f t="shared" si="17"/>
        <v>70</v>
      </c>
      <c r="W39" s="369">
        <f t="shared" si="18"/>
        <v>27.3</v>
      </c>
      <c r="X39" s="258">
        <f t="shared" si="19"/>
        <v>27.3</v>
      </c>
      <c r="Y39" s="255">
        <f t="shared" si="21"/>
        <v>26.3</v>
      </c>
    </row>
    <row r="40" spans="1:27" s="316" customFormat="1" x14ac:dyDescent="0.2">
      <c r="C40" s="208" t="s">
        <v>272</v>
      </c>
      <c r="D40" s="208" t="s">
        <v>160</v>
      </c>
      <c r="E40" s="212" t="str">
        <f t="shared" si="10"/>
        <v>Muy grandeRural</v>
      </c>
      <c r="G40" s="240">
        <f>G31</f>
        <v>14406.577499999999</v>
      </c>
      <c r="H40" s="271">
        <v>0.03</v>
      </c>
      <c r="I40" s="228">
        <f t="shared" si="20"/>
        <v>14838.774825</v>
      </c>
      <c r="N40" s="372">
        <f t="shared" si="12"/>
        <v>79909.000937243938</v>
      </c>
      <c r="O40" s="271">
        <v>0.03</v>
      </c>
      <c r="P40" s="285">
        <f t="shared" si="22"/>
        <v>82306.270965361255</v>
      </c>
      <c r="Q40" s="372">
        <f t="shared" si="14"/>
        <v>141294.7653194486</v>
      </c>
      <c r="R40" s="271">
        <v>0.03</v>
      </c>
      <c r="S40" s="323">
        <v>0</v>
      </c>
      <c r="T40" s="285">
        <f t="shared" si="15"/>
        <v>145533.60827903208</v>
      </c>
      <c r="V40" s="369">
        <f t="shared" si="17"/>
        <v>70</v>
      </c>
      <c r="W40" s="369">
        <f t="shared" si="18"/>
        <v>27.3</v>
      </c>
      <c r="X40" s="258">
        <f t="shared" si="19"/>
        <v>27.3</v>
      </c>
      <c r="Y40" s="255">
        <f t="shared" si="21"/>
        <v>26.3</v>
      </c>
    </row>
    <row r="41" spans="1:27" s="316" customFormat="1" x14ac:dyDescent="0.2">
      <c r="C41" s="208" t="s">
        <v>272</v>
      </c>
      <c r="D41" s="208" t="s">
        <v>161</v>
      </c>
      <c r="E41" s="212" t="str">
        <f t="shared" si="10"/>
        <v>Muy grandeCarreteras</v>
      </c>
      <c r="G41" s="378">
        <f>G40</f>
        <v>14406.577499999999</v>
      </c>
      <c r="H41" s="271">
        <v>0.03</v>
      </c>
      <c r="I41" s="228">
        <f t="shared" si="20"/>
        <v>14838.774825</v>
      </c>
      <c r="N41" s="372">
        <f t="shared" si="12"/>
        <v>79909.000937243938</v>
      </c>
      <c r="O41" s="271">
        <v>0.03</v>
      </c>
      <c r="P41" s="285">
        <f t="shared" si="22"/>
        <v>82306.270965361255</v>
      </c>
      <c r="Q41" s="372">
        <f t="shared" si="14"/>
        <v>141294.7653194486</v>
      </c>
      <c r="R41" s="271">
        <v>0.03</v>
      </c>
      <c r="S41" s="323">
        <v>0</v>
      </c>
      <c r="T41" s="285">
        <f t="shared" si="15"/>
        <v>145533.60827903208</v>
      </c>
      <c r="V41" s="369">
        <f t="shared" si="17"/>
        <v>70</v>
      </c>
      <c r="W41" s="369">
        <f t="shared" si="18"/>
        <v>27.3</v>
      </c>
      <c r="X41" s="258">
        <f t="shared" si="19"/>
        <v>27.3</v>
      </c>
      <c r="Y41" s="255">
        <f t="shared" si="21"/>
        <v>26.3</v>
      </c>
    </row>
    <row r="42" spans="1:27" x14ac:dyDescent="0.2">
      <c r="E42" s="230" t="s">
        <v>381</v>
      </c>
      <c r="F42" s="204"/>
      <c r="G42" s="316"/>
      <c r="H42" s="204"/>
      <c r="I42" s="230" t="s">
        <v>382</v>
      </c>
      <c r="J42" s="204"/>
      <c r="K42" s="204"/>
      <c r="L42" s="204"/>
      <c r="M42" s="204"/>
      <c r="N42" s="316"/>
      <c r="O42" s="204"/>
      <c r="P42" s="230" t="s">
        <v>383</v>
      </c>
      <c r="Q42" s="204"/>
      <c r="R42" s="204"/>
      <c r="S42" s="316"/>
      <c r="T42" s="230" t="s">
        <v>384</v>
      </c>
      <c r="U42" s="204"/>
      <c r="W42" s="316"/>
      <c r="X42" s="295" t="s">
        <v>385</v>
      </c>
      <c r="Y42" s="295" t="s">
        <v>386</v>
      </c>
      <c r="Z42" s="204"/>
    </row>
    <row r="43" spans="1:27" x14ac:dyDescent="0.2">
      <c r="Q43" s="316"/>
    </row>
    <row r="44" spans="1:27" s="316" customFormat="1" ht="36" x14ac:dyDescent="0.2">
      <c r="N44" s="229" t="s">
        <v>366</v>
      </c>
      <c r="Q44" s="229" t="s">
        <v>368</v>
      </c>
      <c r="V44" s="3"/>
      <c r="W44" s="3"/>
      <c r="X44" s="3"/>
      <c r="Y44" s="3"/>
    </row>
    <row r="45" spans="1:27" s="316" customFormat="1" x14ac:dyDescent="0.2">
      <c r="N45" s="372">
        <v>79909.000937243938</v>
      </c>
      <c r="Q45" s="372">
        <v>141294.7653194486</v>
      </c>
      <c r="V45" s="3"/>
      <c r="W45" s="3"/>
      <c r="X45" s="3"/>
      <c r="Y45" s="3"/>
    </row>
    <row r="46" spans="1:27" s="316" customFormat="1" x14ac:dyDescent="0.2">
      <c r="V46" s="3"/>
      <c r="W46" s="3"/>
      <c r="X46" s="3"/>
      <c r="Y46" s="3"/>
    </row>
    <row r="47" spans="1:27" s="316" customFormat="1" x14ac:dyDescent="0.2">
      <c r="V47" s="3"/>
      <c r="W47" s="3"/>
      <c r="X47" s="3"/>
      <c r="Y47" s="3"/>
    </row>
    <row r="48" spans="1:27" x14ac:dyDescent="0.2">
      <c r="A48" s="216">
        <v>3</v>
      </c>
      <c r="B48" s="190" t="str">
        <f>INDEX(lista.activos,$A48)</f>
        <v>Sala coubicación externa</v>
      </c>
      <c r="C48" s="190"/>
      <c r="D48" s="190"/>
      <c r="E48" s="190"/>
      <c r="F48" s="190"/>
      <c r="G48" s="190"/>
      <c r="H48" s="190"/>
      <c r="I48" s="190"/>
      <c r="J48" s="190"/>
      <c r="K48" s="190"/>
      <c r="L48" s="190"/>
      <c r="M48" s="190"/>
      <c r="N48" s="190"/>
      <c r="O48" s="190"/>
      <c r="P48" s="190"/>
      <c r="Q48" s="190"/>
      <c r="R48" s="190"/>
      <c r="S48" s="190"/>
      <c r="T48" s="190"/>
      <c r="U48" s="190"/>
      <c r="V48" s="284"/>
      <c r="W48" s="284"/>
      <c r="X48" s="284"/>
      <c r="Y48" s="284"/>
      <c r="Z48" s="190"/>
      <c r="AA48" s="190"/>
    </row>
    <row r="49" spans="3:25" ht="36" x14ac:dyDescent="0.2">
      <c r="C49" s="229" t="s">
        <v>751</v>
      </c>
      <c r="D49" s="229" t="s">
        <v>157</v>
      </c>
      <c r="E49" s="316"/>
      <c r="G49" s="229" t="s">
        <v>407</v>
      </c>
      <c r="H49" s="229" t="s">
        <v>358</v>
      </c>
      <c r="I49" s="229" t="s">
        <v>365</v>
      </c>
      <c r="J49" s="204"/>
      <c r="K49" s="204"/>
      <c r="L49" s="204"/>
      <c r="M49" s="204"/>
      <c r="N49" s="229" t="s">
        <v>366</v>
      </c>
      <c r="O49" s="229" t="s">
        <v>358</v>
      </c>
      <c r="P49" s="229" t="s">
        <v>367</v>
      </c>
      <c r="Q49" s="229" t="s">
        <v>368</v>
      </c>
      <c r="R49" s="229" t="s">
        <v>358</v>
      </c>
      <c r="S49" s="229" t="s">
        <v>372</v>
      </c>
      <c r="T49" s="229" t="s">
        <v>369</v>
      </c>
      <c r="U49" s="204"/>
      <c r="V49" s="308" t="s">
        <v>492</v>
      </c>
      <c r="W49" s="308" t="s">
        <v>493</v>
      </c>
      <c r="X49" s="308" t="s">
        <v>494</v>
      </c>
      <c r="Y49" s="308" t="s">
        <v>364</v>
      </c>
    </row>
    <row r="50" spans="3:25" x14ac:dyDescent="0.2">
      <c r="C50" s="208" t="s">
        <v>269</v>
      </c>
      <c r="D50" s="208" t="s">
        <v>158</v>
      </c>
      <c r="E50" s="212" t="str">
        <f>C50&amp;D50</f>
        <v>PequeñaDistrito Federal</v>
      </c>
      <c r="G50" s="372">
        <f>G26</f>
        <v>11979.3825</v>
      </c>
      <c r="H50" s="347">
        <f t="shared" ref="H50:I50" si="23">H26</f>
        <v>0.03</v>
      </c>
      <c r="I50" s="287">
        <f t="shared" si="23"/>
        <v>12338.763975</v>
      </c>
      <c r="J50" s="204"/>
      <c r="K50" s="204"/>
      <c r="L50" s="204"/>
      <c r="M50" s="204"/>
      <c r="N50" s="323">
        <f>N45*area.sala.coubicacion.externa.CS/(area.salas.central.telmex+area.sala.coubicacion.externa.CS)</f>
        <v>0</v>
      </c>
      <c r="O50" s="271">
        <v>0.03</v>
      </c>
      <c r="P50" s="285">
        <f>N50*(1+O50)^$C$5</f>
        <v>0</v>
      </c>
      <c r="Q50" s="323">
        <f>Q45*area.sala.coubicacion.externa.CS/(area.salas.central.telmex+area.sala.coubicacion.externa.CS)</f>
        <v>0</v>
      </c>
      <c r="R50" s="271">
        <v>0.03</v>
      </c>
      <c r="S50" s="323">
        <v>0</v>
      </c>
      <c r="T50" s="228">
        <f>Q50*(1+R50)^$C$5</f>
        <v>0</v>
      </c>
      <c r="U50" s="204"/>
      <c r="V50" s="369">
        <v>70</v>
      </c>
      <c r="W50" s="369">
        <v>29.4</v>
      </c>
      <c r="X50" s="255">
        <f>CHOOSE(vida.util.activo.indice,'Costos unitarios'!V50,'Costos unitarios'!W50)</f>
        <v>29.4</v>
      </c>
      <c r="Y50" s="255">
        <f>MAX(0,X50-$C$5)</f>
        <v>28.4</v>
      </c>
    </row>
    <row r="51" spans="3:25" s="204" customFormat="1" x14ac:dyDescent="0.2">
      <c r="C51" s="208" t="s">
        <v>269</v>
      </c>
      <c r="D51" s="208" t="s">
        <v>159</v>
      </c>
      <c r="E51" s="212" t="str">
        <f t="shared" ref="E51:E65" si="24">C51&amp;D51</f>
        <v>PequeñaUrbano</v>
      </c>
      <c r="G51" s="372">
        <f t="shared" ref="G51:I51" si="25">G27</f>
        <v>11979.3825</v>
      </c>
      <c r="H51" s="347">
        <f t="shared" si="25"/>
        <v>0.03</v>
      </c>
      <c r="I51" s="287">
        <f t="shared" si="25"/>
        <v>12338.763975</v>
      </c>
      <c r="N51" s="348">
        <f t="shared" ref="N51:N65" si="26">N50</f>
        <v>0</v>
      </c>
      <c r="O51" s="271">
        <v>0.03</v>
      </c>
      <c r="P51" s="285">
        <f t="shared" ref="P51:P65" si="27">N51*(1+O51)^$C$5</f>
        <v>0</v>
      </c>
      <c r="Q51" s="234">
        <f t="shared" ref="Q51:Q65" si="28">Q50</f>
        <v>0</v>
      </c>
      <c r="R51" s="271">
        <v>0.03</v>
      </c>
      <c r="S51" s="323">
        <v>0</v>
      </c>
      <c r="T51" s="228">
        <f t="shared" ref="T51:T65" si="29">Q51*(1+R51)^$C$5</f>
        <v>0</v>
      </c>
      <c r="V51" s="369">
        <f>$V$50</f>
        <v>70</v>
      </c>
      <c r="W51" s="369">
        <f>$W$50</f>
        <v>29.4</v>
      </c>
      <c r="X51" s="258">
        <f>X50</f>
        <v>29.4</v>
      </c>
      <c r="Y51" s="255">
        <f t="shared" ref="Y51:Y65" si="30">MAX(0,X51-$C$5)</f>
        <v>28.4</v>
      </c>
    </row>
    <row r="52" spans="3:25" s="204" customFormat="1" x14ac:dyDescent="0.2">
      <c r="C52" s="208" t="s">
        <v>269</v>
      </c>
      <c r="D52" s="208" t="s">
        <v>160</v>
      </c>
      <c r="E52" s="212" t="str">
        <f t="shared" si="24"/>
        <v>PequeñaRural</v>
      </c>
      <c r="G52" s="372">
        <f t="shared" ref="G52:I52" si="31">G28</f>
        <v>9552.1875</v>
      </c>
      <c r="H52" s="347">
        <f t="shared" si="31"/>
        <v>0.03</v>
      </c>
      <c r="I52" s="287">
        <f t="shared" si="31"/>
        <v>9838.7531250000011</v>
      </c>
      <c r="N52" s="348">
        <f t="shared" si="26"/>
        <v>0</v>
      </c>
      <c r="O52" s="271">
        <v>0.03</v>
      </c>
      <c r="P52" s="285">
        <f t="shared" si="27"/>
        <v>0</v>
      </c>
      <c r="Q52" s="234">
        <f t="shared" si="28"/>
        <v>0</v>
      </c>
      <c r="R52" s="271">
        <v>0.03</v>
      </c>
      <c r="S52" s="323">
        <v>0</v>
      </c>
      <c r="T52" s="228">
        <f t="shared" si="29"/>
        <v>0</v>
      </c>
      <c r="V52" s="369">
        <f t="shared" ref="V52:V65" si="32">$V$50</f>
        <v>70</v>
      </c>
      <c r="W52" s="369">
        <f t="shared" ref="W52:W65" si="33">$W$50</f>
        <v>29.4</v>
      </c>
      <c r="X52" s="258">
        <f t="shared" ref="X52:X65" si="34">X51</f>
        <v>29.4</v>
      </c>
      <c r="Y52" s="255">
        <f t="shared" si="30"/>
        <v>28.4</v>
      </c>
    </row>
    <row r="53" spans="3:25" s="204" customFormat="1" x14ac:dyDescent="0.2">
      <c r="C53" s="208" t="s">
        <v>269</v>
      </c>
      <c r="D53" s="208" t="s">
        <v>161</v>
      </c>
      <c r="E53" s="212" t="str">
        <f t="shared" si="24"/>
        <v>PequeñaCarreteras</v>
      </c>
      <c r="G53" s="372">
        <f t="shared" ref="G53:I53" si="35">G29</f>
        <v>9552.1875</v>
      </c>
      <c r="H53" s="347">
        <f t="shared" si="35"/>
        <v>0.03</v>
      </c>
      <c r="I53" s="287">
        <f t="shared" si="35"/>
        <v>9838.7531250000011</v>
      </c>
      <c r="N53" s="348">
        <f t="shared" si="26"/>
        <v>0</v>
      </c>
      <c r="O53" s="271">
        <v>0.03</v>
      </c>
      <c r="P53" s="285">
        <f t="shared" si="27"/>
        <v>0</v>
      </c>
      <c r="Q53" s="234">
        <f t="shared" si="28"/>
        <v>0</v>
      </c>
      <c r="R53" s="271">
        <v>0.03</v>
      </c>
      <c r="S53" s="323">
        <v>0</v>
      </c>
      <c r="T53" s="228">
        <f t="shared" si="29"/>
        <v>0</v>
      </c>
      <c r="V53" s="369">
        <f t="shared" si="32"/>
        <v>70</v>
      </c>
      <c r="W53" s="369">
        <f t="shared" si="33"/>
        <v>29.4</v>
      </c>
      <c r="X53" s="258">
        <f t="shared" si="34"/>
        <v>29.4</v>
      </c>
      <c r="Y53" s="255">
        <f t="shared" si="30"/>
        <v>28.4</v>
      </c>
    </row>
    <row r="54" spans="3:25" s="316" customFormat="1" x14ac:dyDescent="0.2">
      <c r="C54" s="208" t="s">
        <v>270</v>
      </c>
      <c r="D54" s="208" t="s">
        <v>158</v>
      </c>
      <c r="E54" s="212" t="str">
        <f t="shared" si="24"/>
        <v>MediaDistrito Federal</v>
      </c>
      <c r="G54" s="372">
        <f t="shared" ref="G54:I54" si="36">G30</f>
        <v>14406.577499999999</v>
      </c>
      <c r="H54" s="347">
        <f t="shared" si="36"/>
        <v>0.03</v>
      </c>
      <c r="I54" s="287">
        <f t="shared" si="36"/>
        <v>14838.774825</v>
      </c>
      <c r="N54" s="348">
        <f t="shared" si="26"/>
        <v>0</v>
      </c>
      <c r="O54" s="271">
        <v>0.03</v>
      </c>
      <c r="P54" s="285">
        <f t="shared" si="27"/>
        <v>0</v>
      </c>
      <c r="Q54" s="234">
        <f t="shared" si="28"/>
        <v>0</v>
      </c>
      <c r="R54" s="271">
        <v>0.03</v>
      </c>
      <c r="S54" s="323">
        <v>0</v>
      </c>
      <c r="T54" s="228">
        <f t="shared" si="29"/>
        <v>0</v>
      </c>
      <c r="V54" s="369">
        <f t="shared" si="32"/>
        <v>70</v>
      </c>
      <c r="W54" s="369">
        <f t="shared" si="33"/>
        <v>29.4</v>
      </c>
      <c r="X54" s="258">
        <f t="shared" si="34"/>
        <v>29.4</v>
      </c>
      <c r="Y54" s="255">
        <f t="shared" si="30"/>
        <v>28.4</v>
      </c>
    </row>
    <row r="55" spans="3:25" s="316" customFormat="1" x14ac:dyDescent="0.2">
      <c r="C55" s="208" t="s">
        <v>270</v>
      </c>
      <c r="D55" s="208" t="s">
        <v>159</v>
      </c>
      <c r="E55" s="212" t="str">
        <f t="shared" si="24"/>
        <v>MediaUrbano</v>
      </c>
      <c r="G55" s="372">
        <f t="shared" ref="G55:I55" si="37">G31</f>
        <v>14406.577499999999</v>
      </c>
      <c r="H55" s="347">
        <f t="shared" si="37"/>
        <v>0.03</v>
      </c>
      <c r="I55" s="287">
        <f t="shared" si="37"/>
        <v>14838.774825</v>
      </c>
      <c r="N55" s="348">
        <f t="shared" si="26"/>
        <v>0</v>
      </c>
      <c r="O55" s="271">
        <v>0.03</v>
      </c>
      <c r="P55" s="285">
        <f t="shared" si="27"/>
        <v>0</v>
      </c>
      <c r="Q55" s="234">
        <f t="shared" si="28"/>
        <v>0</v>
      </c>
      <c r="R55" s="271">
        <v>0.03</v>
      </c>
      <c r="S55" s="323">
        <v>0</v>
      </c>
      <c r="T55" s="228">
        <f t="shared" si="29"/>
        <v>0</v>
      </c>
      <c r="V55" s="369">
        <f t="shared" si="32"/>
        <v>70</v>
      </c>
      <c r="W55" s="369">
        <f t="shared" si="33"/>
        <v>29.4</v>
      </c>
      <c r="X55" s="258">
        <f t="shared" si="34"/>
        <v>29.4</v>
      </c>
      <c r="Y55" s="255">
        <f t="shared" si="30"/>
        <v>28.4</v>
      </c>
    </row>
    <row r="56" spans="3:25" s="316" customFormat="1" x14ac:dyDescent="0.2">
      <c r="C56" s="208" t="s">
        <v>270</v>
      </c>
      <c r="D56" s="208" t="s">
        <v>160</v>
      </c>
      <c r="E56" s="212" t="str">
        <f t="shared" si="24"/>
        <v>MediaRural</v>
      </c>
      <c r="G56" s="372">
        <f t="shared" ref="G56:I56" si="38">G32</f>
        <v>11979.3825</v>
      </c>
      <c r="H56" s="347">
        <f t="shared" si="38"/>
        <v>0.03</v>
      </c>
      <c r="I56" s="287">
        <f t="shared" si="38"/>
        <v>12338.763975</v>
      </c>
      <c r="N56" s="348">
        <f t="shared" si="26"/>
        <v>0</v>
      </c>
      <c r="O56" s="271">
        <v>0.03</v>
      </c>
      <c r="P56" s="285">
        <f t="shared" si="27"/>
        <v>0</v>
      </c>
      <c r="Q56" s="234">
        <f t="shared" si="28"/>
        <v>0</v>
      </c>
      <c r="R56" s="271">
        <v>0.03</v>
      </c>
      <c r="S56" s="323">
        <v>0</v>
      </c>
      <c r="T56" s="228">
        <f t="shared" si="29"/>
        <v>0</v>
      </c>
      <c r="V56" s="369">
        <f t="shared" si="32"/>
        <v>70</v>
      </c>
      <c r="W56" s="369">
        <f t="shared" si="33"/>
        <v>29.4</v>
      </c>
      <c r="X56" s="258">
        <f t="shared" si="34"/>
        <v>29.4</v>
      </c>
      <c r="Y56" s="255">
        <f t="shared" si="30"/>
        <v>28.4</v>
      </c>
    </row>
    <row r="57" spans="3:25" s="316" customFormat="1" x14ac:dyDescent="0.2">
      <c r="C57" s="208" t="s">
        <v>270</v>
      </c>
      <c r="D57" s="208" t="s">
        <v>161</v>
      </c>
      <c r="E57" s="212" t="str">
        <f t="shared" si="24"/>
        <v>MediaCarreteras</v>
      </c>
      <c r="G57" s="372">
        <f t="shared" ref="G57:I57" si="39">G33</f>
        <v>11979.3825</v>
      </c>
      <c r="H57" s="347">
        <f t="shared" si="39"/>
        <v>0.03</v>
      </c>
      <c r="I57" s="287">
        <f t="shared" si="39"/>
        <v>12338.763975</v>
      </c>
      <c r="N57" s="348">
        <f t="shared" si="26"/>
        <v>0</v>
      </c>
      <c r="O57" s="271">
        <v>0.03</v>
      </c>
      <c r="P57" s="285">
        <f t="shared" si="27"/>
        <v>0</v>
      </c>
      <c r="Q57" s="234">
        <f t="shared" si="28"/>
        <v>0</v>
      </c>
      <c r="R57" s="271">
        <v>0.03</v>
      </c>
      <c r="S57" s="323">
        <v>0</v>
      </c>
      <c r="T57" s="228">
        <f t="shared" si="29"/>
        <v>0</v>
      </c>
      <c r="V57" s="369">
        <f t="shared" si="32"/>
        <v>70</v>
      </c>
      <c r="W57" s="369">
        <f t="shared" si="33"/>
        <v>29.4</v>
      </c>
      <c r="X57" s="258">
        <f t="shared" si="34"/>
        <v>29.4</v>
      </c>
      <c r="Y57" s="255">
        <f t="shared" si="30"/>
        <v>28.4</v>
      </c>
    </row>
    <row r="58" spans="3:25" s="316" customFormat="1" x14ac:dyDescent="0.2">
      <c r="C58" s="208" t="s">
        <v>271</v>
      </c>
      <c r="D58" s="208" t="s">
        <v>158</v>
      </c>
      <c r="E58" s="212" t="str">
        <f t="shared" si="24"/>
        <v>GrandeDistrito Federal</v>
      </c>
      <c r="G58" s="372">
        <f t="shared" ref="G58:I58" si="40">G34</f>
        <v>28227.904799999997</v>
      </c>
      <c r="H58" s="347">
        <f t="shared" si="40"/>
        <v>0.03</v>
      </c>
      <c r="I58" s="287">
        <f t="shared" si="40"/>
        <v>29074.741943999998</v>
      </c>
      <c r="N58" s="348">
        <f t="shared" si="26"/>
        <v>0</v>
      </c>
      <c r="O58" s="271">
        <v>0.03</v>
      </c>
      <c r="P58" s="285">
        <f t="shared" si="27"/>
        <v>0</v>
      </c>
      <c r="Q58" s="234">
        <f t="shared" si="28"/>
        <v>0</v>
      </c>
      <c r="R58" s="271">
        <v>0.03</v>
      </c>
      <c r="S58" s="323">
        <v>0</v>
      </c>
      <c r="T58" s="228">
        <f t="shared" si="29"/>
        <v>0</v>
      </c>
      <c r="V58" s="369">
        <f t="shared" si="32"/>
        <v>70</v>
      </c>
      <c r="W58" s="369">
        <f t="shared" si="33"/>
        <v>29.4</v>
      </c>
      <c r="X58" s="258">
        <f t="shared" si="34"/>
        <v>29.4</v>
      </c>
      <c r="Y58" s="255">
        <f t="shared" si="30"/>
        <v>28.4</v>
      </c>
    </row>
    <row r="59" spans="3:25" s="316" customFormat="1" x14ac:dyDescent="0.2">
      <c r="C59" s="208" t="s">
        <v>271</v>
      </c>
      <c r="D59" s="208" t="s">
        <v>159</v>
      </c>
      <c r="E59" s="212" t="str">
        <f t="shared" si="24"/>
        <v>GrandeUrbano</v>
      </c>
      <c r="G59" s="372">
        <f t="shared" ref="G59:I59" si="41">G35</f>
        <v>21317.241149999998</v>
      </c>
      <c r="H59" s="347">
        <f t="shared" si="41"/>
        <v>0.03</v>
      </c>
      <c r="I59" s="287">
        <f t="shared" si="41"/>
        <v>21956.758384499997</v>
      </c>
      <c r="N59" s="348">
        <f t="shared" si="26"/>
        <v>0</v>
      </c>
      <c r="O59" s="271">
        <v>0.03</v>
      </c>
      <c r="P59" s="285">
        <f t="shared" si="27"/>
        <v>0</v>
      </c>
      <c r="Q59" s="234">
        <f t="shared" si="28"/>
        <v>0</v>
      </c>
      <c r="R59" s="271">
        <v>0.03</v>
      </c>
      <c r="S59" s="323">
        <v>0</v>
      </c>
      <c r="T59" s="228">
        <f t="shared" si="29"/>
        <v>0</v>
      </c>
      <c r="V59" s="369">
        <f t="shared" si="32"/>
        <v>70</v>
      </c>
      <c r="W59" s="369">
        <f t="shared" si="33"/>
        <v>29.4</v>
      </c>
      <c r="X59" s="258">
        <f t="shared" si="34"/>
        <v>29.4</v>
      </c>
      <c r="Y59" s="255">
        <f t="shared" si="30"/>
        <v>28.4</v>
      </c>
    </row>
    <row r="60" spans="3:25" s="316" customFormat="1" x14ac:dyDescent="0.2">
      <c r="C60" s="208" t="s">
        <v>271</v>
      </c>
      <c r="D60" s="208" t="s">
        <v>160</v>
      </c>
      <c r="E60" s="212" t="str">
        <f t="shared" si="24"/>
        <v>GrandeRural</v>
      </c>
      <c r="G60" s="372">
        <f t="shared" ref="G60:I60" si="42">G36</f>
        <v>14406.577499999999</v>
      </c>
      <c r="H60" s="347">
        <f t="shared" si="42"/>
        <v>0.03</v>
      </c>
      <c r="I60" s="287">
        <f t="shared" si="42"/>
        <v>14838.774825</v>
      </c>
      <c r="N60" s="348">
        <f t="shared" si="26"/>
        <v>0</v>
      </c>
      <c r="O60" s="271">
        <v>0.03</v>
      </c>
      <c r="P60" s="285">
        <f t="shared" si="27"/>
        <v>0</v>
      </c>
      <c r="Q60" s="234">
        <f t="shared" si="28"/>
        <v>0</v>
      </c>
      <c r="R60" s="271">
        <v>0.03</v>
      </c>
      <c r="S60" s="323">
        <v>0</v>
      </c>
      <c r="T60" s="228">
        <f t="shared" si="29"/>
        <v>0</v>
      </c>
      <c r="V60" s="369">
        <f t="shared" si="32"/>
        <v>70</v>
      </c>
      <c r="W60" s="369">
        <f t="shared" si="33"/>
        <v>29.4</v>
      </c>
      <c r="X60" s="258">
        <f t="shared" si="34"/>
        <v>29.4</v>
      </c>
      <c r="Y60" s="255">
        <f t="shared" si="30"/>
        <v>28.4</v>
      </c>
    </row>
    <row r="61" spans="3:25" s="316" customFormat="1" x14ac:dyDescent="0.2">
      <c r="C61" s="208" t="s">
        <v>271</v>
      </c>
      <c r="D61" s="208" t="s">
        <v>161</v>
      </c>
      <c r="E61" s="212" t="str">
        <f t="shared" si="24"/>
        <v>GrandeCarreteras</v>
      </c>
      <c r="G61" s="372">
        <f t="shared" ref="G61:I61" si="43">G37</f>
        <v>14406.577499999999</v>
      </c>
      <c r="H61" s="347">
        <f t="shared" si="43"/>
        <v>0.03</v>
      </c>
      <c r="I61" s="287">
        <f t="shared" si="43"/>
        <v>14838.774825</v>
      </c>
      <c r="N61" s="348">
        <f t="shared" si="26"/>
        <v>0</v>
      </c>
      <c r="O61" s="271">
        <v>0.03</v>
      </c>
      <c r="P61" s="285">
        <f t="shared" si="27"/>
        <v>0</v>
      </c>
      <c r="Q61" s="234">
        <f t="shared" si="28"/>
        <v>0</v>
      </c>
      <c r="R61" s="271">
        <v>0.03</v>
      </c>
      <c r="S61" s="323">
        <v>0</v>
      </c>
      <c r="T61" s="228">
        <f t="shared" si="29"/>
        <v>0</v>
      </c>
      <c r="V61" s="369">
        <f t="shared" si="32"/>
        <v>70</v>
      </c>
      <c r="W61" s="369">
        <f t="shared" si="33"/>
        <v>29.4</v>
      </c>
      <c r="X61" s="258">
        <f t="shared" si="34"/>
        <v>29.4</v>
      </c>
      <c r="Y61" s="255">
        <f t="shared" si="30"/>
        <v>28.4</v>
      </c>
    </row>
    <row r="62" spans="3:25" s="316" customFormat="1" x14ac:dyDescent="0.2">
      <c r="C62" s="208" t="s">
        <v>272</v>
      </c>
      <c r="D62" s="208" t="s">
        <v>158</v>
      </c>
      <c r="E62" s="212" t="str">
        <f t="shared" si="24"/>
        <v>Muy grandeDistrito Federal</v>
      </c>
      <c r="G62" s="372">
        <f t="shared" ref="G62:I62" si="44">G38</f>
        <v>28227.904799999997</v>
      </c>
      <c r="H62" s="347">
        <f t="shared" si="44"/>
        <v>0.03</v>
      </c>
      <c r="I62" s="287">
        <f t="shared" si="44"/>
        <v>29074.741943999998</v>
      </c>
      <c r="N62" s="348">
        <f t="shared" si="26"/>
        <v>0</v>
      </c>
      <c r="O62" s="271">
        <v>0.03</v>
      </c>
      <c r="P62" s="285">
        <f t="shared" si="27"/>
        <v>0</v>
      </c>
      <c r="Q62" s="234">
        <f t="shared" si="28"/>
        <v>0</v>
      </c>
      <c r="R62" s="271">
        <v>0.03</v>
      </c>
      <c r="S62" s="323">
        <v>0</v>
      </c>
      <c r="T62" s="228">
        <f t="shared" si="29"/>
        <v>0</v>
      </c>
      <c r="V62" s="369">
        <f t="shared" si="32"/>
        <v>70</v>
      </c>
      <c r="W62" s="369">
        <f t="shared" si="33"/>
        <v>29.4</v>
      </c>
      <c r="X62" s="258">
        <f t="shared" si="34"/>
        <v>29.4</v>
      </c>
      <c r="Y62" s="255">
        <f t="shared" si="30"/>
        <v>28.4</v>
      </c>
    </row>
    <row r="63" spans="3:25" s="316" customFormat="1" x14ac:dyDescent="0.2">
      <c r="C63" s="208" t="s">
        <v>272</v>
      </c>
      <c r="D63" s="208" t="s">
        <v>159</v>
      </c>
      <c r="E63" s="212" t="str">
        <f t="shared" si="24"/>
        <v>Muy grandeUrbano</v>
      </c>
      <c r="G63" s="372">
        <f t="shared" ref="G63:I63" si="45">G39</f>
        <v>28227.904799999997</v>
      </c>
      <c r="H63" s="347">
        <f t="shared" si="45"/>
        <v>0.03</v>
      </c>
      <c r="I63" s="287">
        <f t="shared" si="45"/>
        <v>29074.741943999998</v>
      </c>
      <c r="N63" s="348">
        <f t="shared" si="26"/>
        <v>0</v>
      </c>
      <c r="O63" s="271">
        <v>0.03</v>
      </c>
      <c r="P63" s="285">
        <f t="shared" si="27"/>
        <v>0</v>
      </c>
      <c r="Q63" s="234">
        <f t="shared" si="28"/>
        <v>0</v>
      </c>
      <c r="R63" s="271">
        <v>0.03</v>
      </c>
      <c r="S63" s="323">
        <v>0</v>
      </c>
      <c r="T63" s="228">
        <f t="shared" si="29"/>
        <v>0</v>
      </c>
      <c r="V63" s="369">
        <f t="shared" si="32"/>
        <v>70</v>
      </c>
      <c r="W63" s="369">
        <f t="shared" si="33"/>
        <v>29.4</v>
      </c>
      <c r="X63" s="258">
        <f t="shared" si="34"/>
        <v>29.4</v>
      </c>
      <c r="Y63" s="255">
        <f t="shared" si="30"/>
        <v>28.4</v>
      </c>
    </row>
    <row r="64" spans="3:25" s="316" customFormat="1" x14ac:dyDescent="0.2">
      <c r="C64" s="208" t="s">
        <v>272</v>
      </c>
      <c r="D64" s="208" t="s">
        <v>160</v>
      </c>
      <c r="E64" s="212" t="str">
        <f t="shared" si="24"/>
        <v>Muy grandeRural</v>
      </c>
      <c r="G64" s="372">
        <f t="shared" ref="G64:I64" si="46">G40</f>
        <v>14406.577499999999</v>
      </c>
      <c r="H64" s="347">
        <f t="shared" si="46"/>
        <v>0.03</v>
      </c>
      <c r="I64" s="287">
        <f t="shared" si="46"/>
        <v>14838.774825</v>
      </c>
      <c r="N64" s="348">
        <f t="shared" si="26"/>
        <v>0</v>
      </c>
      <c r="O64" s="271">
        <v>0.03</v>
      </c>
      <c r="P64" s="285">
        <f t="shared" si="27"/>
        <v>0</v>
      </c>
      <c r="Q64" s="234">
        <f t="shared" si="28"/>
        <v>0</v>
      </c>
      <c r="R64" s="271">
        <v>0.03</v>
      </c>
      <c r="S64" s="323">
        <v>0</v>
      </c>
      <c r="T64" s="228">
        <f t="shared" si="29"/>
        <v>0</v>
      </c>
      <c r="V64" s="369">
        <f t="shared" si="32"/>
        <v>70</v>
      </c>
      <c r="W64" s="369">
        <f t="shared" si="33"/>
        <v>29.4</v>
      </c>
      <c r="X64" s="258">
        <f t="shared" si="34"/>
        <v>29.4</v>
      </c>
      <c r="Y64" s="255">
        <f t="shared" si="30"/>
        <v>28.4</v>
      </c>
    </row>
    <row r="65" spans="1:27" s="316" customFormat="1" x14ac:dyDescent="0.2">
      <c r="C65" s="208" t="s">
        <v>272</v>
      </c>
      <c r="D65" s="208" t="s">
        <v>161</v>
      </c>
      <c r="E65" s="212" t="str">
        <f t="shared" si="24"/>
        <v>Muy grandeCarreteras</v>
      </c>
      <c r="G65" s="372">
        <f t="shared" ref="G65:I65" si="47">G41</f>
        <v>14406.577499999999</v>
      </c>
      <c r="H65" s="347">
        <f t="shared" si="47"/>
        <v>0.03</v>
      </c>
      <c r="I65" s="287">
        <f t="shared" si="47"/>
        <v>14838.774825</v>
      </c>
      <c r="N65" s="348">
        <f t="shared" si="26"/>
        <v>0</v>
      </c>
      <c r="O65" s="271">
        <v>0.03</v>
      </c>
      <c r="P65" s="285">
        <f t="shared" si="27"/>
        <v>0</v>
      </c>
      <c r="Q65" s="234">
        <f t="shared" si="28"/>
        <v>0</v>
      </c>
      <c r="R65" s="271">
        <v>0.03</v>
      </c>
      <c r="S65" s="323">
        <v>0</v>
      </c>
      <c r="T65" s="228">
        <f t="shared" si="29"/>
        <v>0</v>
      </c>
      <c r="V65" s="369">
        <f t="shared" si="32"/>
        <v>70</v>
      </c>
      <c r="W65" s="369">
        <f t="shared" si="33"/>
        <v>29.4</v>
      </c>
      <c r="X65" s="258">
        <f t="shared" si="34"/>
        <v>29.4</v>
      </c>
      <c r="Y65" s="255">
        <f t="shared" si="30"/>
        <v>28.4</v>
      </c>
    </row>
    <row r="66" spans="1:27" x14ac:dyDescent="0.2">
      <c r="E66" s="230" t="s">
        <v>523</v>
      </c>
      <c r="I66" s="230" t="s">
        <v>387</v>
      </c>
      <c r="J66" s="204"/>
      <c r="K66" s="204"/>
      <c r="L66" s="204"/>
      <c r="M66" s="204"/>
      <c r="N66" s="316"/>
      <c r="O66" s="316"/>
      <c r="P66" s="230" t="s">
        <v>795</v>
      </c>
      <c r="Q66" s="212"/>
      <c r="R66" s="204"/>
      <c r="T66" s="230" t="s">
        <v>388</v>
      </c>
      <c r="U66" s="204"/>
      <c r="W66" s="316"/>
      <c r="X66" s="295" t="s">
        <v>389</v>
      </c>
      <c r="Y66" s="295" t="s">
        <v>390</v>
      </c>
      <c r="Z66" s="204"/>
    </row>
    <row r="67" spans="1:27" s="204" customFormat="1" x14ac:dyDescent="0.2">
      <c r="V67" s="3"/>
      <c r="W67" s="3"/>
      <c r="X67" s="3"/>
      <c r="Y67" s="3"/>
    </row>
    <row r="68" spans="1:27" x14ac:dyDescent="0.2">
      <c r="A68" s="216">
        <v>4</v>
      </c>
      <c r="B68" s="190" t="str">
        <f>INDEX(lista.activos,$A68)</f>
        <v>Subestación electrica</v>
      </c>
      <c r="C68" s="190"/>
      <c r="D68" s="190"/>
      <c r="E68" s="190"/>
      <c r="F68" s="190"/>
      <c r="G68" s="190"/>
      <c r="H68" s="190"/>
      <c r="I68" s="190"/>
      <c r="J68" s="190"/>
      <c r="K68" s="190"/>
      <c r="L68" s="190"/>
      <c r="M68" s="190"/>
      <c r="N68" s="190"/>
      <c r="O68" s="190"/>
      <c r="P68" s="190"/>
      <c r="Q68" s="190"/>
      <c r="R68" s="190"/>
      <c r="S68" s="190"/>
      <c r="T68" s="190"/>
      <c r="U68" s="190"/>
      <c r="V68" s="284"/>
      <c r="W68" s="284"/>
      <c r="X68" s="284"/>
      <c r="Y68" s="284"/>
      <c r="Z68" s="190"/>
      <c r="AA68" s="190"/>
    </row>
    <row r="69" spans="1:27" ht="48" x14ac:dyDescent="0.2">
      <c r="C69" s="144" t="s">
        <v>455</v>
      </c>
      <c r="G69" s="214" t="s">
        <v>771</v>
      </c>
      <c r="H69" s="229" t="s">
        <v>358</v>
      </c>
      <c r="I69" s="229" t="s">
        <v>365</v>
      </c>
      <c r="L69" s="204"/>
      <c r="N69" s="229" t="s">
        <v>734</v>
      </c>
      <c r="O69" s="229" t="s">
        <v>358</v>
      </c>
      <c r="P69" s="229" t="s">
        <v>372</v>
      </c>
      <c r="Q69" s="229" t="s">
        <v>735</v>
      </c>
      <c r="R69" s="204"/>
      <c r="T69" s="204"/>
      <c r="U69" s="204"/>
      <c r="V69" s="308" t="s">
        <v>492</v>
      </c>
      <c r="W69" s="308" t="s">
        <v>493</v>
      </c>
      <c r="X69" s="308" t="s">
        <v>494</v>
      </c>
      <c r="Y69" s="308" t="s">
        <v>364</v>
      </c>
    </row>
    <row r="70" spans="1:27" x14ac:dyDescent="0.2">
      <c r="A70" s="316"/>
      <c r="C70" s="204" t="s">
        <v>458</v>
      </c>
      <c r="E70" s="212" t="str">
        <f>L!C85</f>
        <v>AC_127V</v>
      </c>
      <c r="G70" s="372">
        <v>13123.319100000001</v>
      </c>
      <c r="H70" s="271">
        <v>0.02</v>
      </c>
      <c r="I70" s="228">
        <f>G70*(1+H70)^$C$5</f>
        <v>13385.785482000001</v>
      </c>
      <c r="N70" s="224">
        <f>G70*P70</f>
        <v>644.52557095830002</v>
      </c>
      <c r="O70" s="271">
        <v>0.02</v>
      </c>
      <c r="P70" s="371">
        <v>4.9112999999999997E-2</v>
      </c>
      <c r="Q70" s="228">
        <f>N70*(1+O70)^$C$5</f>
        <v>657.41608237746607</v>
      </c>
      <c r="V70" s="369">
        <v>18.899999999999999</v>
      </c>
      <c r="W70" s="369">
        <v>13.440000000000001</v>
      </c>
      <c r="X70" s="255">
        <f>CHOOSE(vida.util.activo.indice,'Costos unitarios'!V70,'Costos unitarios'!W70)</f>
        <v>13.440000000000001</v>
      </c>
      <c r="Y70" s="255">
        <f>MAX(0,X70-$C$5)</f>
        <v>12.440000000000001</v>
      </c>
    </row>
    <row r="71" spans="1:27" s="204" customFormat="1" x14ac:dyDescent="0.2">
      <c r="C71" s="204" t="s">
        <v>459</v>
      </c>
      <c r="E71" s="212" t="str">
        <f>L!C84</f>
        <v>DC_48V</v>
      </c>
      <c r="G71" s="377">
        <v>13714.459599999998</v>
      </c>
      <c r="H71" s="271">
        <v>0.02</v>
      </c>
      <c r="I71" s="228">
        <f>G71*(1+H71)^$C$5</f>
        <v>13988.748791999999</v>
      </c>
      <c r="N71" s="224">
        <f>G71*P71</f>
        <v>673.55825433479993</v>
      </c>
      <c r="O71" s="271">
        <v>0.02</v>
      </c>
      <c r="P71" s="371">
        <f>P70</f>
        <v>4.9112999999999997E-2</v>
      </c>
      <c r="Q71" s="228">
        <f>N71*(1+O71)^$C$5</f>
        <v>687.02941942149596</v>
      </c>
      <c r="V71" s="369">
        <f t="shared" ref="V71:W71" si="48">V70</f>
        <v>18.899999999999999</v>
      </c>
      <c r="W71" s="369">
        <f t="shared" si="48"/>
        <v>13.440000000000001</v>
      </c>
      <c r="X71" s="255">
        <f>CHOOSE(vida.util.activo.indice,'Costos unitarios'!V71,'Costos unitarios'!W71)</f>
        <v>13.440000000000001</v>
      </c>
      <c r="Y71" s="255">
        <f>MAX(0,X71-$C$5)</f>
        <v>12.440000000000001</v>
      </c>
    </row>
    <row r="72" spans="1:27" s="204" customFormat="1" x14ac:dyDescent="0.2">
      <c r="E72" s="230" t="s">
        <v>461</v>
      </c>
      <c r="G72" s="316"/>
      <c r="I72" s="230" t="s">
        <v>470</v>
      </c>
      <c r="P72" s="316"/>
      <c r="Q72" s="230" t="s">
        <v>464</v>
      </c>
      <c r="V72" s="3"/>
      <c r="W72" s="316"/>
      <c r="X72" s="295" t="s">
        <v>471</v>
      </c>
      <c r="Y72" s="295" t="s">
        <v>463</v>
      </c>
    </row>
    <row r="73" spans="1:27" s="204" customFormat="1" x14ac:dyDescent="0.2">
      <c r="V73" s="3"/>
      <c r="W73" s="3"/>
      <c r="X73" s="3"/>
      <c r="Y73" s="3"/>
    </row>
    <row r="74" spans="1:27" s="316" customFormat="1" x14ac:dyDescent="0.2">
      <c r="V74" s="3"/>
      <c r="W74" s="3"/>
      <c r="X74" s="3"/>
      <c r="Y74" s="3"/>
    </row>
    <row r="75" spans="1:27" x14ac:dyDescent="0.2">
      <c r="A75" s="216">
        <v>5</v>
      </c>
      <c r="B75" s="190" t="str">
        <f>INDEX(lista.activos,$A75)</f>
        <v>Fuente de energia de respaldo (planta de emergencia)</v>
      </c>
      <c r="C75" s="190"/>
      <c r="D75" s="190"/>
      <c r="E75" s="190"/>
      <c r="F75" s="190"/>
      <c r="G75" s="190"/>
      <c r="H75" s="190"/>
      <c r="I75" s="190"/>
      <c r="J75" s="190"/>
      <c r="K75" s="190"/>
      <c r="L75" s="190"/>
      <c r="M75" s="190"/>
      <c r="N75" s="190"/>
      <c r="O75" s="190"/>
      <c r="P75" s="190"/>
      <c r="Q75" s="190"/>
      <c r="R75" s="190"/>
      <c r="S75" s="190"/>
      <c r="T75" s="190"/>
      <c r="U75" s="190"/>
      <c r="V75" s="284"/>
      <c r="W75" s="284"/>
      <c r="X75" s="284"/>
      <c r="Y75" s="284"/>
      <c r="Z75" s="190"/>
      <c r="AA75" s="190"/>
    </row>
    <row r="76" spans="1:27" s="204" customFormat="1" ht="48" x14ac:dyDescent="0.2">
      <c r="A76" s="216"/>
      <c r="B76" s="216"/>
      <c r="C76" s="144" t="s">
        <v>733</v>
      </c>
      <c r="D76" s="216"/>
      <c r="E76" s="216"/>
      <c r="F76" s="216"/>
      <c r="G76" s="214" t="s">
        <v>462</v>
      </c>
      <c r="H76" s="229" t="s">
        <v>358</v>
      </c>
      <c r="I76" s="229" t="s">
        <v>365</v>
      </c>
      <c r="J76" s="216"/>
      <c r="K76" s="216"/>
      <c r="L76" s="216"/>
      <c r="M76" s="216"/>
      <c r="N76" s="229" t="s">
        <v>736</v>
      </c>
      <c r="O76" s="229" t="s">
        <v>358</v>
      </c>
      <c r="P76" s="229" t="s">
        <v>372</v>
      </c>
      <c r="Q76" s="229" t="s">
        <v>737</v>
      </c>
      <c r="V76" s="308" t="s">
        <v>492</v>
      </c>
      <c r="W76" s="308" t="s">
        <v>493</v>
      </c>
      <c r="X76" s="308" t="s">
        <v>494</v>
      </c>
      <c r="Y76" s="308" t="s">
        <v>364</v>
      </c>
      <c r="Z76" s="216"/>
      <c r="AA76" s="216"/>
    </row>
    <row r="77" spans="1:27" x14ac:dyDescent="0.2">
      <c r="A77" s="316"/>
      <c r="C77" s="204" t="s">
        <v>752</v>
      </c>
      <c r="E77" s="212" t="str">
        <f>C77</f>
        <v>Generador + baterias</v>
      </c>
      <c r="G77" s="373">
        <v>7248.9028000000008</v>
      </c>
      <c r="H77" s="271">
        <v>0.02</v>
      </c>
      <c r="I77" s="228">
        <f>G77*(1+H77)^$C$5</f>
        <v>7393.8808560000007</v>
      </c>
      <c r="N77" s="228">
        <f>G77*P77</f>
        <v>395.94231983880002</v>
      </c>
      <c r="O77" s="309">
        <v>0.02</v>
      </c>
      <c r="P77" s="371">
        <v>5.4620999999999996E-2</v>
      </c>
      <c r="Q77" s="228">
        <f>N77*(1+O77)^$C$5</f>
        <v>403.86116623557604</v>
      </c>
      <c r="R77" s="204"/>
      <c r="T77" s="204"/>
      <c r="U77" s="204"/>
      <c r="V77" s="369">
        <v>15</v>
      </c>
      <c r="W77" s="369">
        <v>8.64</v>
      </c>
      <c r="X77" s="255">
        <f>CHOOSE(vida.util.activo.indice,'Costos unitarios'!V77,'Costos unitarios'!W77)</f>
        <v>8.64</v>
      </c>
      <c r="Y77" s="255">
        <f>MAX(0,X77-$C$5)</f>
        <v>7.6400000000000006</v>
      </c>
    </row>
    <row r="78" spans="1:27" s="204" customFormat="1" x14ac:dyDescent="0.2">
      <c r="E78" s="230" t="s">
        <v>472</v>
      </c>
      <c r="G78" s="239"/>
      <c r="H78" s="239"/>
      <c r="I78" s="230" t="s">
        <v>465</v>
      </c>
      <c r="P78" s="316"/>
      <c r="Q78" s="230" t="s">
        <v>466</v>
      </c>
      <c r="V78" s="3"/>
      <c r="W78" s="3"/>
      <c r="X78" s="295" t="s">
        <v>467</v>
      </c>
      <c r="Y78" s="295" t="s">
        <v>468</v>
      </c>
    </row>
    <row r="79" spans="1:27" x14ac:dyDescent="0.2">
      <c r="G79" s="316"/>
      <c r="W79" s="316"/>
    </row>
    <row r="80" spans="1:27" x14ac:dyDescent="0.2">
      <c r="A80" s="212">
        <v>6</v>
      </c>
      <c r="B80" s="190" t="str">
        <f>INDEX(lista.activos,$A80)</f>
        <v>Aire acondicionado</v>
      </c>
      <c r="C80" s="190"/>
      <c r="D80" s="190"/>
      <c r="E80" s="190"/>
      <c r="F80" s="190"/>
      <c r="G80" s="190"/>
      <c r="H80" s="190"/>
      <c r="I80" s="190"/>
      <c r="J80" s="190"/>
      <c r="K80" s="190"/>
      <c r="L80" s="190"/>
      <c r="M80" s="190"/>
      <c r="N80" s="190"/>
      <c r="O80" s="190"/>
      <c r="P80" s="190"/>
      <c r="Q80" s="190"/>
      <c r="R80" s="190"/>
      <c r="S80" s="190"/>
      <c r="T80" s="190"/>
      <c r="U80" s="190"/>
      <c r="V80" s="284"/>
      <c r="W80" s="284"/>
      <c r="X80" s="284"/>
      <c r="Y80" s="284"/>
      <c r="Z80" s="190"/>
      <c r="AA80" s="190"/>
    </row>
    <row r="81" spans="1:27" ht="48" x14ac:dyDescent="0.2">
      <c r="B81" s="204"/>
      <c r="C81" s="214"/>
      <c r="D81" s="204"/>
      <c r="E81" s="204"/>
      <c r="F81" s="204"/>
      <c r="G81" s="229" t="s">
        <v>370</v>
      </c>
      <c r="H81" s="229" t="s">
        <v>358</v>
      </c>
      <c r="I81" s="229" t="s">
        <v>371</v>
      </c>
      <c r="J81" s="204"/>
      <c r="K81" s="204"/>
      <c r="L81" s="204"/>
      <c r="M81" s="204"/>
      <c r="N81" s="229" t="s">
        <v>368</v>
      </c>
      <c r="O81" s="229" t="s">
        <v>358</v>
      </c>
      <c r="P81" s="229" t="s">
        <v>372</v>
      </c>
      <c r="Q81" s="229" t="s">
        <v>369</v>
      </c>
      <c r="R81" s="204"/>
      <c r="T81" s="204"/>
      <c r="U81" s="204"/>
      <c r="V81" s="308" t="s">
        <v>492</v>
      </c>
      <c r="W81" s="308" t="s">
        <v>493</v>
      </c>
      <c r="X81" s="308" t="s">
        <v>494</v>
      </c>
      <c r="Y81" s="308" t="s">
        <v>364</v>
      </c>
      <c r="Z81" s="204"/>
      <c r="AA81" s="204"/>
    </row>
    <row r="82" spans="1:27" x14ac:dyDescent="0.2">
      <c r="A82" s="316"/>
      <c r="B82" s="204"/>
      <c r="C82" s="204" t="s">
        <v>373</v>
      </c>
      <c r="D82" s="204"/>
      <c r="E82" s="204"/>
      <c r="F82" s="204"/>
      <c r="G82" s="372">
        <v>16738.817499999997</v>
      </c>
      <c r="H82" s="271">
        <v>0.02</v>
      </c>
      <c r="I82" s="228">
        <f>G82*(1+H82)^$C$5</f>
        <v>17073.593849999997</v>
      </c>
      <c r="J82" s="204"/>
      <c r="K82" s="204"/>
      <c r="L82" s="204"/>
      <c r="M82" s="204"/>
      <c r="N82" s="255">
        <f>G82*P82</f>
        <v>737.57925431999979</v>
      </c>
      <c r="O82" s="271">
        <v>0.03</v>
      </c>
      <c r="P82" s="371">
        <v>4.4063999999999992E-2</v>
      </c>
      <c r="Q82" s="228">
        <f>N82*(1+O82)^$C$5</f>
        <v>759.7066319495998</v>
      </c>
      <c r="R82" s="204"/>
      <c r="T82" s="204"/>
      <c r="U82" s="204"/>
      <c r="V82" s="369">
        <v>19.2</v>
      </c>
      <c r="W82" s="369">
        <v>15.8</v>
      </c>
      <c r="X82" s="255">
        <f>CHOOSE(vida.util.activo.indice,'Costos unitarios'!V82,'Costos unitarios'!W82)</f>
        <v>15.8</v>
      </c>
      <c r="Y82" s="255">
        <f>MAX(0,X82-$C$5)</f>
        <v>14.8</v>
      </c>
      <c r="Z82" s="204"/>
      <c r="AA82" s="204"/>
    </row>
    <row r="83" spans="1:27" x14ac:dyDescent="0.2">
      <c r="A83" s="316"/>
      <c r="G83" s="239"/>
      <c r="I83" s="230" t="s">
        <v>391</v>
      </c>
      <c r="J83" s="204"/>
      <c r="K83" s="204"/>
      <c r="L83" s="204"/>
      <c r="M83" s="204"/>
      <c r="N83" s="204"/>
      <c r="O83" s="204"/>
      <c r="P83" s="204"/>
      <c r="Q83" s="230" t="s">
        <v>392</v>
      </c>
      <c r="R83" s="204"/>
      <c r="T83" s="204"/>
      <c r="U83" s="204"/>
      <c r="X83" s="295" t="s">
        <v>393</v>
      </c>
      <c r="Y83" s="295" t="s">
        <v>394</v>
      </c>
    </row>
    <row r="84" spans="1:27" s="204" customFormat="1" ht="36" x14ac:dyDescent="0.2">
      <c r="G84" s="316"/>
      <c r="O84" s="308" t="s">
        <v>599</v>
      </c>
      <c r="P84" s="229" t="s">
        <v>358</v>
      </c>
      <c r="R84" s="229" t="s">
        <v>600</v>
      </c>
      <c r="V84" s="3"/>
      <c r="W84" s="316"/>
      <c r="X84" s="3"/>
      <c r="Y84" s="3"/>
    </row>
    <row r="85" spans="1:27" s="204" customFormat="1" x14ac:dyDescent="0.2">
      <c r="C85" s="204" t="s">
        <v>601</v>
      </c>
      <c r="O85" s="370">
        <v>1.0660000000000001</v>
      </c>
      <c r="P85" s="271">
        <v>0.05</v>
      </c>
      <c r="R85" s="296">
        <f>(O85*(1+P85)^$C$5)*(1+sens.opex.unitarios)</f>
        <v>1.1193000000000002</v>
      </c>
      <c r="V85" s="3"/>
      <c r="W85" s="3"/>
      <c r="X85" s="3"/>
      <c r="Y85" s="3"/>
    </row>
    <row r="86" spans="1:27" s="204" customFormat="1" x14ac:dyDescent="0.2">
      <c r="O86" s="239"/>
      <c r="P86" s="316"/>
      <c r="R86" s="230" t="s">
        <v>602</v>
      </c>
      <c r="V86" s="3"/>
      <c r="W86" s="3"/>
      <c r="X86" s="3"/>
      <c r="Y86" s="3"/>
    </row>
  </sheetData>
  <dataValidations count="3">
    <dataValidation type="list" allowBlank="1" showInputMessage="1" showErrorMessage="1" sqref="C10:C21">
      <formula1>propiedad.predio</formula1>
    </dataValidation>
    <dataValidation type="list" allowBlank="1" showInputMessage="1" showErrorMessage="1" sqref="D39:D41 D27:D29 D31:D33 D35:D37 D63:D65 D51:D53 D55:D57 D59:D61">
      <formula1>geotipo</formula1>
    </dataValidation>
    <dataValidation type="list" allowBlank="1" showInputMessage="1" showErrorMessage="1" sqref="C26:C41 C50:C65">
      <formula1>tamaño.central.Telmex</formula1>
    </dataValidation>
  </dataValidations>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oddFooter xml:space="preserve">&amp;L&amp;F : &amp;A&amp;CPrinted at &amp;T on &amp;D&amp;RCommercial in confidence © Analysys Mason </oddFooter>
  </headerFooter>
  <ignoredErrors>
    <ignoredError sqref="N26:N41 Q26:Q41 V27:W41"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L!$C$42:$C$45</xm:f>
          </x14:formula1>
          <xm:sqref>D10:D21 D38 D26 D30 D34 D62 D50 D54 D58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D48"/>
  <sheetViews>
    <sheetView showGridLines="0" defaultGridColor="0" colorId="22" zoomScale="80" zoomScaleNormal="80" workbookViewId="0">
      <pane xSplit="6" ySplit="7" topLeftCell="G8" activePane="bottomRight" state="frozen"/>
      <selection pane="topRight" activeCell="G1" sqref="G1"/>
      <selection pane="bottomLeft" activeCell="A8" sqref="A8"/>
      <selection pane="bottomRight"/>
    </sheetView>
  </sheetViews>
  <sheetFormatPr baseColWidth="10" defaultColWidth="12.7109375" defaultRowHeight="12" outlineLevelCol="1" x14ac:dyDescent="0.2"/>
  <cols>
    <col min="1" max="1" width="6.7109375" style="191" customWidth="1"/>
    <col min="2" max="2" width="6.140625" style="191" customWidth="1"/>
    <col min="3" max="3" width="5.85546875" style="191" customWidth="1"/>
    <col min="4" max="4" width="22" style="191" customWidth="1"/>
    <col min="5" max="5" width="12.7109375" style="191"/>
    <col min="6" max="6" width="12.7109375" style="16"/>
    <col min="7" max="8" width="12.7109375" style="191"/>
    <col min="9" max="14" width="12.7109375" style="3"/>
    <col min="15" max="15" width="12.7109375" style="3" customWidth="1" outlineLevel="1"/>
    <col min="16" max="16" width="12.7109375" style="3"/>
    <col min="17" max="17" width="3.5703125" style="191" customWidth="1"/>
    <col min="18" max="20" width="12.7109375" style="3"/>
    <col min="21" max="21" width="18.5703125" style="3" customWidth="1"/>
    <col min="22" max="22" width="12.7109375" style="3"/>
    <col min="23" max="23" width="2.7109375" style="191" customWidth="1"/>
    <col min="24" max="26" width="12.7109375" style="3"/>
    <col min="27" max="27" width="4.42578125" style="191" customWidth="1"/>
    <col min="28" max="16384" width="12.7109375" style="191"/>
  </cols>
  <sheetData>
    <row r="1" spans="1:30" s="192" customFormat="1" ht="33.75" customHeight="1" x14ac:dyDescent="0.2">
      <c r="A1" s="193" t="s">
        <v>242</v>
      </c>
      <c r="F1" s="289"/>
      <c r="I1" s="277"/>
      <c r="J1" s="277"/>
      <c r="K1" s="277"/>
      <c r="L1" s="277" t="s">
        <v>114</v>
      </c>
      <c r="M1" s="277"/>
      <c r="N1" s="277"/>
      <c r="O1" s="277"/>
      <c r="P1" s="277"/>
      <c r="R1" s="277"/>
      <c r="S1" s="277"/>
      <c r="T1" s="277"/>
      <c r="U1" s="277"/>
      <c r="V1" s="277"/>
      <c r="X1" s="277"/>
      <c r="Y1" s="277"/>
      <c r="Z1" s="277"/>
    </row>
    <row r="3" spans="1:30" x14ac:dyDescent="0.2">
      <c r="D3" s="200"/>
      <c r="E3" s="200"/>
      <c r="G3" s="200"/>
      <c r="H3" s="200"/>
      <c r="I3" s="380" t="s">
        <v>244</v>
      </c>
      <c r="J3" s="380"/>
      <c r="K3" s="380"/>
      <c r="L3" s="380"/>
      <c r="M3" s="380"/>
      <c r="N3" s="380"/>
      <c r="O3" s="380"/>
      <c r="P3" s="380"/>
      <c r="Q3" s="200"/>
      <c r="R3" s="380" t="s">
        <v>245</v>
      </c>
      <c r="S3" s="380"/>
      <c r="T3" s="380"/>
      <c r="U3" s="380"/>
      <c r="V3" s="380"/>
      <c r="W3" s="200"/>
      <c r="X3" s="380" t="s">
        <v>247</v>
      </c>
      <c r="Y3" s="380"/>
      <c r="Z3" s="380"/>
      <c r="AA3" s="200"/>
      <c r="AB3" s="200"/>
    </row>
    <row r="4" spans="1:30" x14ac:dyDescent="0.2">
      <c r="D4" s="200"/>
      <c r="E4" s="200"/>
      <c r="G4" s="200"/>
      <c r="H4" s="200"/>
      <c r="I4" s="381"/>
      <c r="J4" s="381"/>
      <c r="K4" s="381"/>
      <c r="L4" s="381"/>
      <c r="M4" s="381"/>
      <c r="N4" s="381"/>
      <c r="O4" s="381"/>
      <c r="P4" s="381"/>
      <c r="Q4" s="200"/>
      <c r="R4" s="381"/>
      <c r="S4" s="381"/>
      <c r="T4" s="381"/>
      <c r="U4" s="381"/>
      <c r="V4" s="381"/>
      <c r="W4" s="200"/>
      <c r="X4" s="380"/>
      <c r="Y4" s="380"/>
      <c r="Z4" s="380"/>
      <c r="AA4" s="200"/>
      <c r="AB4" s="200"/>
    </row>
    <row r="5" spans="1:30" x14ac:dyDescent="0.2">
      <c r="D5" s="200"/>
      <c r="E5" s="200"/>
      <c r="G5" s="200"/>
      <c r="H5" s="200"/>
      <c r="I5" s="278"/>
      <c r="J5" s="278" t="s">
        <v>248</v>
      </c>
      <c r="K5" s="278"/>
      <c r="L5" s="278"/>
      <c r="M5" s="278"/>
      <c r="N5" s="278"/>
      <c r="O5" s="278"/>
      <c r="P5" s="279"/>
      <c r="Q5" s="200"/>
      <c r="R5" s="279" t="s">
        <v>114</v>
      </c>
      <c r="S5" s="278"/>
      <c r="T5" s="278"/>
      <c r="U5" s="278"/>
      <c r="V5" s="278"/>
      <c r="W5" s="200"/>
      <c r="AA5" s="200"/>
      <c r="AB5" s="200"/>
    </row>
    <row r="6" spans="1:30" ht="24" x14ac:dyDescent="0.2">
      <c r="D6" s="201" t="s">
        <v>164</v>
      </c>
      <c r="E6" s="201" t="s">
        <v>165</v>
      </c>
      <c r="F6" s="290" t="s">
        <v>249</v>
      </c>
      <c r="G6" s="201" t="s">
        <v>167</v>
      </c>
      <c r="H6" s="200"/>
      <c r="I6" s="280" t="s">
        <v>250</v>
      </c>
      <c r="J6" s="280" t="s">
        <v>251</v>
      </c>
      <c r="K6" s="280" t="s">
        <v>250</v>
      </c>
      <c r="L6" s="280" t="s">
        <v>252</v>
      </c>
      <c r="M6" s="280" t="s">
        <v>253</v>
      </c>
      <c r="N6" s="280" t="s">
        <v>254</v>
      </c>
      <c r="O6" s="280" t="s">
        <v>255</v>
      </c>
      <c r="P6" s="281" t="s">
        <v>400</v>
      </c>
      <c r="Q6" s="200"/>
      <c r="R6" s="281" t="s">
        <v>256</v>
      </c>
      <c r="S6" s="281" t="s">
        <v>257</v>
      </c>
      <c r="T6" s="281" t="s">
        <v>258</v>
      </c>
      <c r="U6" s="281" t="s">
        <v>259</v>
      </c>
      <c r="V6" s="293" t="s">
        <v>260</v>
      </c>
      <c r="W6" s="200"/>
      <c r="X6" s="280" t="s">
        <v>253</v>
      </c>
      <c r="Y6" s="293" t="s">
        <v>260</v>
      </c>
      <c r="Z6" s="293" t="s">
        <v>261</v>
      </c>
      <c r="AA6" s="200"/>
      <c r="AB6" s="202" t="s">
        <v>169</v>
      </c>
    </row>
    <row r="7" spans="1:30" x14ac:dyDescent="0.2">
      <c r="A7" s="214" t="s">
        <v>374</v>
      </c>
      <c r="D7" s="200"/>
      <c r="E7" s="200"/>
      <c r="G7" s="200"/>
      <c r="H7" s="200"/>
      <c r="J7" s="282" t="s">
        <v>262</v>
      </c>
      <c r="K7" s="282"/>
      <c r="L7" s="282" t="s">
        <v>262</v>
      </c>
      <c r="M7" s="282" t="s">
        <v>262</v>
      </c>
      <c r="N7" s="282" t="s">
        <v>174</v>
      </c>
      <c r="O7" s="282" t="s">
        <v>174</v>
      </c>
      <c r="P7" s="282" t="s">
        <v>263</v>
      </c>
      <c r="Q7" s="200"/>
      <c r="S7" s="282" t="s">
        <v>262</v>
      </c>
      <c r="T7" s="282"/>
      <c r="U7" s="282" t="s">
        <v>262</v>
      </c>
      <c r="V7" s="282" t="s">
        <v>263</v>
      </c>
      <c r="W7" s="200"/>
      <c r="X7" s="282" t="s">
        <v>263</v>
      </c>
      <c r="Y7" s="282" t="s">
        <v>263</v>
      </c>
      <c r="Z7" s="282" t="s">
        <v>263</v>
      </c>
      <c r="AA7" s="200"/>
      <c r="AB7" s="200"/>
    </row>
    <row r="9" spans="1:30" x14ac:dyDescent="0.2">
      <c r="A9" s="199" t="s">
        <v>232</v>
      </c>
      <c r="B9" s="211"/>
      <c r="C9" s="211"/>
      <c r="D9" s="211"/>
      <c r="E9" s="211"/>
      <c r="F9" s="291"/>
      <c r="G9" s="211"/>
      <c r="H9" s="211"/>
      <c r="I9" s="283"/>
      <c r="J9" s="283"/>
      <c r="K9" s="283"/>
      <c r="L9" s="283"/>
      <c r="M9" s="283"/>
      <c r="N9" s="283"/>
      <c r="O9" s="283"/>
      <c r="P9" s="283"/>
      <c r="Q9" s="211"/>
      <c r="R9" s="283"/>
      <c r="S9" s="283"/>
      <c r="T9" s="283"/>
      <c r="U9" s="283"/>
      <c r="V9" s="283"/>
      <c r="W9" s="211"/>
      <c r="X9" s="283"/>
      <c r="Y9" s="283"/>
      <c r="Z9" s="283"/>
      <c r="AA9" s="211"/>
      <c r="AB9" s="211"/>
      <c r="AC9" s="211"/>
      <c r="AD9" s="211"/>
    </row>
    <row r="10" spans="1:30" x14ac:dyDescent="0.2">
      <c r="A10" s="216">
        <v>1</v>
      </c>
      <c r="B10" s="190" t="str">
        <f>INDEX(lista.activos,$A10)</f>
        <v>Predio</v>
      </c>
      <c r="C10" s="190"/>
      <c r="D10" s="190"/>
      <c r="E10" s="190"/>
      <c r="F10" s="292"/>
      <c r="G10" s="190"/>
      <c r="H10" s="190"/>
      <c r="I10" s="284"/>
      <c r="J10" s="284"/>
      <c r="K10" s="284"/>
      <c r="L10" s="284"/>
      <c r="M10" s="284"/>
      <c r="N10" s="284"/>
      <c r="O10" s="284"/>
      <c r="P10" s="284"/>
      <c r="Q10" s="190"/>
      <c r="R10" s="284"/>
      <c r="S10" s="284"/>
      <c r="T10" s="284"/>
      <c r="U10" s="284"/>
      <c r="V10" s="284"/>
      <c r="W10" s="190"/>
      <c r="X10" s="284"/>
      <c r="Y10" s="284"/>
      <c r="Z10" s="284"/>
      <c r="AA10" s="190"/>
      <c r="AB10" s="190"/>
      <c r="AC10" s="190"/>
      <c r="AD10" s="190"/>
    </row>
    <row r="12" spans="1:30" x14ac:dyDescent="0.2">
      <c r="A12" s="204"/>
      <c r="B12" s="204"/>
      <c r="C12" s="204"/>
      <c r="D12" s="213" t="str">
        <f>id.predio.activo</f>
        <v>Tercero en arrendamientoUrbano</v>
      </c>
      <c r="E12" s="191" t="s">
        <v>195</v>
      </c>
      <c r="F12" s="263">
        <f>area.total.predio</f>
        <v>82.353408552631578</v>
      </c>
      <c r="I12" s="252" t="s">
        <v>397</v>
      </c>
      <c r="J12" s="258">
        <f>INDEX(capex.unitario.obras.adecuacion.predio,MATCH(D12,identificador.predio,0))</f>
        <v>577.5</v>
      </c>
      <c r="K12" s="252" t="s">
        <v>397</v>
      </c>
      <c r="L12" s="258">
        <f>INDEX(capex.unitario.acquisicion.predio,MATCH(D12,identificador.predio,0))</f>
        <v>0</v>
      </c>
      <c r="M12" s="285">
        <f>(F12*J12)+(F12*L12)</f>
        <v>47559.093439144737</v>
      </c>
      <c r="N12" s="258">
        <f>INDEX(vida.util.predio,MATCH(D12,identificador.predio,0))</f>
        <v>80</v>
      </c>
      <c r="O12" s="258">
        <f>INDEX(vida.util.restante.predio,MATCH(D12,identificador.predio,0))</f>
        <v>79</v>
      </c>
      <c r="P12" s="285">
        <f>(wacc/(1-(1/(1+wacc)^N12)))*M12</f>
        <v>5698.2469753910527</v>
      </c>
      <c r="R12" s="252" t="s">
        <v>262</v>
      </c>
      <c r="S12" s="258">
        <f>INDEX(opex.anual.alquiler.predio,MATCH(D12,identificador.predio,0))</f>
        <v>0</v>
      </c>
      <c r="T12" s="252" t="s">
        <v>397</v>
      </c>
      <c r="U12" s="258">
        <f>INDEX(opex.anual.mantenimiento.predio,MATCH(D12,identificador.predio,0))</f>
        <v>0</v>
      </c>
      <c r="V12" s="255">
        <f>S12+(U12*F12)</f>
        <v>0</v>
      </c>
      <c r="X12" s="285">
        <f>P12*(1+markup.overhead.capex)</f>
        <v>6154.1067334223371</v>
      </c>
      <c r="Y12" s="285">
        <f>V12*(1+markup.overhead.opex)</f>
        <v>0</v>
      </c>
      <c r="Z12" s="294">
        <f>X12+Y12</f>
        <v>6154.1067334223371</v>
      </c>
    </row>
    <row r="13" spans="1:30" x14ac:dyDescent="0.2">
      <c r="X13" s="295" t="s">
        <v>401</v>
      </c>
      <c r="Y13" s="295" t="s">
        <v>402</v>
      </c>
      <c r="Z13" s="295" t="s">
        <v>403</v>
      </c>
    </row>
    <row r="14" spans="1:30" x14ac:dyDescent="0.2">
      <c r="A14" s="216">
        <v>2</v>
      </c>
      <c r="B14" s="190" t="str">
        <f>INDEX(lista.activos,$A14)</f>
        <v>Central del AEP</v>
      </c>
      <c r="C14" s="190"/>
      <c r="D14" s="190"/>
      <c r="E14" s="190"/>
      <c r="F14" s="292"/>
      <c r="G14" s="190"/>
      <c r="H14" s="190"/>
      <c r="I14" s="284"/>
      <c r="J14" s="284"/>
      <c r="K14" s="284"/>
      <c r="L14" s="284"/>
      <c r="M14" s="284"/>
      <c r="N14" s="284"/>
      <c r="O14" s="284"/>
      <c r="P14" s="284"/>
      <c r="Q14" s="190"/>
      <c r="R14" s="284"/>
      <c r="S14" s="284"/>
      <c r="T14" s="284"/>
      <c r="U14" s="284"/>
      <c r="V14" s="284"/>
      <c r="W14" s="190"/>
      <c r="X14" s="284"/>
      <c r="Y14" s="284"/>
      <c r="Z14" s="284"/>
      <c r="AA14" s="190"/>
      <c r="AB14" s="190"/>
      <c r="AC14" s="190"/>
      <c r="AD14" s="190"/>
    </row>
    <row r="16" spans="1:30" x14ac:dyDescent="0.2">
      <c r="D16" s="213" t="str">
        <f>id.central.telmex.activo</f>
        <v>MediaUrbano</v>
      </c>
      <c r="E16" s="204" t="s">
        <v>195</v>
      </c>
      <c r="F16" s="263">
        <f>area.salas.central.telmex</f>
        <v>109.8045447368421</v>
      </c>
      <c r="I16" s="252" t="s">
        <v>397</v>
      </c>
      <c r="J16" s="258">
        <f>INDEX(capex.unitario.central.telmex,MATCH(D16,identificador.central.telmex,0))</f>
        <v>14838.774825</v>
      </c>
      <c r="K16" s="286">
        <v>0</v>
      </c>
      <c r="L16" s="286">
        <v>0</v>
      </c>
      <c r="M16" s="285">
        <f>(J16*F16)</f>
        <v>1629364.9141116389</v>
      </c>
      <c r="N16" s="258">
        <f>INDEX(vida.util.central.telmex,MATCH(D16,identificador.central.telmex,0))</f>
        <v>27.3</v>
      </c>
      <c r="O16" s="258">
        <f>INDEX(vida.util.restante.central.telmex,MATCH(D16,identificador.central.telmex,0))</f>
        <v>26.3</v>
      </c>
      <c r="P16" s="285">
        <f>(wacc/(1-(1/(1+wacc)^N16)))*M16</f>
        <v>204512.98950002101</v>
      </c>
      <c r="R16" s="252" t="s">
        <v>262</v>
      </c>
      <c r="S16" s="287">
        <f>INDEX(opex.anual.alquiler.central.telmex,MATCH(D16,identificador.central.telmex,0))</f>
        <v>82306.270965361255</v>
      </c>
      <c r="T16" s="252" t="s">
        <v>262</v>
      </c>
      <c r="U16" s="258">
        <f>INDEX(opex.anual.mantenimiento.central.telmex,MATCH(D16,identificador.central.telmex,0))</f>
        <v>145533.60827903208</v>
      </c>
      <c r="V16" s="255">
        <f>S16+U16</f>
        <v>227839.87924439332</v>
      </c>
      <c r="X16" s="285">
        <f>P16*(1+markup.overhead.capex)</f>
        <v>220874.02866002271</v>
      </c>
      <c r="Y16" s="285">
        <f>V16*(1+markup.overhead.opex)</f>
        <v>246067.0695839448</v>
      </c>
      <c r="Z16" s="294">
        <f>X16+Y16</f>
        <v>466941.09824396751</v>
      </c>
      <c r="AB16" s="3"/>
      <c r="AC16" s="3"/>
    </row>
    <row r="17" spans="1:30" x14ac:dyDescent="0.2">
      <c r="X17" s="295" t="s">
        <v>404</v>
      </c>
      <c r="Y17" s="295" t="s">
        <v>405</v>
      </c>
      <c r="Z17" s="295" t="s">
        <v>406</v>
      </c>
      <c r="AB17" s="295" t="s">
        <v>815</v>
      </c>
      <c r="AC17" s="295" t="s">
        <v>816</v>
      </c>
    </row>
    <row r="18" spans="1:30" x14ac:dyDescent="0.2">
      <c r="A18" s="216">
        <v>3</v>
      </c>
      <c r="B18" s="190" t="str">
        <f>INDEX(lista.activos,$A18)</f>
        <v>Sala coubicación externa</v>
      </c>
      <c r="C18" s="190"/>
      <c r="D18" s="190"/>
      <c r="E18" s="190"/>
      <c r="F18" s="292"/>
      <c r="G18" s="190"/>
      <c r="H18" s="190"/>
      <c r="I18" s="284"/>
      <c r="J18" s="284"/>
      <c r="K18" s="284"/>
      <c r="L18" s="284"/>
      <c r="M18" s="284"/>
      <c r="N18" s="284"/>
      <c r="O18" s="284"/>
      <c r="P18" s="284"/>
      <c r="Q18" s="190"/>
      <c r="R18" s="284"/>
      <c r="S18" s="284"/>
      <c r="T18" s="284"/>
      <c r="U18" s="284"/>
      <c r="V18" s="284"/>
      <c r="W18" s="190"/>
      <c r="X18" s="284"/>
      <c r="Y18" s="284"/>
      <c r="Z18" s="284"/>
      <c r="AA18" s="190"/>
      <c r="AB18" s="190"/>
      <c r="AC18" s="190"/>
      <c r="AD18" s="190"/>
    </row>
    <row r="20" spans="1:30" x14ac:dyDescent="0.2">
      <c r="D20" s="213" t="str">
        <f>id.central.telmex.activo</f>
        <v>MediaUrbano</v>
      </c>
      <c r="E20" s="191" t="s">
        <v>195</v>
      </c>
      <c r="F20" s="263">
        <f>area.sala.coubicacion.externa.CS</f>
        <v>0</v>
      </c>
      <c r="I20" s="252" t="s">
        <v>397</v>
      </c>
      <c r="J20" s="258">
        <f>INDEX(capex.unitario.sala.coubicacion.externa,MATCH(D20,identificador.sala.coubicacion.externa,0))</f>
        <v>14838.774825</v>
      </c>
      <c r="K20" s="286">
        <v>0</v>
      </c>
      <c r="L20" s="286">
        <v>0</v>
      </c>
      <c r="M20" s="285">
        <f>(J20*F20)</f>
        <v>0</v>
      </c>
      <c r="N20" s="258">
        <f>INDEX(vida.util.sala.coubicacion.externa,MATCH(D20,identificador.central.telmex,0))</f>
        <v>29.4</v>
      </c>
      <c r="O20" s="258">
        <f>INDEX(vida.util.restante.sala.coubicacion.externa,MATCH(D20,identificador.central.telmex,0))</f>
        <v>28.4</v>
      </c>
      <c r="P20" s="285">
        <f>(wacc/(1-(1/(1+wacc)^N20)))*M20</f>
        <v>0</v>
      </c>
      <c r="R20" s="252" t="s">
        <v>262</v>
      </c>
      <c r="S20" s="258">
        <f>INDEX(opex.anual.alquiler.sala.coubicacion.externa,MATCH(D20,identificador.sala.coubicacion.externa,0))</f>
        <v>0</v>
      </c>
      <c r="T20" s="252" t="s">
        <v>262</v>
      </c>
      <c r="U20" s="258">
        <f>INDEX(opex.anual.mantenimiento.sala.coubicacion.externa,MATCH(D20,identificador.sala.coubicacion.externa,0))</f>
        <v>0</v>
      </c>
      <c r="V20" s="255">
        <f>S20+U20</f>
        <v>0</v>
      </c>
      <c r="W20" s="204"/>
      <c r="X20" s="285">
        <f>P20*(1+markup.overhead.capex)</f>
        <v>0</v>
      </c>
      <c r="Y20" s="285">
        <f>V20*(1+markup.overhead.opex)</f>
        <v>0</v>
      </c>
      <c r="Z20" s="294">
        <f>X20+Y20</f>
        <v>0</v>
      </c>
    </row>
    <row r="21" spans="1:30" x14ac:dyDescent="0.2">
      <c r="X21" s="295" t="s">
        <v>408</v>
      </c>
      <c r="Y21" s="295" t="s">
        <v>409</v>
      </c>
      <c r="Z21" s="295" t="s">
        <v>410</v>
      </c>
      <c r="AA21" s="204"/>
    </row>
    <row r="22" spans="1:30" x14ac:dyDescent="0.2">
      <c r="A22" s="216">
        <v>4</v>
      </c>
      <c r="B22" s="190" t="str">
        <f>INDEX(lista.activos,$A22)</f>
        <v>Subestación electrica</v>
      </c>
      <c r="C22" s="190"/>
      <c r="D22" s="190"/>
      <c r="E22" s="190"/>
      <c r="F22" s="292"/>
      <c r="G22" s="190"/>
      <c r="H22" s="190"/>
      <c r="I22" s="284"/>
      <c r="J22" s="284"/>
      <c r="K22" s="284"/>
      <c r="L22" s="284"/>
      <c r="M22" s="284"/>
      <c r="N22" s="284"/>
      <c r="O22" s="284"/>
      <c r="P22" s="284"/>
      <c r="Q22" s="190"/>
      <c r="R22" s="284"/>
      <c r="S22" s="284"/>
      <c r="T22" s="284"/>
      <c r="U22" s="284"/>
      <c r="V22" s="284"/>
      <c r="W22" s="190"/>
      <c r="X22" s="284"/>
      <c r="Y22" s="284"/>
      <c r="Z22" s="284"/>
      <c r="AA22" s="190"/>
      <c r="AB22" s="190"/>
      <c r="AC22" s="190"/>
      <c r="AD22" s="190"/>
    </row>
    <row r="24" spans="1:30" x14ac:dyDescent="0.2">
      <c r="A24" s="214"/>
      <c r="D24" s="213" t="str">
        <f>corriente.energia.activa</f>
        <v>AC_127V</v>
      </c>
      <c r="E24" s="191" t="s">
        <v>395</v>
      </c>
      <c r="F24" s="263">
        <f>consumo.equipos.subestacion.electrica</f>
        <v>48</v>
      </c>
      <c r="I24" s="252" t="s">
        <v>469</v>
      </c>
      <c r="J24" s="287">
        <f>INDEX(capex.unitario.subestacion.electrica,MATCH(corriente.energia.activa,identificador.subestacion.electrica,0))</f>
        <v>13385.785482000001</v>
      </c>
      <c r="K24" s="286">
        <v>0</v>
      </c>
      <c r="L24" s="286">
        <v>0</v>
      </c>
      <c r="M24" s="285">
        <f>(J24*F24)</f>
        <v>642517.70313600008</v>
      </c>
      <c r="N24" s="258">
        <f>INDEX(vida.util.subestacion.electrica,MATCH(corriente.energia.activa,identificador.subestacion.electrica,0))</f>
        <v>13.440000000000001</v>
      </c>
      <c r="O24" s="258">
        <f>INDEX(vida.util.restante.subestacion.electrica,MATCH(corriente.energia.activa,identificador.subestacion.electrica,0))</f>
        <v>12.440000000000001</v>
      </c>
      <c r="P24" s="285">
        <f>(wacc/(1-(1/(1+wacc)^N24)))*M24</f>
        <v>98501.104950120993</v>
      </c>
      <c r="R24" s="286">
        <v>0</v>
      </c>
      <c r="S24" s="286">
        <v>0</v>
      </c>
      <c r="T24" s="252" t="s">
        <v>469</v>
      </c>
      <c r="U24" s="258">
        <f>INDEX(opex.anual.mantenimiento.subestacion.electrica,MATCH(corriente.energia.activa,identificador.subestacion.electrica,0))</f>
        <v>657.41608237746607</v>
      </c>
      <c r="V24" s="255">
        <f>(S24*F24)+(U24*F24)</f>
        <v>31555.971954118373</v>
      </c>
      <c r="X24" s="285">
        <f>P24*(1+markup.overhead.capex)</f>
        <v>106381.19334613068</v>
      </c>
      <c r="Y24" s="285">
        <f>V24*(1+markup.overhead.opex)</f>
        <v>34080.449710447843</v>
      </c>
      <c r="Z24" s="325">
        <f>X24+Y24</f>
        <v>140461.64305657853</v>
      </c>
    </row>
    <row r="25" spans="1:30" s="316" customFormat="1" x14ac:dyDescent="0.2">
      <c r="F25" s="16"/>
      <c r="I25" s="3"/>
      <c r="J25" s="3"/>
      <c r="K25" s="3"/>
      <c r="L25" s="3"/>
      <c r="M25" s="3"/>
      <c r="N25" s="3"/>
      <c r="O25" s="3"/>
      <c r="P25" s="3"/>
      <c r="R25" s="3"/>
      <c r="S25" s="3"/>
      <c r="T25" s="3"/>
      <c r="U25" s="3"/>
      <c r="V25" s="3"/>
      <c r="X25" s="295" t="s">
        <v>418</v>
      </c>
      <c r="Y25" s="295" t="s">
        <v>419</v>
      </c>
      <c r="Z25" s="295" t="s">
        <v>420</v>
      </c>
    </row>
    <row r="26" spans="1:30" x14ac:dyDescent="0.2">
      <c r="A26" s="216">
        <v>5</v>
      </c>
      <c r="B26" s="190" t="str">
        <f>INDEX(lista.activos,$A26)</f>
        <v>Fuente de energia de respaldo (planta de emergencia)</v>
      </c>
      <c r="C26" s="190"/>
      <c r="D26" s="190"/>
      <c r="E26" s="190"/>
      <c r="F26" s="292"/>
      <c r="G26" s="190"/>
      <c r="H26" s="190"/>
      <c r="I26" s="284"/>
      <c r="J26" s="284"/>
      <c r="K26" s="284"/>
      <c r="L26" s="284"/>
      <c r="M26" s="284"/>
      <c r="N26" s="284"/>
      <c r="O26" s="284"/>
      <c r="P26" s="284"/>
      <c r="Q26" s="190"/>
      <c r="R26" s="284"/>
      <c r="S26" s="284"/>
      <c r="T26" s="284"/>
      <c r="U26" s="284"/>
      <c r="V26" s="284"/>
      <c r="W26" s="190"/>
      <c r="X26" s="284"/>
      <c r="Y26" s="284"/>
      <c r="Z26" s="284"/>
      <c r="AA26" s="190"/>
      <c r="AB26" s="190"/>
      <c r="AC26" s="190"/>
      <c r="AD26" s="190"/>
    </row>
    <row r="28" spans="1:30" x14ac:dyDescent="0.2">
      <c r="D28" s="213" t="str">
        <f>opcion.fuente.energia.respaldo.activa</f>
        <v>Generador Diesel + Baterias</v>
      </c>
      <c r="E28" s="204" t="s">
        <v>395</v>
      </c>
      <c r="F28" s="263">
        <f>potencia.minima.fuente.energia.respaldo</f>
        <v>30.400000000000002</v>
      </c>
      <c r="I28" s="252" t="s">
        <v>469</v>
      </c>
      <c r="J28" s="258">
        <f>capex.unitario.fuente.energia.respaldo</f>
        <v>7393.8808560000007</v>
      </c>
      <c r="K28" s="286">
        <v>0</v>
      </c>
      <c r="L28" s="286">
        <v>0</v>
      </c>
      <c r="M28" s="285">
        <f>(J28*F28)</f>
        <v>224773.97802240003</v>
      </c>
      <c r="N28" s="258">
        <f>vida.util.fuente.energia.respaldo</f>
        <v>8.64</v>
      </c>
      <c r="O28" s="258">
        <f>vida.util.restante.fuente.energia.respaldo</f>
        <v>7.6400000000000006</v>
      </c>
      <c r="P28" s="285">
        <f>(wacc/(1-(1/(1+wacc)^N28)))*M28</f>
        <v>43168.013827602153</v>
      </c>
      <c r="R28" s="286">
        <v>0</v>
      </c>
      <c r="S28" s="286">
        <v>0</v>
      </c>
      <c r="T28" s="252" t="s">
        <v>469</v>
      </c>
      <c r="U28" s="258">
        <f>opex.unitario.fuente.energia.respaldo</f>
        <v>403.86116623557604</v>
      </c>
      <c r="V28" s="255">
        <f>(S28*F28)+(U28*F28)</f>
        <v>12277.379453561512</v>
      </c>
      <c r="X28" s="285">
        <f>P28*(1+markup.overhead.capex)</f>
        <v>46621.454933810332</v>
      </c>
      <c r="Y28" s="285">
        <f>V28*(1+markup.overhead.opex)</f>
        <v>13259.569809846435</v>
      </c>
      <c r="Z28" s="325">
        <f>X28+Y28</f>
        <v>59881.024743656766</v>
      </c>
    </row>
    <row r="29" spans="1:30" x14ac:dyDescent="0.2">
      <c r="X29" s="295" t="s">
        <v>421</v>
      </c>
      <c r="Y29" s="295" t="s">
        <v>422</v>
      </c>
      <c r="Z29" s="295" t="s">
        <v>423</v>
      </c>
    </row>
    <row r="30" spans="1:30" x14ac:dyDescent="0.2">
      <c r="A30" s="216">
        <v>6</v>
      </c>
      <c r="B30" s="190" t="str">
        <f>INDEX(lista.activos,$A30)</f>
        <v>Aire acondicionado</v>
      </c>
      <c r="C30" s="190"/>
      <c r="D30" s="190"/>
      <c r="E30" s="190"/>
      <c r="F30" s="292"/>
      <c r="G30" s="190"/>
      <c r="H30" s="190"/>
      <c r="I30" s="284"/>
      <c r="J30" s="284"/>
      <c r="K30" s="284"/>
      <c r="L30" s="284"/>
      <c r="M30" s="284"/>
      <c r="N30" s="284"/>
      <c r="O30" s="284"/>
      <c r="P30" s="284"/>
      <c r="Q30" s="190"/>
      <c r="R30" s="190"/>
      <c r="S30" s="284" t="s">
        <v>772</v>
      </c>
      <c r="T30" s="284"/>
      <c r="U30" s="284"/>
      <c r="V30" s="284"/>
      <c r="W30" s="190"/>
      <c r="X30" s="284"/>
      <c r="Y30" s="284"/>
      <c r="Z30" s="284"/>
      <c r="AA30" s="190"/>
      <c r="AB30" s="190"/>
      <c r="AC30" s="190"/>
      <c r="AD30" s="190"/>
    </row>
    <row r="32" spans="1:30" x14ac:dyDescent="0.2">
      <c r="D32" s="213" t="str">
        <f>Dimensionado!D106</f>
        <v>Capacidad utilizada</v>
      </c>
      <c r="E32" s="191" t="s">
        <v>350</v>
      </c>
      <c r="F32" s="288">
        <f>capacidad.utilizada.aire.acondicionado</f>
        <v>10.980454473684212</v>
      </c>
      <c r="I32" s="252" t="s">
        <v>414</v>
      </c>
      <c r="J32" s="287">
        <f>capex.unitario.aire.acondicionado</f>
        <v>17073.593849999997</v>
      </c>
      <c r="K32" s="286">
        <v>0</v>
      </c>
      <c r="L32" s="286">
        <v>0</v>
      </c>
      <c r="M32" s="255">
        <f>J32*F32</f>
        <v>187475.81997209971</v>
      </c>
      <c r="N32" s="258">
        <f>vida.util.aire.acondicionado</f>
        <v>15.8</v>
      </c>
      <c r="O32" s="258">
        <f>vida.util.restante.aire.acondicionado</f>
        <v>14.8</v>
      </c>
      <c r="P32" s="285">
        <f>(wacc/(1-(1/(1+wacc)^N32)))*M32</f>
        <v>26973.08014032129</v>
      </c>
      <c r="Q32" s="204"/>
      <c r="R32" s="286">
        <v>0</v>
      </c>
      <c r="S32" s="231">
        <f>F32*kW.por.ton*horas.por.dia*dias.por.mes*meses.por.año*opex.energia.kWh</f>
        <v>373467.59950307588</v>
      </c>
      <c r="T32" s="252" t="s">
        <v>262</v>
      </c>
      <c r="U32" s="258">
        <f>opex.anual.mantenimiento.aire.acondicionado</f>
        <v>759.7066319495998</v>
      </c>
      <c r="V32" s="255">
        <f>IF(F32&gt;0,U32,0)</f>
        <v>759.7066319495998</v>
      </c>
      <c r="W32" s="204"/>
      <c r="X32" s="285">
        <f>P32*(1+markup.overhead.capex)</f>
        <v>29130.926551546996</v>
      </c>
      <c r="Y32" s="285">
        <f>V32*(1+markup.overhead.opex)</f>
        <v>820.48316250556786</v>
      </c>
      <c r="Z32" s="294">
        <f>X32+Y32</f>
        <v>29951.409714052563</v>
      </c>
    </row>
    <row r="33" spans="1:26" x14ac:dyDescent="0.2">
      <c r="A33" s="204"/>
      <c r="B33" s="204"/>
      <c r="Q33" s="204"/>
      <c r="W33" s="204"/>
      <c r="X33" s="295" t="s">
        <v>415</v>
      </c>
      <c r="Y33" s="295" t="s">
        <v>416</v>
      </c>
      <c r="Z33" s="295" t="s">
        <v>417</v>
      </c>
    </row>
    <row r="48" spans="1:26" x14ac:dyDescent="0.2">
      <c r="L48" s="313"/>
    </row>
  </sheetData>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oddFooter xml:space="preserve">&amp;L&amp;F : &amp;A&amp;CPrinted at &amp;T on &amp;D&amp;RCommercial in confidence © Analysys Mason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X265"/>
  <sheetViews>
    <sheetView showGridLines="0" defaultGridColor="0" colorId="22" zoomScale="80" zoomScaleNormal="80" workbookViewId="0">
      <pane ySplit="1" topLeftCell="A2" activePane="bottomLeft" state="frozen"/>
      <selection pane="bottomLeft"/>
    </sheetView>
  </sheetViews>
  <sheetFormatPr baseColWidth="10" defaultColWidth="12.7109375" defaultRowHeight="12" x14ac:dyDescent="0.2"/>
  <cols>
    <col min="1" max="1" width="6.7109375" style="191" customWidth="1"/>
    <col min="2" max="3" width="12.7109375" style="191"/>
    <col min="4" max="4" width="39.42578125" style="191" customWidth="1"/>
    <col min="5" max="5" width="31" style="191" customWidth="1"/>
    <col min="6" max="6" width="11.140625" style="204" customWidth="1"/>
    <col min="7" max="7" width="3.28515625" style="204" customWidth="1"/>
    <col min="8" max="8" width="16" style="191" customWidth="1"/>
    <col min="9" max="9" width="16.7109375" style="191" customWidth="1"/>
    <col min="10" max="10" width="19.5703125" style="191" bestFit="1" customWidth="1"/>
    <col min="11" max="11" width="26.7109375" style="191" bestFit="1" customWidth="1"/>
    <col min="12" max="12" width="17.42578125" style="191" bestFit="1" customWidth="1"/>
    <col min="13" max="13" width="11.140625" style="191" customWidth="1"/>
    <col min="14" max="14" width="15" style="191" bestFit="1" customWidth="1"/>
    <col min="15" max="16" width="15.28515625" style="191" bestFit="1" customWidth="1"/>
    <col min="17" max="17" width="4.140625" style="191" customWidth="1"/>
    <col min="18" max="18" width="12.7109375" style="191"/>
    <col min="19" max="19" width="15.5703125" style="191" customWidth="1"/>
    <col min="20" max="20" width="23.7109375" style="191" bestFit="1" customWidth="1"/>
    <col min="21" max="16384" width="12.7109375" style="191"/>
  </cols>
  <sheetData>
    <row r="1" spans="1:24" s="192" customFormat="1" ht="33.75" customHeight="1" x14ac:dyDescent="0.2">
      <c r="A1" s="193" t="s">
        <v>243</v>
      </c>
      <c r="F1" s="206"/>
      <c r="G1" s="206"/>
      <c r="N1" s="192" t="s">
        <v>114</v>
      </c>
    </row>
    <row r="5" spans="1:24" x14ac:dyDescent="0.2">
      <c r="A5" s="217" t="s">
        <v>812</v>
      </c>
      <c r="B5" s="211"/>
      <c r="C5" s="211"/>
      <c r="D5" s="211"/>
      <c r="E5" s="211"/>
      <c r="F5" s="211"/>
      <c r="G5" s="211"/>
      <c r="H5" s="211"/>
      <c r="I5" s="221"/>
      <c r="J5" s="221"/>
      <c r="K5" s="211"/>
      <c r="L5" s="211"/>
      <c r="M5" s="211"/>
      <c r="N5" s="211"/>
      <c r="O5" s="211"/>
      <c r="P5" s="211"/>
      <c r="Q5" s="211"/>
      <c r="R5" s="211"/>
      <c r="S5" s="211"/>
      <c r="T5" s="211"/>
      <c r="U5" s="211"/>
      <c r="V5" s="211"/>
      <c r="W5" s="211"/>
      <c r="X5" s="211"/>
    </row>
    <row r="6" spans="1:24" ht="24" x14ac:dyDescent="0.2">
      <c r="C6" s="214" t="s">
        <v>437</v>
      </c>
      <c r="F6" s="214" t="s">
        <v>774</v>
      </c>
      <c r="G6" s="214"/>
      <c r="H6" s="244" t="str">
        <f t="array" ref="H6:K6">TRANSPOSE(lista.servicios)</f>
        <v>Coubicación (CI/CE)</v>
      </c>
      <c r="I6" s="244" t="str">
        <v>Subestación electrica</v>
      </c>
      <c r="J6" s="244" t="str">
        <v>Fuente de energia de respaldo</v>
      </c>
      <c r="K6" s="244" t="str">
        <v>Aire acondicionado</v>
      </c>
      <c r="L6" s="204"/>
      <c r="M6" s="316" t="s">
        <v>773</v>
      </c>
    </row>
    <row r="7" spans="1:24" x14ac:dyDescent="0.2">
      <c r="C7" s="144" t="s">
        <v>164</v>
      </c>
    </row>
    <row r="8" spans="1:24" x14ac:dyDescent="0.2">
      <c r="B8" s="212">
        <v>1</v>
      </c>
      <c r="C8" s="213" t="str">
        <f t="shared" ref="C8:C13" si="0">INDEX(lista.activos,B8)</f>
        <v>Predio</v>
      </c>
      <c r="H8" s="357">
        <v>1</v>
      </c>
      <c r="I8" s="357">
        <v>0</v>
      </c>
      <c r="J8" s="357">
        <v>0</v>
      </c>
      <c r="K8" s="357">
        <v>0</v>
      </c>
      <c r="L8" s="204"/>
    </row>
    <row r="9" spans="1:24" x14ac:dyDescent="0.2">
      <c r="B9" s="212">
        <f>B8+1</f>
        <v>2</v>
      </c>
      <c r="C9" s="213" t="str">
        <f t="shared" si="0"/>
        <v>Central del AEP</v>
      </c>
      <c r="H9" s="303">
        <f>((SUMPRODUCT(H$16:H$25,$H$154:$H$163)/SUM($H$154:$H$163)))*((1-$K9)/1)</f>
        <v>0.668678993897458</v>
      </c>
      <c r="I9" s="303">
        <f>(SUMPRODUCT(I$16:I$25,$H$154:$H$163)/SUM($H$154:$H$163))*((1-$K9)/1)</f>
        <v>0.20764167871778483</v>
      </c>
      <c r="J9" s="303">
        <f>(SUMPRODUCT(J$16:J$25,$H$154:$H$163)/SUM($H$154:$H$163))*((1-$K9)/1)</f>
        <v>7.3679327384757146E-2</v>
      </c>
      <c r="K9" s="366">
        <v>0.05</v>
      </c>
      <c r="L9" s="204"/>
      <c r="M9" s="191" t="s">
        <v>560</v>
      </c>
    </row>
    <row r="10" spans="1:24" x14ac:dyDescent="0.2">
      <c r="B10" s="212">
        <f t="shared" ref="B10:B13" si="1">B9+1</f>
        <v>3</v>
      </c>
      <c r="C10" s="213" t="str">
        <f t="shared" si="0"/>
        <v>Sala coubicación externa</v>
      </c>
      <c r="H10" s="357">
        <v>1</v>
      </c>
      <c r="I10" s="357">
        <v>0</v>
      </c>
      <c r="J10" s="357">
        <v>0</v>
      </c>
      <c r="K10" s="357">
        <v>0</v>
      </c>
      <c r="L10" s="204"/>
    </row>
    <row r="11" spans="1:24" x14ac:dyDescent="0.2">
      <c r="B11" s="212">
        <f t="shared" si="1"/>
        <v>4</v>
      </c>
      <c r="C11" s="213" t="str">
        <f t="shared" si="0"/>
        <v>Subestación electrica</v>
      </c>
      <c r="H11" s="357">
        <v>0</v>
      </c>
      <c r="I11" s="357">
        <v>1</v>
      </c>
      <c r="J11" s="357">
        <v>0</v>
      </c>
      <c r="K11" s="357">
        <v>0</v>
      </c>
      <c r="L11" s="204"/>
    </row>
    <row r="12" spans="1:24" x14ac:dyDescent="0.2">
      <c r="B12" s="212">
        <f t="shared" si="1"/>
        <v>5</v>
      </c>
      <c r="C12" s="213" t="str">
        <f t="shared" si="0"/>
        <v>Fuente de energia de respaldo (planta de emergencia)</v>
      </c>
      <c r="H12" s="357">
        <v>0</v>
      </c>
      <c r="I12" s="357">
        <v>0</v>
      </c>
      <c r="J12" s="357">
        <v>1</v>
      </c>
      <c r="K12" s="357">
        <v>0</v>
      </c>
      <c r="L12" s="204"/>
    </row>
    <row r="13" spans="1:24" x14ac:dyDescent="0.2">
      <c r="B13" s="212">
        <f t="shared" si="1"/>
        <v>6</v>
      </c>
      <c r="C13" s="213" t="str">
        <f t="shared" si="0"/>
        <v>Aire acondicionado</v>
      </c>
      <c r="H13" s="357">
        <v>0</v>
      </c>
      <c r="I13" s="357">
        <v>0</v>
      </c>
      <c r="J13" s="357">
        <v>0</v>
      </c>
      <c r="K13" s="357">
        <v>1</v>
      </c>
      <c r="L13" s="204"/>
    </row>
    <row r="14" spans="1:24" x14ac:dyDescent="0.2">
      <c r="C14" s="212"/>
      <c r="H14" s="358"/>
      <c r="I14" s="358"/>
      <c r="J14" s="358"/>
      <c r="K14" s="358"/>
    </row>
    <row r="15" spans="1:24" s="204" customFormat="1" x14ac:dyDescent="0.2">
      <c r="C15" s="144" t="s">
        <v>561</v>
      </c>
      <c r="H15" s="358"/>
      <c r="I15" s="358"/>
      <c r="J15" s="358"/>
      <c r="K15" s="358"/>
    </row>
    <row r="16" spans="1:24" s="204" customFormat="1" x14ac:dyDescent="0.2">
      <c r="B16" s="212">
        <v>1</v>
      </c>
      <c r="C16" s="213" t="str">
        <f t="shared" ref="C16:C25" si="2">INDEX(lista.componentes.central.telmex,B16)</f>
        <v>Sala MDF/ODF AEP</v>
      </c>
      <c r="H16" s="357">
        <v>1</v>
      </c>
      <c r="I16" s="357">
        <v>0</v>
      </c>
      <c r="J16" s="357">
        <v>0</v>
      </c>
      <c r="K16" s="357">
        <v>0</v>
      </c>
    </row>
    <row r="17" spans="2:11" s="204" customFormat="1" x14ac:dyDescent="0.2">
      <c r="B17" s="212">
        <f>B16+1</f>
        <v>2</v>
      </c>
      <c r="C17" s="213" t="str">
        <f t="shared" si="2"/>
        <v>Sala coubicación CS</v>
      </c>
      <c r="H17" s="357">
        <v>1</v>
      </c>
      <c r="I17" s="357">
        <v>0</v>
      </c>
      <c r="J17" s="357">
        <v>0</v>
      </c>
      <c r="K17" s="357">
        <v>0</v>
      </c>
    </row>
    <row r="18" spans="2:11" s="204" customFormat="1" x14ac:dyDescent="0.2">
      <c r="B18" s="212">
        <f>B17+1</f>
        <v>3</v>
      </c>
      <c r="C18" s="213" t="str">
        <f t="shared" si="2"/>
        <v>Sala de control</v>
      </c>
      <c r="H18" s="357">
        <v>1</v>
      </c>
      <c r="I18" s="357">
        <v>0</v>
      </c>
      <c r="J18" s="357">
        <v>0</v>
      </c>
      <c r="K18" s="357">
        <v>0</v>
      </c>
    </row>
    <row r="19" spans="2:11" s="204" customFormat="1" x14ac:dyDescent="0.2">
      <c r="B19" s="212">
        <f>B18+1</f>
        <v>4</v>
      </c>
      <c r="C19" s="213" t="str">
        <f t="shared" si="2"/>
        <v>Sala de switching del AEP</v>
      </c>
      <c r="H19" s="357">
        <v>1</v>
      </c>
      <c r="I19" s="357">
        <v>0</v>
      </c>
      <c r="J19" s="357">
        <v>0</v>
      </c>
      <c r="K19" s="357">
        <v>0</v>
      </c>
    </row>
    <row r="20" spans="2:11" s="204" customFormat="1" x14ac:dyDescent="0.2">
      <c r="B20" s="212">
        <f t="shared" ref="B20:B25" si="3">B19+1</f>
        <v>5</v>
      </c>
      <c r="C20" s="213" t="str">
        <f t="shared" si="2"/>
        <v>Sala equipos de transmisión del AEP</v>
      </c>
      <c r="H20" s="357">
        <v>1</v>
      </c>
      <c r="I20" s="357">
        <v>0</v>
      </c>
      <c r="J20" s="357">
        <v>0</v>
      </c>
      <c r="K20" s="357">
        <v>0</v>
      </c>
    </row>
    <row r="21" spans="2:11" s="204" customFormat="1" x14ac:dyDescent="0.2">
      <c r="B21" s="212">
        <f t="shared" si="3"/>
        <v>6</v>
      </c>
      <c r="C21" s="213" t="str">
        <f t="shared" si="2"/>
        <v>Sala subestacion electrica</v>
      </c>
      <c r="H21" s="357">
        <v>0</v>
      </c>
      <c r="I21" s="357">
        <v>1</v>
      </c>
      <c r="J21" s="357">
        <v>0</v>
      </c>
      <c r="K21" s="357">
        <v>0</v>
      </c>
    </row>
    <row r="22" spans="2:11" s="204" customFormat="1" x14ac:dyDescent="0.2">
      <c r="B22" s="212">
        <f t="shared" si="3"/>
        <v>7</v>
      </c>
      <c r="C22" s="213" t="str">
        <f t="shared" si="2"/>
        <v>Sala planta de emergencia</v>
      </c>
      <c r="H22" s="357">
        <v>0</v>
      </c>
      <c r="I22" s="357">
        <v>0</v>
      </c>
      <c r="J22" s="357">
        <v>1</v>
      </c>
      <c r="K22" s="357">
        <v>0</v>
      </c>
    </row>
    <row r="23" spans="2:11" s="204" customFormat="1" x14ac:dyDescent="0.2">
      <c r="B23" s="212">
        <f t="shared" si="3"/>
        <v>8</v>
      </c>
      <c r="C23" s="213" t="str">
        <f t="shared" si="2"/>
        <v>Sala baterias</v>
      </c>
      <c r="H23" s="357">
        <v>0</v>
      </c>
      <c r="I23" s="357">
        <v>0</v>
      </c>
      <c r="J23" s="357">
        <v>1</v>
      </c>
      <c r="K23" s="357">
        <v>0</v>
      </c>
    </row>
    <row r="24" spans="2:11" s="204" customFormat="1" x14ac:dyDescent="0.2">
      <c r="B24" s="212">
        <f t="shared" si="3"/>
        <v>9</v>
      </c>
      <c r="C24" s="213" t="str">
        <f t="shared" si="2"/>
        <v>Espacio de overheads</v>
      </c>
      <c r="H24" s="357">
        <v>1</v>
      </c>
      <c r="I24" s="357">
        <v>0</v>
      </c>
      <c r="J24" s="357">
        <v>0</v>
      </c>
      <c r="K24" s="357">
        <v>0</v>
      </c>
    </row>
    <row r="25" spans="2:11" s="204" customFormat="1" x14ac:dyDescent="0.2">
      <c r="B25" s="212">
        <f t="shared" si="3"/>
        <v>10</v>
      </c>
      <c r="C25" s="213" t="str">
        <f t="shared" si="2"/>
        <v>espacio vacante</v>
      </c>
      <c r="H25" s="357"/>
      <c r="I25" s="357"/>
      <c r="J25" s="357"/>
      <c r="K25" s="357"/>
    </row>
    <row r="26" spans="2:11" s="204" customFormat="1" x14ac:dyDescent="0.2"/>
    <row r="27" spans="2:11" s="316" customFormat="1" x14ac:dyDescent="0.2"/>
    <row r="28" spans="2:11" s="316" customFormat="1" ht="24" x14ac:dyDescent="0.2">
      <c r="C28" s="214" t="s">
        <v>438</v>
      </c>
      <c r="F28" s="214" t="s">
        <v>774</v>
      </c>
      <c r="G28" s="214"/>
      <c r="H28" s="244" t="str">
        <f t="array" ref="H28:K28">TRANSPOSE(lista.servicios)</f>
        <v>Coubicación (CI/CE)</v>
      </c>
      <c r="I28" s="244" t="str">
        <v>Subestación electrica</v>
      </c>
      <c r="J28" s="244" t="str">
        <v>Fuente de energia de respaldo</v>
      </c>
      <c r="K28" s="244" t="str">
        <v>Aire acondicionado</v>
      </c>
    </row>
    <row r="29" spans="2:11" s="316" customFormat="1" x14ac:dyDescent="0.2">
      <c r="C29" s="144" t="s">
        <v>164</v>
      </c>
    </row>
    <row r="30" spans="2:11" s="316" customFormat="1" x14ac:dyDescent="0.2">
      <c r="B30" s="212">
        <v>1</v>
      </c>
      <c r="C30" s="213" t="str">
        <f t="shared" ref="C30:C35" si="4">INDEX(lista.activos,B30)</f>
        <v>Predio</v>
      </c>
      <c r="H30" s="357">
        <v>1</v>
      </c>
      <c r="I30" s="357">
        <v>0</v>
      </c>
      <c r="J30" s="357">
        <v>0</v>
      </c>
      <c r="K30" s="357">
        <v>0</v>
      </c>
    </row>
    <row r="31" spans="2:11" s="316" customFormat="1" x14ac:dyDescent="0.2">
      <c r="B31" s="212">
        <f>B30+1</f>
        <v>2</v>
      </c>
      <c r="C31" s="213" t="str">
        <f t="shared" si="4"/>
        <v>Central del AEP</v>
      </c>
      <c r="H31" s="303">
        <f>(SUMPRODUCT(H$38:H$47,$H$154:$H$163)/SUM($H$154:$H$163))*((1-$K31)/1)</f>
        <v>0.74235832128221513</v>
      </c>
      <c r="I31" s="303">
        <f>(SUMPRODUCT(I$38:I$47,$H$154:$H$163)/SUM($H$154:$H$163))*((1-$K31)/1)</f>
        <v>0.20764167871778483</v>
      </c>
      <c r="J31" s="303">
        <f>(SUMPRODUCT(J$38:J$47,$H$154:$H$163)/SUM($H$154:$H$163))*((1-$K31)/1)</f>
        <v>0</v>
      </c>
      <c r="K31" s="365">
        <f>aire.acondicionado.espacio.maniobra</f>
        <v>0.05</v>
      </c>
    </row>
    <row r="32" spans="2:11" s="316" customFormat="1" x14ac:dyDescent="0.2">
      <c r="B32" s="212">
        <f t="shared" ref="B32:B35" si="5">B31+1</f>
        <v>3</v>
      </c>
      <c r="C32" s="213" t="str">
        <f t="shared" si="4"/>
        <v>Sala coubicación externa</v>
      </c>
      <c r="H32" s="357">
        <v>1</v>
      </c>
      <c r="I32" s="357">
        <v>0</v>
      </c>
      <c r="J32" s="357">
        <v>0</v>
      </c>
      <c r="K32" s="357">
        <v>0</v>
      </c>
    </row>
    <row r="33" spans="2:11" s="316" customFormat="1" x14ac:dyDescent="0.2">
      <c r="B33" s="212">
        <f t="shared" si="5"/>
        <v>4</v>
      </c>
      <c r="C33" s="213" t="str">
        <f t="shared" si="4"/>
        <v>Subestación electrica</v>
      </c>
      <c r="H33" s="357">
        <v>0</v>
      </c>
      <c r="I33" s="357">
        <v>1</v>
      </c>
      <c r="J33" s="357">
        <v>0</v>
      </c>
      <c r="K33" s="357">
        <v>0</v>
      </c>
    </row>
    <row r="34" spans="2:11" s="316" customFormat="1" x14ac:dyDescent="0.2">
      <c r="B34" s="212">
        <f t="shared" si="5"/>
        <v>5</v>
      </c>
      <c r="C34" s="213" t="str">
        <f t="shared" si="4"/>
        <v>Fuente de energia de respaldo (planta de emergencia)</v>
      </c>
      <c r="H34" s="357">
        <v>0</v>
      </c>
      <c r="I34" s="357">
        <v>0</v>
      </c>
      <c r="J34" s="357">
        <v>1</v>
      </c>
      <c r="K34" s="357">
        <v>0</v>
      </c>
    </row>
    <row r="35" spans="2:11" s="316" customFormat="1" x14ac:dyDescent="0.2">
      <c r="B35" s="212">
        <f t="shared" si="5"/>
        <v>6</v>
      </c>
      <c r="C35" s="213" t="str">
        <f t="shared" si="4"/>
        <v>Aire acondicionado</v>
      </c>
      <c r="H35" s="357">
        <v>0</v>
      </c>
      <c r="I35" s="357">
        <v>0</v>
      </c>
      <c r="J35" s="357">
        <v>0</v>
      </c>
      <c r="K35" s="357">
        <v>1</v>
      </c>
    </row>
    <row r="36" spans="2:11" s="316" customFormat="1" x14ac:dyDescent="0.2">
      <c r="C36" s="212"/>
      <c r="H36" s="362" t="s">
        <v>796</v>
      </c>
      <c r="I36" s="362" t="s">
        <v>797</v>
      </c>
      <c r="J36" s="362" t="s">
        <v>798</v>
      </c>
      <c r="K36" s="362" t="s">
        <v>799</v>
      </c>
    </row>
    <row r="37" spans="2:11" s="316" customFormat="1" x14ac:dyDescent="0.2">
      <c r="C37" s="144" t="s">
        <v>561</v>
      </c>
      <c r="H37" s="358"/>
      <c r="I37" s="358"/>
      <c r="J37" s="358"/>
      <c r="K37" s="358"/>
    </row>
    <row r="38" spans="2:11" s="316" customFormat="1" x14ac:dyDescent="0.2">
      <c r="B38" s="212">
        <v>1</v>
      </c>
      <c r="C38" s="213" t="str">
        <f t="shared" ref="C38:C47" si="6">INDEX(lista.componentes.central.telmex,B38)</f>
        <v>Sala MDF/ODF AEP</v>
      </c>
      <c r="H38" s="357">
        <v>1</v>
      </c>
      <c r="I38" s="357">
        <v>0</v>
      </c>
      <c r="J38" s="357">
        <v>0</v>
      </c>
      <c r="K38" s="357">
        <v>0</v>
      </c>
    </row>
    <row r="39" spans="2:11" s="316" customFormat="1" x14ac:dyDescent="0.2">
      <c r="B39" s="212">
        <f>B38+1</f>
        <v>2</v>
      </c>
      <c r="C39" s="213" t="str">
        <f t="shared" si="6"/>
        <v>Sala coubicación CS</v>
      </c>
      <c r="H39" s="357">
        <v>1</v>
      </c>
      <c r="I39" s="357">
        <v>0</v>
      </c>
      <c r="J39" s="357">
        <v>0</v>
      </c>
      <c r="K39" s="357">
        <v>0</v>
      </c>
    </row>
    <row r="40" spans="2:11" s="316" customFormat="1" x14ac:dyDescent="0.2">
      <c r="B40" s="212">
        <f>B39+1</f>
        <v>3</v>
      </c>
      <c r="C40" s="213" t="str">
        <f t="shared" si="6"/>
        <v>Sala de control</v>
      </c>
      <c r="H40" s="357">
        <v>1</v>
      </c>
      <c r="I40" s="357">
        <v>0</v>
      </c>
      <c r="J40" s="357">
        <v>0</v>
      </c>
      <c r="K40" s="357">
        <v>0</v>
      </c>
    </row>
    <row r="41" spans="2:11" s="316" customFormat="1" x14ac:dyDescent="0.2">
      <c r="B41" s="212">
        <f>B40+1</f>
        <v>4</v>
      </c>
      <c r="C41" s="213" t="str">
        <f t="shared" si="6"/>
        <v>Sala de switching del AEP</v>
      </c>
      <c r="H41" s="357">
        <v>1</v>
      </c>
      <c r="I41" s="357">
        <v>0</v>
      </c>
      <c r="J41" s="357">
        <v>0</v>
      </c>
      <c r="K41" s="357">
        <v>0</v>
      </c>
    </row>
    <row r="42" spans="2:11" s="316" customFormat="1" x14ac:dyDescent="0.2">
      <c r="B42" s="212">
        <f t="shared" ref="B42:B47" si="7">B41+1</f>
        <v>5</v>
      </c>
      <c r="C42" s="213" t="str">
        <f t="shared" si="6"/>
        <v>Sala equipos de transmisión del AEP</v>
      </c>
      <c r="H42" s="357">
        <v>1</v>
      </c>
      <c r="I42" s="357">
        <v>0</v>
      </c>
      <c r="J42" s="357">
        <v>0</v>
      </c>
      <c r="K42" s="357">
        <v>0</v>
      </c>
    </row>
    <row r="43" spans="2:11" s="316" customFormat="1" x14ac:dyDescent="0.2">
      <c r="B43" s="212">
        <f t="shared" si="7"/>
        <v>6</v>
      </c>
      <c r="C43" s="213" t="str">
        <f t="shared" si="6"/>
        <v>Sala subestacion electrica</v>
      </c>
      <c r="H43" s="357">
        <v>0</v>
      </c>
      <c r="I43" s="357">
        <v>1</v>
      </c>
      <c r="J43" s="357">
        <v>0</v>
      </c>
      <c r="K43" s="357">
        <v>0</v>
      </c>
    </row>
    <row r="44" spans="2:11" s="316" customFormat="1" x14ac:dyDescent="0.2">
      <c r="B44" s="212">
        <f t="shared" si="7"/>
        <v>7</v>
      </c>
      <c r="C44" s="213" t="str">
        <f t="shared" si="6"/>
        <v>Sala planta de emergencia</v>
      </c>
      <c r="H44" s="311">
        <f>IF(solicitacion.fuente.energia.respaldo.activo.CS1=TRUE,0,1)</f>
        <v>1</v>
      </c>
      <c r="I44" s="357">
        <v>0</v>
      </c>
      <c r="J44" s="311">
        <f>IF(solicitacion.fuente.energia.respaldo.activo.CS1=TRUE,1,0)</f>
        <v>0</v>
      </c>
      <c r="K44" s="357">
        <v>0</v>
      </c>
    </row>
    <row r="45" spans="2:11" s="316" customFormat="1" x14ac:dyDescent="0.2">
      <c r="B45" s="212">
        <f t="shared" si="7"/>
        <v>8</v>
      </c>
      <c r="C45" s="213" t="str">
        <f t="shared" si="6"/>
        <v>Sala baterias</v>
      </c>
      <c r="H45" s="311">
        <f>IF(solicitacion.fuente.energia.respaldo.activo.CS1=TRUE,0,1)</f>
        <v>1</v>
      </c>
      <c r="I45" s="357">
        <v>0</v>
      </c>
      <c r="J45" s="311">
        <f>IF(solicitacion.fuente.energia.respaldo.activo.CS1=TRUE,1,0)</f>
        <v>0</v>
      </c>
      <c r="K45" s="357">
        <v>0</v>
      </c>
    </row>
    <row r="46" spans="2:11" s="316" customFormat="1" x14ac:dyDescent="0.2">
      <c r="B46" s="212">
        <f t="shared" si="7"/>
        <v>9</v>
      </c>
      <c r="C46" s="213" t="str">
        <f t="shared" si="6"/>
        <v>Espacio de overheads</v>
      </c>
      <c r="H46" s="357">
        <v>1</v>
      </c>
      <c r="I46" s="357">
        <v>0</v>
      </c>
      <c r="J46" s="357">
        <v>0</v>
      </c>
      <c r="K46" s="357">
        <v>0</v>
      </c>
    </row>
    <row r="47" spans="2:11" s="316" customFormat="1" x14ac:dyDescent="0.2">
      <c r="B47" s="212">
        <f t="shared" si="7"/>
        <v>10</v>
      </c>
      <c r="C47" s="213" t="str">
        <f t="shared" si="6"/>
        <v>espacio vacante</v>
      </c>
      <c r="H47" s="357"/>
      <c r="I47" s="357"/>
      <c r="J47" s="357"/>
      <c r="K47" s="357"/>
    </row>
    <row r="48" spans="2:11" s="316" customFormat="1" x14ac:dyDescent="0.2"/>
    <row r="49" spans="2:11" s="316" customFormat="1" ht="24" x14ac:dyDescent="0.2">
      <c r="C49" s="214" t="s">
        <v>439</v>
      </c>
      <c r="F49" s="214" t="s">
        <v>774</v>
      </c>
      <c r="G49" s="214"/>
      <c r="H49" s="244" t="str">
        <f t="array" ref="H49:K49">TRANSPOSE(lista.servicios)</f>
        <v>Coubicación (CI/CE)</v>
      </c>
      <c r="I49" s="244" t="str">
        <v>Subestación electrica</v>
      </c>
      <c r="J49" s="244" t="str">
        <v>Fuente de energia de respaldo</v>
      </c>
      <c r="K49" s="244" t="str">
        <v>Aire acondicionado</v>
      </c>
    </row>
    <row r="50" spans="2:11" s="316" customFormat="1" x14ac:dyDescent="0.2">
      <c r="C50" s="144" t="s">
        <v>164</v>
      </c>
    </row>
    <row r="51" spans="2:11" s="316" customFormat="1" x14ac:dyDescent="0.2">
      <c r="B51" s="212">
        <v>1</v>
      </c>
      <c r="C51" s="213" t="str">
        <f t="shared" ref="C51:C56" si="8">INDEX(lista.activos,B51)</f>
        <v>Predio</v>
      </c>
      <c r="H51" s="357">
        <v>1</v>
      </c>
      <c r="I51" s="357">
        <v>0</v>
      </c>
      <c r="J51" s="357">
        <v>0</v>
      </c>
      <c r="K51" s="357">
        <v>0</v>
      </c>
    </row>
    <row r="52" spans="2:11" s="316" customFormat="1" x14ac:dyDescent="0.2">
      <c r="B52" s="212">
        <f>B51+1</f>
        <v>2</v>
      </c>
      <c r="C52" s="213" t="str">
        <f t="shared" si="8"/>
        <v>Central del AEP</v>
      </c>
      <c r="H52" s="303">
        <f>(SUMPRODUCT(H$59:H$68,$H$154:$H$163)/SUM($H$154:$H$163))*((1-$K52)/1)</f>
        <v>0.74235832128221513</v>
      </c>
      <c r="I52" s="303">
        <f>(SUMPRODUCT(I$59:I$68,$H$154:$H$163)/SUM($H$154:$H$163))*((1-$K52)/1)</f>
        <v>0.20764167871778483</v>
      </c>
      <c r="J52" s="303">
        <f>(SUMPRODUCT(J$59:J$68,$H$154:$H$163)/SUM($H$154:$H$163))*((1-$K52)/1)</f>
        <v>0</v>
      </c>
      <c r="K52" s="365">
        <f>aire.acondicionado.espacio.maniobra</f>
        <v>0.05</v>
      </c>
    </row>
    <row r="53" spans="2:11" s="316" customFormat="1" x14ac:dyDescent="0.2">
      <c r="B53" s="212">
        <f t="shared" ref="B53:B56" si="9">B52+1</f>
        <v>3</v>
      </c>
      <c r="C53" s="213" t="str">
        <f t="shared" si="8"/>
        <v>Sala coubicación externa</v>
      </c>
      <c r="H53" s="357">
        <v>1</v>
      </c>
      <c r="I53" s="357">
        <v>0</v>
      </c>
      <c r="J53" s="357">
        <v>0</v>
      </c>
      <c r="K53" s="357">
        <v>0</v>
      </c>
    </row>
    <row r="54" spans="2:11" s="316" customFormat="1" x14ac:dyDescent="0.2">
      <c r="B54" s="212">
        <f t="shared" si="9"/>
        <v>4</v>
      </c>
      <c r="C54" s="213" t="str">
        <f t="shared" si="8"/>
        <v>Subestación electrica</v>
      </c>
      <c r="H54" s="357">
        <v>0</v>
      </c>
      <c r="I54" s="357">
        <v>1</v>
      </c>
      <c r="J54" s="357">
        <v>0</v>
      </c>
      <c r="K54" s="357">
        <v>0</v>
      </c>
    </row>
    <row r="55" spans="2:11" s="316" customFormat="1" x14ac:dyDescent="0.2">
      <c r="B55" s="212">
        <f t="shared" si="9"/>
        <v>5</v>
      </c>
      <c r="C55" s="213" t="str">
        <f t="shared" si="8"/>
        <v>Fuente de energia de respaldo (planta de emergencia)</v>
      </c>
      <c r="H55" s="357">
        <v>0</v>
      </c>
      <c r="I55" s="357">
        <v>0</v>
      </c>
      <c r="J55" s="357">
        <v>1</v>
      </c>
      <c r="K55" s="357">
        <v>0</v>
      </c>
    </row>
    <row r="56" spans="2:11" s="316" customFormat="1" x14ac:dyDescent="0.2">
      <c r="B56" s="212">
        <f t="shared" si="9"/>
        <v>6</v>
      </c>
      <c r="C56" s="213" t="str">
        <f t="shared" si="8"/>
        <v>Aire acondicionado</v>
      </c>
      <c r="H56" s="357">
        <v>0</v>
      </c>
      <c r="I56" s="357">
        <v>0</v>
      </c>
      <c r="J56" s="357">
        <v>0</v>
      </c>
      <c r="K56" s="357">
        <v>1</v>
      </c>
    </row>
    <row r="57" spans="2:11" s="316" customFormat="1" x14ac:dyDescent="0.2">
      <c r="C57" s="212"/>
      <c r="H57" s="362" t="s">
        <v>800</v>
      </c>
      <c r="I57" s="362" t="s">
        <v>801</v>
      </c>
      <c r="J57" s="362" t="s">
        <v>802</v>
      </c>
      <c r="K57" s="362" t="s">
        <v>803</v>
      </c>
    </row>
    <row r="58" spans="2:11" s="316" customFormat="1" x14ac:dyDescent="0.2">
      <c r="C58" s="144" t="s">
        <v>561</v>
      </c>
      <c r="H58" s="358"/>
      <c r="I58" s="358"/>
      <c r="J58" s="358"/>
      <c r="K58" s="358"/>
    </row>
    <row r="59" spans="2:11" s="316" customFormat="1" x14ac:dyDescent="0.2">
      <c r="B59" s="212">
        <v>1</v>
      </c>
      <c r="C59" s="213" t="str">
        <f t="shared" ref="C59:C68" si="10">INDEX(lista.componentes.central.telmex,B59)</f>
        <v>Sala MDF/ODF AEP</v>
      </c>
      <c r="H59" s="357">
        <v>1</v>
      </c>
      <c r="I59" s="357">
        <v>0</v>
      </c>
      <c r="J59" s="357">
        <v>0</v>
      </c>
      <c r="K59" s="357">
        <v>0</v>
      </c>
    </row>
    <row r="60" spans="2:11" s="316" customFormat="1" x14ac:dyDescent="0.2">
      <c r="B60" s="212">
        <f>B59+1</f>
        <v>2</v>
      </c>
      <c r="C60" s="213" t="str">
        <f t="shared" si="10"/>
        <v>Sala coubicación CS</v>
      </c>
      <c r="H60" s="357">
        <v>1</v>
      </c>
      <c r="I60" s="357">
        <v>0</v>
      </c>
      <c r="J60" s="357">
        <v>0</v>
      </c>
      <c r="K60" s="357">
        <v>0</v>
      </c>
    </row>
    <row r="61" spans="2:11" s="316" customFormat="1" x14ac:dyDescent="0.2">
      <c r="B61" s="212">
        <f>B60+1</f>
        <v>3</v>
      </c>
      <c r="C61" s="213" t="str">
        <f t="shared" si="10"/>
        <v>Sala de control</v>
      </c>
      <c r="H61" s="357">
        <v>1</v>
      </c>
      <c r="I61" s="357">
        <v>0</v>
      </c>
      <c r="J61" s="357">
        <v>0</v>
      </c>
      <c r="K61" s="357">
        <v>0</v>
      </c>
    </row>
    <row r="62" spans="2:11" s="316" customFormat="1" x14ac:dyDescent="0.2">
      <c r="B62" s="212">
        <f>B61+1</f>
        <v>4</v>
      </c>
      <c r="C62" s="213" t="str">
        <f t="shared" si="10"/>
        <v>Sala de switching del AEP</v>
      </c>
      <c r="H62" s="357">
        <v>1</v>
      </c>
      <c r="I62" s="357">
        <v>0</v>
      </c>
      <c r="J62" s="357">
        <v>0</v>
      </c>
      <c r="K62" s="357">
        <v>0</v>
      </c>
    </row>
    <row r="63" spans="2:11" s="316" customFormat="1" x14ac:dyDescent="0.2">
      <c r="B63" s="212">
        <f t="shared" ref="B63:B68" si="11">B62+1</f>
        <v>5</v>
      </c>
      <c r="C63" s="213" t="str">
        <f t="shared" si="10"/>
        <v>Sala equipos de transmisión del AEP</v>
      </c>
      <c r="H63" s="357">
        <v>1</v>
      </c>
      <c r="I63" s="357">
        <v>0</v>
      </c>
      <c r="J63" s="357">
        <v>0</v>
      </c>
      <c r="K63" s="357">
        <v>0</v>
      </c>
    </row>
    <row r="64" spans="2:11" s="316" customFormat="1" x14ac:dyDescent="0.2">
      <c r="B64" s="212">
        <f t="shared" si="11"/>
        <v>6</v>
      </c>
      <c r="C64" s="213" t="str">
        <f t="shared" si="10"/>
        <v>Sala subestacion electrica</v>
      </c>
      <c r="H64" s="357">
        <v>0</v>
      </c>
      <c r="I64" s="357">
        <v>1</v>
      </c>
      <c r="J64" s="357">
        <v>0</v>
      </c>
      <c r="K64" s="357">
        <v>0</v>
      </c>
    </row>
    <row r="65" spans="2:11" s="316" customFormat="1" x14ac:dyDescent="0.2">
      <c r="B65" s="212">
        <f t="shared" si="11"/>
        <v>7</v>
      </c>
      <c r="C65" s="213" t="str">
        <f t="shared" si="10"/>
        <v>Sala planta de emergencia</v>
      </c>
      <c r="H65" s="311">
        <f>IF(solicitacion.fuente.energia.respaldo.activo.CS2=TRUE,0,1)</f>
        <v>1</v>
      </c>
      <c r="I65" s="357">
        <v>0</v>
      </c>
      <c r="J65" s="311">
        <f>IF(solicitacion.fuente.energia.respaldo.activo.CS2=TRUE,1,0)</f>
        <v>0</v>
      </c>
      <c r="K65" s="357">
        <v>0</v>
      </c>
    </row>
    <row r="66" spans="2:11" s="316" customFormat="1" x14ac:dyDescent="0.2">
      <c r="B66" s="212">
        <f t="shared" si="11"/>
        <v>8</v>
      </c>
      <c r="C66" s="213" t="str">
        <f t="shared" si="10"/>
        <v>Sala baterias</v>
      </c>
      <c r="H66" s="311">
        <f>IF(solicitacion.fuente.energia.respaldo.activo.CS2=TRUE,0,1)</f>
        <v>1</v>
      </c>
      <c r="I66" s="357">
        <v>0</v>
      </c>
      <c r="J66" s="311">
        <f>IF(solicitacion.fuente.energia.respaldo.activo.CS2=TRUE,1,0)</f>
        <v>0</v>
      </c>
      <c r="K66" s="357">
        <v>0</v>
      </c>
    </row>
    <row r="67" spans="2:11" s="316" customFormat="1" x14ac:dyDescent="0.2">
      <c r="B67" s="212">
        <f t="shared" si="11"/>
        <v>9</v>
      </c>
      <c r="C67" s="213" t="str">
        <f t="shared" si="10"/>
        <v>Espacio de overheads</v>
      </c>
      <c r="H67" s="357">
        <v>1</v>
      </c>
      <c r="I67" s="357">
        <v>0</v>
      </c>
      <c r="J67" s="357">
        <v>0</v>
      </c>
      <c r="K67" s="357">
        <v>0</v>
      </c>
    </row>
    <row r="68" spans="2:11" s="316" customFormat="1" x14ac:dyDescent="0.2">
      <c r="B68" s="212">
        <f t="shared" si="11"/>
        <v>10</v>
      </c>
      <c r="C68" s="213" t="str">
        <f t="shared" si="10"/>
        <v>espacio vacante</v>
      </c>
      <c r="H68" s="357"/>
      <c r="I68" s="357"/>
      <c r="J68" s="357"/>
      <c r="K68" s="357"/>
    </row>
    <row r="69" spans="2:11" s="316" customFormat="1" x14ac:dyDescent="0.2"/>
    <row r="70" spans="2:11" s="316" customFormat="1" ht="24" x14ac:dyDescent="0.2">
      <c r="C70" s="214" t="s">
        <v>440</v>
      </c>
      <c r="F70" s="214" t="s">
        <v>774</v>
      </c>
      <c r="G70" s="214"/>
      <c r="H70" s="244" t="str">
        <f t="array" ref="H70:K70">TRANSPOSE(lista.servicios)</f>
        <v>Coubicación (CI/CE)</v>
      </c>
      <c r="I70" s="244" t="str">
        <v>Subestación electrica</v>
      </c>
      <c r="J70" s="244" t="str">
        <v>Fuente de energia de respaldo</v>
      </c>
      <c r="K70" s="244" t="str">
        <v>Aire acondicionado</v>
      </c>
    </row>
    <row r="71" spans="2:11" s="316" customFormat="1" x14ac:dyDescent="0.2">
      <c r="C71" s="144" t="s">
        <v>164</v>
      </c>
    </row>
    <row r="72" spans="2:11" s="316" customFormat="1" x14ac:dyDescent="0.2">
      <c r="B72" s="212">
        <v>1</v>
      </c>
      <c r="C72" s="213" t="str">
        <f t="shared" ref="C72:C77" si="12">INDEX(lista.activos,B72)</f>
        <v>Predio</v>
      </c>
      <c r="H72" s="357">
        <v>1</v>
      </c>
      <c r="I72" s="357">
        <v>0</v>
      </c>
      <c r="J72" s="357">
        <v>0</v>
      </c>
      <c r="K72" s="357">
        <v>0</v>
      </c>
    </row>
    <row r="73" spans="2:11" s="316" customFormat="1" x14ac:dyDescent="0.2">
      <c r="B73" s="212">
        <f>B72+1</f>
        <v>2</v>
      </c>
      <c r="C73" s="213" t="str">
        <f t="shared" si="12"/>
        <v>Central del AEP</v>
      </c>
      <c r="H73" s="303">
        <f>(SUMPRODUCT(H$80:H$89,$H$154:$H$163)/SUM($H$154:$H$163))*((1-$K73)/1)</f>
        <v>0.74235832128221513</v>
      </c>
      <c r="I73" s="303">
        <f>(SUMPRODUCT(I$80:I$89,$H$154:$H$163)/SUM($H$154:$H$163))*((1-$K73)/1)</f>
        <v>0.20764167871778483</v>
      </c>
      <c r="J73" s="303">
        <f>(SUMPRODUCT(J$80:J$89,$H$154:$H$163)/SUM($H$154:$H$163))*((1-$K73)/1)</f>
        <v>0</v>
      </c>
      <c r="K73" s="365">
        <f>aire.acondicionado.espacio.maniobra</f>
        <v>0.05</v>
      </c>
    </row>
    <row r="74" spans="2:11" s="316" customFormat="1" x14ac:dyDescent="0.2">
      <c r="B74" s="212">
        <f t="shared" ref="B74:B77" si="13">B73+1</f>
        <v>3</v>
      </c>
      <c r="C74" s="213" t="str">
        <f t="shared" si="12"/>
        <v>Sala coubicación externa</v>
      </c>
      <c r="H74" s="357">
        <v>1</v>
      </c>
      <c r="I74" s="357">
        <v>0</v>
      </c>
      <c r="J74" s="357">
        <v>0</v>
      </c>
      <c r="K74" s="357">
        <v>0</v>
      </c>
    </row>
    <row r="75" spans="2:11" s="316" customFormat="1" x14ac:dyDescent="0.2">
      <c r="B75" s="212">
        <f t="shared" si="13"/>
        <v>4</v>
      </c>
      <c r="C75" s="213" t="str">
        <f t="shared" si="12"/>
        <v>Subestación electrica</v>
      </c>
      <c r="H75" s="357">
        <v>0</v>
      </c>
      <c r="I75" s="357">
        <v>1</v>
      </c>
      <c r="J75" s="357">
        <v>0</v>
      </c>
      <c r="K75" s="357">
        <v>0</v>
      </c>
    </row>
    <row r="76" spans="2:11" s="316" customFormat="1" x14ac:dyDescent="0.2">
      <c r="B76" s="212">
        <f t="shared" si="13"/>
        <v>5</v>
      </c>
      <c r="C76" s="213" t="str">
        <f t="shared" si="12"/>
        <v>Fuente de energia de respaldo (planta de emergencia)</v>
      </c>
      <c r="H76" s="357">
        <v>0</v>
      </c>
      <c r="I76" s="357">
        <v>0</v>
      </c>
      <c r="J76" s="357">
        <v>1</v>
      </c>
      <c r="K76" s="357">
        <v>0</v>
      </c>
    </row>
    <row r="77" spans="2:11" s="316" customFormat="1" x14ac:dyDescent="0.2">
      <c r="B77" s="212">
        <f t="shared" si="13"/>
        <v>6</v>
      </c>
      <c r="C77" s="213" t="str">
        <f t="shared" si="12"/>
        <v>Aire acondicionado</v>
      </c>
      <c r="H77" s="357">
        <v>0</v>
      </c>
      <c r="I77" s="357">
        <v>0</v>
      </c>
      <c r="J77" s="357">
        <v>0</v>
      </c>
      <c r="K77" s="357">
        <v>1</v>
      </c>
    </row>
    <row r="78" spans="2:11" s="316" customFormat="1" x14ac:dyDescent="0.2">
      <c r="C78" s="212"/>
      <c r="H78" s="362" t="s">
        <v>804</v>
      </c>
      <c r="I78" s="362" t="s">
        <v>805</v>
      </c>
      <c r="J78" s="362" t="s">
        <v>806</v>
      </c>
      <c r="K78" s="362" t="s">
        <v>807</v>
      </c>
    </row>
    <row r="79" spans="2:11" s="316" customFormat="1" x14ac:dyDescent="0.2">
      <c r="C79" s="144" t="s">
        <v>561</v>
      </c>
      <c r="H79" s="358"/>
      <c r="I79" s="358"/>
      <c r="J79" s="358"/>
      <c r="K79" s="358"/>
    </row>
    <row r="80" spans="2:11" s="316" customFormat="1" x14ac:dyDescent="0.2">
      <c r="B80" s="212">
        <v>1</v>
      </c>
      <c r="C80" s="213" t="str">
        <f t="shared" ref="C80:C89" si="14">INDEX(lista.componentes.central.telmex,B80)</f>
        <v>Sala MDF/ODF AEP</v>
      </c>
      <c r="H80" s="357">
        <v>1</v>
      </c>
      <c r="I80" s="357">
        <v>0</v>
      </c>
      <c r="J80" s="357">
        <v>0</v>
      </c>
      <c r="K80" s="357">
        <v>0</v>
      </c>
    </row>
    <row r="81" spans="1:23" s="316" customFormat="1" x14ac:dyDescent="0.2">
      <c r="B81" s="212">
        <f>B80+1</f>
        <v>2</v>
      </c>
      <c r="C81" s="213" t="str">
        <f t="shared" si="14"/>
        <v>Sala coubicación CS</v>
      </c>
      <c r="H81" s="357">
        <v>1</v>
      </c>
      <c r="I81" s="357">
        <v>0</v>
      </c>
      <c r="J81" s="357">
        <v>0</v>
      </c>
      <c r="K81" s="357">
        <v>0</v>
      </c>
    </row>
    <row r="82" spans="1:23" s="316" customFormat="1" x14ac:dyDescent="0.2">
      <c r="B82" s="212">
        <f>B81+1</f>
        <v>3</v>
      </c>
      <c r="C82" s="213" t="str">
        <f t="shared" si="14"/>
        <v>Sala de control</v>
      </c>
      <c r="H82" s="357">
        <v>1</v>
      </c>
      <c r="I82" s="357">
        <v>0</v>
      </c>
      <c r="J82" s="357">
        <v>0</v>
      </c>
      <c r="K82" s="357">
        <v>0</v>
      </c>
    </row>
    <row r="83" spans="1:23" s="316" customFormat="1" x14ac:dyDescent="0.2">
      <c r="B83" s="212">
        <f>B82+1</f>
        <v>4</v>
      </c>
      <c r="C83" s="213" t="str">
        <f t="shared" si="14"/>
        <v>Sala de switching del AEP</v>
      </c>
      <c r="H83" s="357">
        <v>1</v>
      </c>
      <c r="I83" s="357">
        <v>0</v>
      </c>
      <c r="J83" s="357">
        <v>0</v>
      </c>
      <c r="K83" s="357">
        <v>0</v>
      </c>
    </row>
    <row r="84" spans="1:23" s="316" customFormat="1" x14ac:dyDescent="0.2">
      <c r="B84" s="212">
        <f t="shared" ref="B84:B89" si="15">B83+1</f>
        <v>5</v>
      </c>
      <c r="C84" s="213" t="str">
        <f t="shared" si="14"/>
        <v>Sala equipos de transmisión del AEP</v>
      </c>
      <c r="H84" s="357">
        <v>1</v>
      </c>
      <c r="I84" s="357">
        <v>0</v>
      </c>
      <c r="J84" s="357">
        <v>0</v>
      </c>
      <c r="K84" s="357">
        <v>0</v>
      </c>
    </row>
    <row r="85" spans="1:23" s="316" customFormat="1" x14ac:dyDescent="0.2">
      <c r="B85" s="212">
        <f t="shared" si="15"/>
        <v>6</v>
      </c>
      <c r="C85" s="213" t="str">
        <f t="shared" si="14"/>
        <v>Sala subestacion electrica</v>
      </c>
      <c r="H85" s="357">
        <v>0</v>
      </c>
      <c r="I85" s="357">
        <v>1</v>
      </c>
      <c r="J85" s="357">
        <v>0</v>
      </c>
      <c r="K85" s="357">
        <v>0</v>
      </c>
    </row>
    <row r="86" spans="1:23" s="316" customFormat="1" x14ac:dyDescent="0.2">
      <c r="B86" s="212">
        <f t="shared" si="15"/>
        <v>7</v>
      </c>
      <c r="C86" s="213" t="str">
        <f t="shared" si="14"/>
        <v>Sala planta de emergencia</v>
      </c>
      <c r="H86" s="311">
        <f>IF(solicitacion.fuente.energia.respaldo.activo.CS3=TRUE,0,1)</f>
        <v>1</v>
      </c>
      <c r="I86" s="357">
        <v>0</v>
      </c>
      <c r="J86" s="311">
        <f>IF(solicitacion.fuente.energia.respaldo.activo.CS3=TRUE,1,0)</f>
        <v>0</v>
      </c>
      <c r="K86" s="357">
        <v>0</v>
      </c>
    </row>
    <row r="87" spans="1:23" s="316" customFormat="1" x14ac:dyDescent="0.2">
      <c r="B87" s="212">
        <f t="shared" si="15"/>
        <v>8</v>
      </c>
      <c r="C87" s="213" t="str">
        <f t="shared" si="14"/>
        <v>Sala baterias</v>
      </c>
      <c r="H87" s="311">
        <f>IF(solicitacion.fuente.energia.respaldo.activo.CS3=TRUE,0,1)</f>
        <v>1</v>
      </c>
      <c r="I87" s="357">
        <v>0</v>
      </c>
      <c r="J87" s="311">
        <f>IF(solicitacion.fuente.energia.respaldo.activo.CS3=TRUE,1,0)</f>
        <v>0</v>
      </c>
      <c r="K87" s="357">
        <v>0</v>
      </c>
    </row>
    <row r="88" spans="1:23" s="316" customFormat="1" x14ac:dyDescent="0.2">
      <c r="B88" s="212">
        <f t="shared" si="15"/>
        <v>9</v>
      </c>
      <c r="C88" s="213" t="str">
        <f t="shared" si="14"/>
        <v>Espacio de overheads</v>
      </c>
      <c r="H88" s="357">
        <v>1</v>
      </c>
      <c r="I88" s="357">
        <v>0</v>
      </c>
      <c r="J88" s="357">
        <v>0</v>
      </c>
      <c r="K88" s="357">
        <v>0</v>
      </c>
    </row>
    <row r="89" spans="1:23" s="316" customFormat="1" x14ac:dyDescent="0.2">
      <c r="B89" s="212">
        <f t="shared" si="15"/>
        <v>10</v>
      </c>
      <c r="C89" s="213" t="str">
        <f t="shared" si="14"/>
        <v>espacio vacante</v>
      </c>
      <c r="H89" s="357"/>
      <c r="I89" s="357"/>
      <c r="J89" s="357"/>
      <c r="K89" s="357"/>
    </row>
    <row r="90" spans="1:23" s="316" customFormat="1" x14ac:dyDescent="0.2"/>
    <row r="91" spans="1:23" x14ac:dyDescent="0.2">
      <c r="A91" s="217" t="s">
        <v>426</v>
      </c>
      <c r="B91" s="211"/>
      <c r="C91" s="211"/>
      <c r="D91" s="211"/>
      <c r="E91" s="211"/>
      <c r="F91" s="211"/>
      <c r="G91" s="211"/>
      <c r="H91" s="221"/>
      <c r="I91" s="221"/>
      <c r="J91" s="211"/>
      <c r="K91" s="211"/>
      <c r="L91" s="211"/>
      <c r="M91" s="211"/>
      <c r="N91" s="211"/>
      <c r="O91" s="211"/>
      <c r="P91" s="211"/>
      <c r="Q91" s="211"/>
      <c r="R91" s="211"/>
      <c r="S91" s="211"/>
      <c r="T91" s="211"/>
      <c r="U91" s="211"/>
      <c r="V91" s="211"/>
      <c r="W91" s="211"/>
    </row>
    <row r="92" spans="1:23" x14ac:dyDescent="0.2">
      <c r="A92" s="204"/>
      <c r="B92" s="190" t="s">
        <v>427</v>
      </c>
      <c r="C92" s="190"/>
      <c r="D92" s="190"/>
      <c r="E92" s="190"/>
      <c r="F92" s="190"/>
      <c r="G92" s="190"/>
      <c r="H92" s="190"/>
      <c r="I92" s="190"/>
      <c r="J92" s="190"/>
      <c r="K92" s="190"/>
      <c r="L92" s="190"/>
      <c r="M92" s="190"/>
      <c r="N92" s="190"/>
      <c r="O92" s="190"/>
      <c r="P92" s="190"/>
      <c r="Q92" s="190"/>
      <c r="R92" s="190"/>
      <c r="S92" s="190"/>
      <c r="T92" s="190"/>
      <c r="U92" s="190"/>
      <c r="V92" s="190"/>
      <c r="W92" s="190"/>
    </row>
    <row r="93" spans="1:23" x14ac:dyDescent="0.2">
      <c r="H93" s="203" t="s">
        <v>428</v>
      </c>
      <c r="I93" s="203" t="s">
        <v>396</v>
      </c>
      <c r="J93" s="144" t="s">
        <v>261</v>
      </c>
      <c r="K93" s="233" t="s">
        <v>168</v>
      </c>
      <c r="L93" s="232" t="s">
        <v>429</v>
      </c>
      <c r="M93" s="204"/>
      <c r="N93" s="214" t="s">
        <v>430</v>
      </c>
      <c r="O93" s="214" t="s">
        <v>431</v>
      </c>
      <c r="P93" s="214" t="s">
        <v>432</v>
      </c>
      <c r="Q93" s="214"/>
      <c r="R93" s="203" t="s">
        <v>428</v>
      </c>
      <c r="S93" s="203" t="s">
        <v>396</v>
      </c>
      <c r="T93" s="144" t="s">
        <v>754</v>
      </c>
      <c r="U93" s="233" t="s">
        <v>168</v>
      </c>
    </row>
    <row r="94" spans="1:23" x14ac:dyDescent="0.2">
      <c r="C94" s="144" t="s">
        <v>164</v>
      </c>
      <c r="E94" s="232" t="s">
        <v>263</v>
      </c>
      <c r="H94" s="245">
        <f>SUM(H95:H100)</f>
        <v>409161.71022493311</v>
      </c>
      <c r="I94" s="245">
        <f t="shared" ref="I94:J94" si="16">SUM(I95:I100)</f>
        <v>294227.57226674468</v>
      </c>
      <c r="J94" s="245">
        <f t="shared" si="16"/>
        <v>703389.28249167767</v>
      </c>
      <c r="K94" s="233" t="b">
        <f>ROUND(J94, 2)=ROUND(SUM(H94:I94), 2)</f>
        <v>1</v>
      </c>
      <c r="R94" s="245">
        <f>SUM(R95:R100)</f>
        <v>409161.71022493311</v>
      </c>
      <c r="S94" s="245">
        <f t="shared" ref="S94" si="17">SUM(S95:S100)</f>
        <v>294227.57226674468</v>
      </c>
      <c r="T94" s="245">
        <f t="shared" ref="T94" si="18">SUM(T95:T100)</f>
        <v>703389.28249167767</v>
      </c>
      <c r="U94" s="233" t="b">
        <f>ROUND(T94, 2)=ROUND(SUM(R94:S94), 2)</f>
        <v>1</v>
      </c>
    </row>
    <row r="95" spans="1:23" x14ac:dyDescent="0.2">
      <c r="B95" s="212">
        <v>1</v>
      </c>
      <c r="C95" s="213" t="str">
        <f t="shared" ref="C95:C100" si="19">INDEX(lista.activos,B95)</f>
        <v>Predio</v>
      </c>
      <c r="E95" s="213" t="str">
        <f>$E$94</f>
        <v>MXN/año</v>
      </c>
      <c r="H95" s="234">
        <f>capex.predio</f>
        <v>6154.1067334223371</v>
      </c>
      <c r="I95" s="234">
        <f>opex.predio</f>
        <v>0</v>
      </c>
      <c r="J95" s="228">
        <f>SUM(H95:I95)</f>
        <v>6154.1067334223371</v>
      </c>
      <c r="K95" s="212" t="b">
        <f>J95=gasto.anual.predio</f>
        <v>1</v>
      </c>
      <c r="L95" s="208" t="b">
        <v>1</v>
      </c>
      <c r="N95" s="213" t="b">
        <f>L95</f>
        <v>1</v>
      </c>
      <c r="O95" s="215" t="b">
        <f>IF(numero.CS.activo&gt;=2,L95,FALSE)</f>
        <v>0</v>
      </c>
      <c r="P95" s="215" t="b">
        <f t="shared" ref="P95:P100" si="20">IF(numero.CS.activo=3,L95,FALSE)</f>
        <v>0</v>
      </c>
      <c r="R95" s="228">
        <f>H95*$L95</f>
        <v>6154.1067334223371</v>
      </c>
      <c r="S95" s="228">
        <f t="shared" ref="S95:T95" si="21">I95*$L95</f>
        <v>0</v>
      </c>
      <c r="T95" s="228">
        <f t="shared" si="21"/>
        <v>6154.1067334223371</v>
      </c>
      <c r="U95" s="212" t="b">
        <f>T95=J95*L95</f>
        <v>1</v>
      </c>
    </row>
    <row r="96" spans="1:23" x14ac:dyDescent="0.2">
      <c r="B96" s="212">
        <f>B95+1</f>
        <v>2</v>
      </c>
      <c r="C96" s="213" t="str">
        <f t="shared" si="19"/>
        <v>Central del AEP</v>
      </c>
      <c r="E96" s="213" t="str">
        <f t="shared" ref="E96:E100" si="22">$E$94</f>
        <v>MXN/año</v>
      </c>
      <c r="H96" s="234">
        <f>capex.central.telmex</f>
        <v>220874.02866002271</v>
      </c>
      <c r="I96" s="234">
        <f>opex.central.telmex</f>
        <v>246067.0695839448</v>
      </c>
      <c r="J96" s="228">
        <f t="shared" ref="J96:J100" si="23">SUM(H96:I96)</f>
        <v>466941.09824396751</v>
      </c>
      <c r="K96" s="212" t="b">
        <f>J96=gasto.anual.central.telmex</f>
        <v>1</v>
      </c>
      <c r="L96" s="208" t="b">
        <v>1</v>
      </c>
      <c r="N96" s="213" t="b">
        <f t="shared" ref="N96:N100" si="24">L96</f>
        <v>1</v>
      </c>
      <c r="O96" s="215" t="b">
        <f>IF(numero.CS.activo&gt;=2,N96,FALSE)</f>
        <v>0</v>
      </c>
      <c r="P96" s="215" t="b">
        <f t="shared" si="20"/>
        <v>0</v>
      </c>
      <c r="R96" s="228">
        <f t="shared" ref="R96:R100" si="25">H96*$L96</f>
        <v>220874.02866002271</v>
      </c>
      <c r="S96" s="228">
        <f t="shared" ref="S96:S100" si="26">I96*$L96</f>
        <v>246067.0695839448</v>
      </c>
      <c r="T96" s="228">
        <f t="shared" ref="T96:T100" si="27">J96*$L96</f>
        <v>466941.09824396751</v>
      </c>
      <c r="U96" s="212" t="b">
        <f t="shared" ref="U96:U100" si="28">T96=J96*L96</f>
        <v>1</v>
      </c>
    </row>
    <row r="97" spans="1:23" x14ac:dyDescent="0.2">
      <c r="B97" s="212">
        <f t="shared" ref="B97:B100" si="29">B96+1</f>
        <v>3</v>
      </c>
      <c r="C97" s="213" t="str">
        <f t="shared" si="19"/>
        <v>Sala coubicación externa</v>
      </c>
      <c r="E97" s="213" t="str">
        <f t="shared" si="22"/>
        <v>MXN/año</v>
      </c>
      <c r="H97" s="234">
        <f>capex.sala.coubicacion.externa</f>
        <v>0</v>
      </c>
      <c r="I97" s="234">
        <f>opex.sala.coubicacion.externa</f>
        <v>0</v>
      </c>
      <c r="J97" s="228">
        <f t="shared" si="23"/>
        <v>0</v>
      </c>
      <c r="K97" s="212" t="b">
        <f>J97=gasto.anual.sala.coubicacion.externa</f>
        <v>1</v>
      </c>
      <c r="L97" s="208" t="b">
        <v>1</v>
      </c>
      <c r="N97" s="213" t="b">
        <f t="shared" si="24"/>
        <v>1</v>
      </c>
      <c r="O97" s="215" t="b">
        <f>IF(numero.CS.activo&gt;=2,N97,FALSE)</f>
        <v>0</v>
      </c>
      <c r="P97" s="215" t="b">
        <f t="shared" si="20"/>
        <v>0</v>
      </c>
      <c r="R97" s="228">
        <f t="shared" si="25"/>
        <v>0</v>
      </c>
      <c r="S97" s="228">
        <f t="shared" si="26"/>
        <v>0</v>
      </c>
      <c r="T97" s="228">
        <f t="shared" si="27"/>
        <v>0</v>
      </c>
      <c r="U97" s="212" t="b">
        <f t="shared" si="28"/>
        <v>1</v>
      </c>
    </row>
    <row r="98" spans="1:23" x14ac:dyDescent="0.2">
      <c r="B98" s="212">
        <f t="shared" si="29"/>
        <v>4</v>
      </c>
      <c r="C98" s="213" t="str">
        <f t="shared" si="19"/>
        <v>Subestación electrica</v>
      </c>
      <c r="E98" s="213" t="str">
        <f t="shared" si="22"/>
        <v>MXN/año</v>
      </c>
      <c r="H98" s="234">
        <f>capex.subestacion.electrica</f>
        <v>106381.19334613068</v>
      </c>
      <c r="I98" s="234">
        <f>opex.subestacion.electrica</f>
        <v>34080.449710447843</v>
      </c>
      <c r="J98" s="228">
        <f t="shared" si="23"/>
        <v>140461.64305657853</v>
      </c>
      <c r="K98" s="212" t="b">
        <f>J98=gasto.anual.subestacion.electrica</f>
        <v>1</v>
      </c>
      <c r="L98" s="208" t="b">
        <v>1</v>
      </c>
      <c r="N98" s="213" t="b">
        <f t="shared" si="24"/>
        <v>1</v>
      </c>
      <c r="O98" s="215" t="b">
        <f>IF(numero.CS.activo&gt;=2,N98,FALSE)</f>
        <v>0</v>
      </c>
      <c r="P98" s="215" t="b">
        <f t="shared" si="20"/>
        <v>0</v>
      </c>
      <c r="R98" s="228">
        <f t="shared" si="25"/>
        <v>106381.19334613068</v>
      </c>
      <c r="S98" s="228">
        <f t="shared" si="26"/>
        <v>34080.449710447843</v>
      </c>
      <c r="T98" s="228">
        <f t="shared" si="27"/>
        <v>140461.64305657853</v>
      </c>
      <c r="U98" s="212" t="b">
        <f t="shared" si="28"/>
        <v>1</v>
      </c>
    </row>
    <row r="99" spans="1:23" x14ac:dyDescent="0.2">
      <c r="B99" s="212">
        <f t="shared" si="29"/>
        <v>5</v>
      </c>
      <c r="C99" s="213" t="str">
        <f t="shared" si="19"/>
        <v>Fuente de energia de respaldo (planta de emergencia)</v>
      </c>
      <c r="E99" s="213" t="str">
        <f t="shared" si="22"/>
        <v>MXN/año</v>
      </c>
      <c r="H99" s="234">
        <f>capex.fuente.energia.respaldo</f>
        <v>46621.454933810332</v>
      </c>
      <c r="I99" s="234">
        <f>opex.fuente.energia.respaldo</f>
        <v>13259.569809846435</v>
      </c>
      <c r="J99" s="228">
        <f t="shared" si="23"/>
        <v>59881.024743656766</v>
      </c>
      <c r="K99" s="212" t="b">
        <f>J99=gasto.anual.fuente.energia.respaldo</f>
        <v>1</v>
      </c>
      <c r="L99" s="208" t="b">
        <v>1</v>
      </c>
      <c r="N99" s="213" t="b">
        <f t="shared" si="24"/>
        <v>1</v>
      </c>
      <c r="O99" s="215" t="b">
        <f>IF(numero.CS.activo&gt;=2,N99,FALSE)</f>
        <v>0</v>
      </c>
      <c r="P99" s="215" t="b">
        <f t="shared" si="20"/>
        <v>0</v>
      </c>
      <c r="R99" s="228">
        <f t="shared" si="25"/>
        <v>46621.454933810332</v>
      </c>
      <c r="S99" s="228">
        <f t="shared" si="26"/>
        <v>13259.569809846435</v>
      </c>
      <c r="T99" s="228">
        <f t="shared" si="27"/>
        <v>59881.024743656766</v>
      </c>
      <c r="U99" s="212" t="b">
        <f t="shared" si="28"/>
        <v>1</v>
      </c>
    </row>
    <row r="100" spans="1:23" x14ac:dyDescent="0.2">
      <c r="B100" s="212">
        <f t="shared" si="29"/>
        <v>6</v>
      </c>
      <c r="C100" s="213" t="str">
        <f t="shared" si="19"/>
        <v>Aire acondicionado</v>
      </c>
      <c r="E100" s="213" t="str">
        <f t="shared" si="22"/>
        <v>MXN/año</v>
      </c>
      <c r="H100" s="234">
        <f>capex.aire.acondicionado</f>
        <v>29130.926551546996</v>
      </c>
      <c r="I100" s="234">
        <f>opex.aire.acondicionado</f>
        <v>820.48316250556786</v>
      </c>
      <c r="J100" s="228">
        <f t="shared" si="23"/>
        <v>29951.409714052563</v>
      </c>
      <c r="K100" s="212" t="b">
        <f>J100=gasto.anual.aire.acondicionado</f>
        <v>1</v>
      </c>
      <c r="L100" s="208" t="b">
        <v>1</v>
      </c>
      <c r="N100" s="213" t="b">
        <f t="shared" si="24"/>
        <v>1</v>
      </c>
      <c r="O100" s="215" t="b">
        <f>IF(numero.CS.activo&gt;=2,N100,FALSE)</f>
        <v>0</v>
      </c>
      <c r="P100" s="215" t="b">
        <f t="shared" si="20"/>
        <v>0</v>
      </c>
      <c r="R100" s="228">
        <f t="shared" si="25"/>
        <v>29130.926551546996</v>
      </c>
      <c r="S100" s="228">
        <f t="shared" si="26"/>
        <v>820.48316250556786</v>
      </c>
      <c r="T100" s="228">
        <f t="shared" si="27"/>
        <v>29951.409714052563</v>
      </c>
      <c r="U100" s="212" t="b">
        <f t="shared" si="28"/>
        <v>1</v>
      </c>
    </row>
    <row r="102" spans="1:23" x14ac:dyDescent="0.2">
      <c r="C102" s="144" t="s">
        <v>433</v>
      </c>
      <c r="H102" s="245">
        <f>SUM(H103:H106)</f>
        <v>409161.71022493311</v>
      </c>
      <c r="I102" s="245">
        <f>SUM(I103:I106)</f>
        <v>294227.57226674462</v>
      </c>
      <c r="J102" s="245">
        <f>SUM(J103:J106)</f>
        <v>703389.28249167767</v>
      </c>
    </row>
    <row r="103" spans="1:23" x14ac:dyDescent="0.2">
      <c r="B103" s="212">
        <v>1</v>
      </c>
      <c r="C103" s="213" t="str">
        <f>INDEX(lista.servicios,B103)</f>
        <v>Coubicación (CI/CE)</v>
      </c>
      <c r="E103" s="213" t="str">
        <f t="shared" ref="E103:E106" si="30">$E$94</f>
        <v>MXN/año</v>
      </c>
      <c r="H103" s="228">
        <f>SUMPRODUCT(R95:R100,$H8:$H13)</f>
        <v>153847.92999588462</v>
      </c>
      <c r="I103" s="228">
        <f>SUMPRODUCT(S95:S100,$H8:$H13)</f>
        <v>164539.88052068799</v>
      </c>
      <c r="J103" s="228">
        <f>SUMPRODUCT(T95:T100,$H8:$H13)</f>
        <v>318387.81051657262</v>
      </c>
    </row>
    <row r="104" spans="1:23" x14ac:dyDescent="0.2">
      <c r="B104" s="212">
        <f>B103+1</f>
        <v>2</v>
      </c>
      <c r="C104" s="213" t="str">
        <f>INDEX(lista.servicios,B104)</f>
        <v>Subestación electrica</v>
      </c>
      <c r="E104" s="213" t="str">
        <f t="shared" si="30"/>
        <v>MXN/año</v>
      </c>
      <c r="H104" s="228">
        <f>SUMPRODUCT(R95:R100,$I8:$I13)</f>
        <v>152243.84744225792</v>
      </c>
      <c r="I104" s="228">
        <f>SUMPRODUCT(S95:S100,$I8:$I13)</f>
        <v>85174.229116024115</v>
      </c>
      <c r="J104" s="228">
        <f>SUMPRODUCT(T95:T100,$I8:$I13)</f>
        <v>237418.07655828202</v>
      </c>
    </row>
    <row r="105" spans="1:23" x14ac:dyDescent="0.2">
      <c r="B105" s="212">
        <f t="shared" ref="B105:B106" si="31">B104+1</f>
        <v>3</v>
      </c>
      <c r="C105" s="213" t="str">
        <f>INDEX(lista.servicios,B105)</f>
        <v>Fuente de energia de respaldo</v>
      </c>
      <c r="E105" s="213" t="str">
        <f t="shared" si="30"/>
        <v>MXN/año</v>
      </c>
      <c r="H105" s="228">
        <f>SUMPRODUCT(R95:R100,$J8:$J13)</f>
        <v>62895.304802242375</v>
      </c>
      <c r="I105" s="228">
        <f>SUMPRODUCT(S95:S100,$J8:$J13)</f>
        <v>31389.625988329721</v>
      </c>
      <c r="J105" s="228">
        <f>SUMPRODUCT(T95:T100,$J8:$J13)</f>
        <v>94284.930790572107</v>
      </c>
    </row>
    <row r="106" spans="1:23" x14ac:dyDescent="0.2">
      <c r="B106" s="212">
        <f t="shared" si="31"/>
        <v>4</v>
      </c>
      <c r="C106" s="213" t="str">
        <f>INDEX(lista.servicios,B106)</f>
        <v>Aire acondicionado</v>
      </c>
      <c r="E106" s="213" t="str">
        <f t="shared" si="30"/>
        <v>MXN/año</v>
      </c>
      <c r="H106" s="228">
        <f>SUMPRODUCT(R95:R100,$K8:$K13)</f>
        <v>40174.627984548133</v>
      </c>
      <c r="I106" s="228">
        <f>SUMPRODUCT(S95:S100,$K8:$K13)</f>
        <v>13123.83664170281</v>
      </c>
      <c r="J106" s="228">
        <f>SUMPRODUCT(T95:T100,$K8:$K13)</f>
        <v>53298.464626250941</v>
      </c>
    </row>
    <row r="107" spans="1:23" x14ac:dyDescent="0.2">
      <c r="H107" s="212" t="b">
        <f>H102=R94</f>
        <v>1</v>
      </c>
      <c r="I107" s="212" t="b">
        <f>I102=S94</f>
        <v>1</v>
      </c>
      <c r="J107" s="212" t="b">
        <f>J102=T94</f>
        <v>1</v>
      </c>
    </row>
    <row r="108" spans="1:23" s="204" customFormat="1" x14ac:dyDescent="0.2">
      <c r="H108" s="212"/>
      <c r="I108" s="212"/>
      <c r="J108" s="212"/>
    </row>
    <row r="109" spans="1:23" x14ac:dyDescent="0.2">
      <c r="A109" s="217" t="s">
        <v>434</v>
      </c>
      <c r="B109" s="211"/>
      <c r="C109" s="211"/>
      <c r="D109" s="211"/>
      <c r="E109" s="211"/>
      <c r="F109" s="211"/>
      <c r="G109" s="211"/>
      <c r="H109" s="221"/>
      <c r="I109" s="221"/>
      <c r="J109" s="211"/>
      <c r="K109" s="211"/>
      <c r="L109" s="211"/>
      <c r="M109" s="211"/>
      <c r="N109" s="211"/>
      <c r="O109" s="211"/>
      <c r="P109" s="211"/>
      <c r="Q109" s="211"/>
      <c r="R109" s="211"/>
      <c r="S109" s="211"/>
      <c r="T109" s="211"/>
      <c r="U109" s="211"/>
      <c r="V109" s="211"/>
      <c r="W109" s="211"/>
    </row>
    <row r="110" spans="1:23" x14ac:dyDescent="0.2">
      <c r="A110" s="204"/>
      <c r="B110" s="190" t="s">
        <v>435</v>
      </c>
      <c r="C110" s="190"/>
      <c r="D110" s="190"/>
      <c r="E110" s="190"/>
      <c r="F110" s="190"/>
      <c r="G110" s="190"/>
      <c r="H110" s="190"/>
      <c r="I110" s="190"/>
      <c r="J110" s="190"/>
      <c r="K110" s="190"/>
      <c r="L110" s="190"/>
      <c r="M110" s="190"/>
      <c r="N110" s="190"/>
      <c r="O110" s="190"/>
      <c r="P110" s="190"/>
      <c r="Q110" s="190"/>
      <c r="R110" s="190"/>
      <c r="S110" s="190"/>
      <c r="T110" s="190"/>
      <c r="U110" s="190"/>
      <c r="V110" s="190"/>
      <c r="W110" s="190"/>
    </row>
    <row r="112" spans="1:23" x14ac:dyDescent="0.2">
      <c r="C112" s="144" t="s">
        <v>164</v>
      </c>
      <c r="D112" s="214" t="s">
        <v>448</v>
      </c>
      <c r="I112" s="214" t="s">
        <v>437</v>
      </c>
      <c r="J112" s="214" t="s">
        <v>438</v>
      </c>
      <c r="K112" s="214" t="s">
        <v>439</v>
      </c>
      <c r="L112" s="214" t="s">
        <v>440</v>
      </c>
      <c r="N112" s="214" t="s">
        <v>441</v>
      </c>
    </row>
    <row r="113" spans="2:23" x14ac:dyDescent="0.2">
      <c r="B113" s="212">
        <v>1</v>
      </c>
      <c r="C113" s="213" t="str">
        <f t="shared" ref="C113" si="32">INDEX(lista.activos,B113)</f>
        <v>Predio</v>
      </c>
      <c r="E113" s="204" t="s">
        <v>436</v>
      </c>
      <c r="I113" s="252">
        <v>1</v>
      </c>
      <c r="J113" s="258">
        <f>cs1.activo</f>
        <v>1</v>
      </c>
      <c r="K113" s="258">
        <f>cs2.activo</f>
        <v>0</v>
      </c>
      <c r="L113" s="258">
        <f>cs3.activo</f>
        <v>0</v>
      </c>
      <c r="N113" s="191" t="s">
        <v>442</v>
      </c>
    </row>
    <row r="114" spans="2:23" x14ac:dyDescent="0.2">
      <c r="C114" s="212">
        <v>1</v>
      </c>
      <c r="D114" s="213" t="str">
        <f>INDEX(lista.componentes.predio,C114)</f>
        <v>Area caseta central</v>
      </c>
      <c r="E114" s="204" t="s">
        <v>436</v>
      </c>
      <c r="I114" s="252">
        <v>1</v>
      </c>
      <c r="J114" s="258">
        <f>cs1.activo</f>
        <v>1</v>
      </c>
      <c r="K114" s="258">
        <f>cs2.activo</f>
        <v>0</v>
      </c>
      <c r="L114" s="258">
        <f>cs3.activo</f>
        <v>0</v>
      </c>
      <c r="N114" s="204" t="s">
        <v>444</v>
      </c>
    </row>
    <row r="115" spans="2:23" x14ac:dyDescent="0.2">
      <c r="C115" s="212">
        <f>C114+1</f>
        <v>2</v>
      </c>
      <c r="D115" s="213" t="str">
        <f>INDEX(lista.componentes.predio,C115)</f>
        <v>Area sala coubicacion externa</v>
      </c>
      <c r="E115" s="204" t="s">
        <v>436</v>
      </c>
      <c r="I115" s="252">
        <v>0</v>
      </c>
      <c r="J115" s="255">
        <f>IF(tipo.coubicacion.activo.CS1="CE",1,0)</f>
        <v>0</v>
      </c>
      <c r="K115" s="255">
        <f>IF(tipo.coubicacion.activo.CS2="CE",1,0)</f>
        <v>0</v>
      </c>
      <c r="L115" s="255">
        <f>IF(tipo.coubicacion.activo.CS3="CE",1,0)</f>
        <v>0</v>
      </c>
    </row>
    <row r="116" spans="2:23" x14ac:dyDescent="0.2">
      <c r="C116" s="212">
        <f>C115+1</f>
        <v>3</v>
      </c>
      <c r="D116" s="213" t="str">
        <f>INDEX(lista.componentes.predio,C116)</f>
        <v>Area libre</v>
      </c>
      <c r="E116" s="204" t="s">
        <v>436</v>
      </c>
      <c r="I116" s="252">
        <v>1</v>
      </c>
      <c r="J116" s="258">
        <f>cs1.activo</f>
        <v>1</v>
      </c>
      <c r="K116" s="258">
        <f>cs2.activo</f>
        <v>0</v>
      </c>
      <c r="L116" s="258">
        <f>cs3.activo</f>
        <v>0</v>
      </c>
    </row>
    <row r="117" spans="2:23" x14ac:dyDescent="0.2">
      <c r="B117" s="212">
        <v>2</v>
      </c>
      <c r="C117" s="213" t="str">
        <f t="shared" ref="C117:C121" si="33">INDEX(lista.activos,B117)</f>
        <v>Central del AEP</v>
      </c>
      <c r="D117" s="204"/>
      <c r="E117" s="204" t="s">
        <v>436</v>
      </c>
      <c r="I117" s="252">
        <v>1</v>
      </c>
      <c r="J117" s="258">
        <f>cs1.activo</f>
        <v>1</v>
      </c>
      <c r="K117" s="258">
        <f>cs2.activo</f>
        <v>0</v>
      </c>
      <c r="L117" s="258">
        <f>cs3.activo</f>
        <v>0</v>
      </c>
    </row>
    <row r="118" spans="2:23" x14ac:dyDescent="0.2">
      <c r="B118" s="212">
        <v>3</v>
      </c>
      <c r="C118" s="213" t="str">
        <f t="shared" si="33"/>
        <v>Sala coubicación externa</v>
      </c>
      <c r="D118" s="204"/>
      <c r="E118" s="204" t="s">
        <v>436</v>
      </c>
      <c r="I118" s="252">
        <v>0</v>
      </c>
      <c r="J118" s="255">
        <f>IF(tipo.coubicacion.activo.CS1="CE",1,0)</f>
        <v>0</v>
      </c>
      <c r="K118" s="255">
        <f>IF(tipo.coubicacion.activo.CS2="CE",1,0)</f>
        <v>0</v>
      </c>
      <c r="L118" s="255">
        <f>IF(tipo.coubicacion.activo.CS3="CE",1,0)</f>
        <v>0</v>
      </c>
    </row>
    <row r="119" spans="2:23" x14ac:dyDescent="0.2">
      <c r="B119" s="212">
        <v>4</v>
      </c>
      <c r="C119" s="213" t="str">
        <f t="shared" si="33"/>
        <v>Subestación electrica</v>
      </c>
      <c r="E119" s="204" t="s">
        <v>436</v>
      </c>
      <c r="I119" s="252">
        <v>1</v>
      </c>
      <c r="J119" s="258">
        <f>cs1.activo</f>
        <v>1</v>
      </c>
      <c r="K119" s="258">
        <f>cs2.activo</f>
        <v>0</v>
      </c>
      <c r="L119" s="258">
        <f>cs3.activo</f>
        <v>0</v>
      </c>
    </row>
    <row r="120" spans="2:23" x14ac:dyDescent="0.2">
      <c r="B120" s="212">
        <v>5</v>
      </c>
      <c r="C120" s="213" t="str">
        <f t="shared" si="33"/>
        <v>Fuente de energia de respaldo (planta de emergencia)</v>
      </c>
      <c r="E120" s="204" t="s">
        <v>436</v>
      </c>
      <c r="I120" s="252">
        <v>1</v>
      </c>
      <c r="J120" s="255">
        <f>IF(solicitacion.fuente.energia.respaldo.activo.CS1=TRUE,1,0)</f>
        <v>0</v>
      </c>
      <c r="K120" s="255">
        <f>IF(solicitacion.fuente.energia.respaldo.activo.CS2=TRUE,1,0)*cs2.activo</f>
        <v>0</v>
      </c>
      <c r="L120" s="255">
        <f>IF(solicitacion.fuente.energia.respaldo.activo.CS3=TRUE,1,0)*cs3.activo</f>
        <v>0</v>
      </c>
    </row>
    <row r="121" spans="2:23" x14ac:dyDescent="0.2">
      <c r="B121" s="212">
        <v>6</v>
      </c>
      <c r="C121" s="213" t="str">
        <f t="shared" si="33"/>
        <v>Aire acondicionado</v>
      </c>
      <c r="E121" s="204" t="s">
        <v>436</v>
      </c>
      <c r="I121" s="252">
        <v>1</v>
      </c>
      <c r="J121" s="255">
        <f>IF(solicitacion.aire.acondicionado.activo=TRUE,1,0)</f>
        <v>1</v>
      </c>
      <c r="K121" s="255">
        <f>IF(solicitacion.aire.acondicionado.activo=TRUE,1,0)*cs2.activo</f>
        <v>0</v>
      </c>
      <c r="L121" s="255">
        <f>IF(solicitacion.aire.acondicionado.activo=TRUE,1,0)*cs3.activo</f>
        <v>0</v>
      </c>
    </row>
    <row r="122" spans="2:23" x14ac:dyDescent="0.2">
      <c r="E122" s="204"/>
    </row>
    <row r="123" spans="2:23" x14ac:dyDescent="0.2">
      <c r="B123" s="190" t="s">
        <v>445</v>
      </c>
      <c r="C123" s="190"/>
      <c r="D123" s="190"/>
      <c r="E123" s="190"/>
      <c r="F123" s="190"/>
      <c r="G123" s="190"/>
      <c r="H123" s="190"/>
      <c r="I123" s="190"/>
      <c r="J123" s="190"/>
      <c r="K123" s="190"/>
      <c r="L123" s="190"/>
      <c r="M123" s="190"/>
      <c r="N123" s="190"/>
      <c r="O123" s="190"/>
      <c r="P123" s="190"/>
      <c r="Q123" s="190"/>
      <c r="R123" s="190"/>
      <c r="S123" s="190"/>
      <c r="T123" s="190"/>
      <c r="U123" s="190"/>
      <c r="V123" s="190"/>
      <c r="W123" s="190"/>
    </row>
    <row r="124" spans="2:23" x14ac:dyDescent="0.2">
      <c r="H124" s="235" t="s">
        <v>447</v>
      </c>
      <c r="I124" s="236"/>
      <c r="J124" s="236"/>
      <c r="K124" s="236"/>
      <c r="L124" s="236"/>
    </row>
    <row r="125" spans="2:23" x14ac:dyDescent="0.2">
      <c r="B125" s="204"/>
      <c r="C125" s="144" t="s">
        <v>164</v>
      </c>
      <c r="D125" s="214" t="s">
        <v>448</v>
      </c>
      <c r="E125" s="214" t="s">
        <v>446</v>
      </c>
      <c r="F125" s="214" t="s">
        <v>558</v>
      </c>
      <c r="G125" s="214"/>
      <c r="H125" s="214" t="s">
        <v>97</v>
      </c>
      <c r="I125" s="214" t="s">
        <v>437</v>
      </c>
      <c r="J125" s="214" t="s">
        <v>438</v>
      </c>
      <c r="K125" s="214" t="s">
        <v>439</v>
      </c>
      <c r="L125" s="214" t="s">
        <v>440</v>
      </c>
    </row>
    <row r="126" spans="2:23" x14ac:dyDescent="0.2">
      <c r="B126" s="212">
        <v>1</v>
      </c>
      <c r="C126" s="213" t="str">
        <f t="shared" ref="C126" si="34">INDEX(lista.activos,B126)</f>
        <v>Predio</v>
      </c>
      <c r="D126" s="204"/>
      <c r="N126" s="214" t="s">
        <v>441</v>
      </c>
    </row>
    <row r="127" spans="2:23" ht="24" x14ac:dyDescent="0.2">
      <c r="B127" s="204"/>
      <c r="C127" s="212">
        <v>1</v>
      </c>
      <c r="D127" s="213" t="str">
        <f>INDEX(lista.componentes.predio,C127)</f>
        <v>Area caseta central</v>
      </c>
      <c r="E127" s="226" t="s">
        <v>548</v>
      </c>
      <c r="F127" s="204" t="s">
        <v>195</v>
      </c>
      <c r="H127" s="288">
        <f>H153</f>
        <v>109.8045447368421</v>
      </c>
      <c r="I127" s="288">
        <f t="shared" ref="I127:L127" si="35">I153</f>
        <v>99.392476536948934</v>
      </c>
      <c r="J127" s="288">
        <f t="shared" si="35"/>
        <v>10.412068199893161</v>
      </c>
      <c r="K127" s="288">
        <f t="shared" si="35"/>
        <v>0</v>
      </c>
      <c r="L127" s="288">
        <f t="shared" si="35"/>
        <v>0</v>
      </c>
      <c r="N127" s="204" t="s">
        <v>559</v>
      </c>
    </row>
    <row r="128" spans="2:23" ht="24" x14ac:dyDescent="0.2">
      <c r="B128" s="204"/>
      <c r="C128" s="212">
        <f>C127+1</f>
        <v>2</v>
      </c>
      <c r="D128" s="213" t="str">
        <f>INDEX(lista.componentes.predio,C128)</f>
        <v>Area sala coubicacion externa</v>
      </c>
      <c r="E128" s="226" t="s">
        <v>549</v>
      </c>
      <c r="F128" s="204" t="s">
        <v>195</v>
      </c>
      <c r="H128" s="296">
        <f t="shared" ref="H128:H143" si="36">SUM(I128:L128)</f>
        <v>0</v>
      </c>
      <c r="I128" s="297">
        <v>0</v>
      </c>
      <c r="J128" s="296">
        <f>IF(tipo.coubicacion.activo.CS1="CE",espacio.coubicacion.activo.CS1,0)</f>
        <v>0</v>
      </c>
      <c r="K128" s="296">
        <f>IF(tipo.coubicacion.activo.CS2="CE",espacio.coubicacion.activo.CS2,0)</f>
        <v>0</v>
      </c>
      <c r="L128" s="296">
        <f>IF(tipo.coubicacion.activo.CS3="CE",espacio.coubicacion.activo.CS3,0)</f>
        <v>0</v>
      </c>
    </row>
    <row r="129" spans="2:12" ht="24" x14ac:dyDescent="0.2">
      <c r="B129" s="204"/>
      <c r="C129" s="212">
        <f>C128+1</f>
        <v>3</v>
      </c>
      <c r="D129" s="213" t="str">
        <f>INDEX(lista.componentes.predio,C129)</f>
        <v>Area libre</v>
      </c>
      <c r="E129" s="226" t="s">
        <v>550</v>
      </c>
      <c r="F129" s="204" t="s">
        <v>195</v>
      </c>
      <c r="H129" s="296">
        <f>(H127*(1+markup.area.exterior.central.telmex)/numero.plantas.central.telmex.activo+H128*(1+markup.sala.CS))</f>
        <v>54.902272368421052</v>
      </c>
      <c r="I129" s="296">
        <f>(I127*(1+markup.area.exterior.central.telmex)/numero.plantas.central.telmex.activo)+IF(area.libre.CS=FALSE,(SUM(J127:L128)*(1+markup.area.exterior.central.telmex)/numero.plantas.central.telmex.activo),0)</f>
        <v>49.696238268474467</v>
      </c>
      <c r="J129" s="296">
        <f>((J127*(1+markup.area.exterior.central.telmex)/numero.plantas.central.telmex.activo)+(J128*(1+markup.sala.CS)))*area.libre.CS</f>
        <v>5.2060340999465806</v>
      </c>
      <c r="K129" s="296">
        <f>((K127*(1+markup.area.exterior.central.telmex)/numero.plantas.central.telmex.activo)+(K128*(1+markup.sala.CS)))*area.libre.CS</f>
        <v>0</v>
      </c>
      <c r="L129" s="296">
        <f>((L127*(1+markup.area.exterior.central.telmex)/numero.plantas.central.telmex.activo)+(L128*(1+markup.sala.CS)))*area.libre.CS</f>
        <v>0</v>
      </c>
    </row>
    <row r="130" spans="2:12" x14ac:dyDescent="0.2">
      <c r="B130" s="212">
        <v>2</v>
      </c>
      <c r="C130" s="213" t="str">
        <f t="shared" ref="C130:C144" si="37">INDEX(lista.activos,B130)</f>
        <v>Central del AEP</v>
      </c>
      <c r="D130" s="204"/>
      <c r="H130" s="298"/>
      <c r="I130" s="298"/>
      <c r="J130" s="298"/>
      <c r="K130" s="298"/>
      <c r="L130" s="298"/>
    </row>
    <row r="131" spans="2:12" s="204" customFormat="1" ht="36" x14ac:dyDescent="0.2">
      <c r="B131" s="212"/>
      <c r="C131" s="212">
        <v>1</v>
      </c>
      <c r="D131" s="213" t="str">
        <f t="shared" ref="D131:D140" si="38">INDEX(lista.componentes.central.telmex,C131)</f>
        <v>Sala MDF/ODF AEP</v>
      </c>
      <c r="E131" s="226" t="s">
        <v>551</v>
      </c>
      <c r="F131" s="204" t="s">
        <v>195</v>
      </c>
      <c r="H131" s="296">
        <f t="shared" ref="H131:H133" si="39">SUM(I131:L131)</f>
        <v>14.447999999999999</v>
      </c>
      <c r="I131" s="288">
        <f>area.sala.MDF.AEP</f>
        <v>14.447999999999999</v>
      </c>
      <c r="J131" s="297">
        <v>0</v>
      </c>
      <c r="K131" s="297">
        <v>0</v>
      </c>
      <c r="L131" s="297">
        <v>0</v>
      </c>
    </row>
    <row r="132" spans="2:12" s="204" customFormat="1" ht="36" x14ac:dyDescent="0.2">
      <c r="B132" s="212"/>
      <c r="C132" s="212">
        <f>C131+1</f>
        <v>2</v>
      </c>
      <c r="D132" s="213" t="str">
        <f t="shared" si="38"/>
        <v>Sala coubicación CS</v>
      </c>
      <c r="E132" s="226" t="s">
        <v>552</v>
      </c>
      <c r="F132" s="204" t="s">
        <v>195</v>
      </c>
      <c r="H132" s="296">
        <f t="shared" si="39"/>
        <v>4</v>
      </c>
      <c r="I132" s="297">
        <v>0</v>
      </c>
      <c r="J132" s="288">
        <f>area.sala.coubicacion.CS1</f>
        <v>4</v>
      </c>
      <c r="K132" s="288">
        <f>area.sala.coubicacion.CS2</f>
        <v>0</v>
      </c>
      <c r="L132" s="288">
        <f>area.sala.coubicacion.CS3</f>
        <v>0</v>
      </c>
    </row>
    <row r="133" spans="2:12" s="204" customFormat="1" ht="24" x14ac:dyDescent="0.2">
      <c r="C133" s="212">
        <f>C132+1</f>
        <v>3</v>
      </c>
      <c r="D133" s="213" t="str">
        <f t="shared" si="38"/>
        <v>Sala de control</v>
      </c>
      <c r="E133" s="226" t="s">
        <v>553</v>
      </c>
      <c r="F133" s="204" t="s">
        <v>195</v>
      </c>
      <c r="H133" s="296">
        <f t="shared" si="39"/>
        <v>59.488</v>
      </c>
      <c r="I133" s="288">
        <f>espacio.exclusivo.AEP</f>
        <v>55.488</v>
      </c>
      <c r="J133" s="288">
        <f>espacio.coubicacion.activo.CS1*sala.control.CS.activo</f>
        <v>4</v>
      </c>
      <c r="K133" s="288">
        <f>espacio.coubicacion.activo.CS2*sala.control.CS.activo</f>
        <v>0</v>
      </c>
      <c r="L133" s="288">
        <f>espacio.coubicacion.activo.CS3*sala.control.CS.activo</f>
        <v>0</v>
      </c>
    </row>
    <row r="134" spans="2:12" s="204" customFormat="1" ht="36" x14ac:dyDescent="0.2">
      <c r="C134" s="212">
        <f>C133+1</f>
        <v>4</v>
      </c>
      <c r="D134" s="213" t="str">
        <f t="shared" si="38"/>
        <v>Sala de switching del AEP</v>
      </c>
      <c r="E134" s="226" t="s">
        <v>551</v>
      </c>
      <c r="F134" s="204" t="s">
        <v>195</v>
      </c>
      <c r="H134" s="296">
        <f t="shared" ref="H134:H138" si="40">SUM(I134:L134)</f>
        <v>55.488</v>
      </c>
      <c r="I134" s="288">
        <f>espacio.exclusivo.AEP</f>
        <v>55.488</v>
      </c>
      <c r="J134" s="288">
        <f>espacio.coubicacion.activo.CS1*sala.switching.CS.activo</f>
        <v>0</v>
      </c>
      <c r="K134" s="288">
        <f>espacio.coubicacion.activo.CS2*sala.switching.CS.activo</f>
        <v>0</v>
      </c>
      <c r="L134" s="288">
        <f>espacio.coubicacion.activo.CS3*sala.switching.CS.activo</f>
        <v>0</v>
      </c>
    </row>
    <row r="135" spans="2:12" s="204" customFormat="1" ht="36" x14ac:dyDescent="0.2">
      <c r="C135" s="212">
        <f t="shared" ref="C135:C140" si="41">C134+1</f>
        <v>5</v>
      </c>
      <c r="D135" s="213" t="str">
        <f t="shared" si="38"/>
        <v>Sala equipos de transmisión del AEP</v>
      </c>
      <c r="E135" s="226" t="s">
        <v>551</v>
      </c>
      <c r="F135" s="204" t="s">
        <v>195</v>
      </c>
      <c r="H135" s="296">
        <f t="shared" si="40"/>
        <v>55.488</v>
      </c>
      <c r="I135" s="288">
        <f>espacio.exclusivo.AEP</f>
        <v>55.488</v>
      </c>
      <c r="J135" s="288">
        <f>espacio.coubicacion.activo.CS1*sala.equipos.transmision.CS.activo</f>
        <v>0</v>
      </c>
      <c r="K135" s="288">
        <f>espacio.coubicacion.activo.CS2*sala.equipos.transmision.CS.activo</f>
        <v>0</v>
      </c>
      <c r="L135" s="288">
        <f>espacio.coubicacion.activo.CS3*sala.equipos.transmision.CS.activo</f>
        <v>0</v>
      </c>
    </row>
    <row r="136" spans="2:12" s="204" customFormat="1" x14ac:dyDescent="0.2">
      <c r="C136" s="212">
        <f t="shared" si="41"/>
        <v>6</v>
      </c>
      <c r="D136" s="213" t="str">
        <f t="shared" si="38"/>
        <v>Sala subestacion electrica</v>
      </c>
      <c r="E136" s="204" t="s">
        <v>554</v>
      </c>
      <c r="F136" s="204" t="s">
        <v>395</v>
      </c>
      <c r="H136" s="296">
        <f t="shared" si="40"/>
        <v>48</v>
      </c>
      <c r="I136" s="288">
        <f>consumo.equipos.AEP</f>
        <v>38</v>
      </c>
      <c r="J136" s="288">
        <f>consumo.equipos.CS1</f>
        <v>10</v>
      </c>
      <c r="K136" s="288">
        <f>consumo.equipos.CS2</f>
        <v>0</v>
      </c>
      <c r="L136" s="288">
        <f>consumo.equipos.CS3</f>
        <v>0</v>
      </c>
    </row>
    <row r="137" spans="2:12" s="204" customFormat="1" x14ac:dyDescent="0.2">
      <c r="B137" s="212"/>
      <c r="C137" s="212">
        <f t="shared" si="41"/>
        <v>7</v>
      </c>
      <c r="D137" s="213" t="str">
        <f t="shared" si="38"/>
        <v>Sala planta de emergencia</v>
      </c>
      <c r="E137" s="204" t="s">
        <v>554</v>
      </c>
      <c r="F137" s="204" t="s">
        <v>395</v>
      </c>
      <c r="H137" s="296">
        <f t="shared" si="40"/>
        <v>38</v>
      </c>
      <c r="I137" s="361">
        <f>consumo.equipos.AEP*fuente.energia.respaldo.activo.AEP</f>
        <v>38</v>
      </c>
      <c r="J137" s="361">
        <f>consumo.equipos.CS1*solicitacion.fuente.energia.respaldo.activo.CS1</f>
        <v>0</v>
      </c>
      <c r="K137" s="361">
        <f>consumo.equipos.CS2*solicitacion.fuente.energia.respaldo.activo.CS2</f>
        <v>0</v>
      </c>
      <c r="L137" s="361">
        <f>consumo.equipos.CS3*solicitacion.fuente.energia.respaldo.activo.CS3</f>
        <v>0</v>
      </c>
    </row>
    <row r="138" spans="2:12" s="204" customFormat="1" x14ac:dyDescent="0.2">
      <c r="B138" s="212"/>
      <c r="C138" s="212">
        <f t="shared" si="41"/>
        <v>8</v>
      </c>
      <c r="D138" s="213" t="str">
        <f t="shared" si="38"/>
        <v>Sala baterias</v>
      </c>
      <c r="E138" s="204" t="s">
        <v>554</v>
      </c>
      <c r="F138" s="204" t="s">
        <v>395</v>
      </c>
      <c r="H138" s="296">
        <f t="shared" si="40"/>
        <v>38</v>
      </c>
      <c r="I138" s="361">
        <f>consumo.equipos.AEP*fuente.energia.respaldo.activo.AEP</f>
        <v>38</v>
      </c>
      <c r="J138" s="361">
        <f>consumo.equipos.CS1*solicitacion.fuente.energia.respaldo.activo.CS1</f>
        <v>0</v>
      </c>
      <c r="K138" s="361">
        <f>consumo.equipos.CS2*solicitacion.fuente.energia.respaldo.activo.CS2</f>
        <v>0</v>
      </c>
      <c r="L138" s="361">
        <f>consumo.equipos.CS3*solicitacion.fuente.energia.respaldo.activo.CS3</f>
        <v>0</v>
      </c>
    </row>
    <row r="139" spans="2:12" s="204" customFormat="1" ht="24" x14ac:dyDescent="0.2">
      <c r="B139" s="212"/>
      <c r="C139" s="212">
        <f t="shared" si="41"/>
        <v>9</v>
      </c>
      <c r="D139" s="213" t="str">
        <f t="shared" si="38"/>
        <v>Espacio de overheads</v>
      </c>
      <c r="E139" s="243" t="s">
        <v>555</v>
      </c>
      <c r="F139" s="204" t="s">
        <v>195</v>
      </c>
      <c r="H139" s="296">
        <f>SUM(H154:H161)</f>
        <v>102.00413157894737</v>
      </c>
      <c r="I139" s="296">
        <f t="shared" ref="I139:L139" si="42">SUM(I154:I161)</f>
        <v>92.331727060388999</v>
      </c>
      <c r="J139" s="296">
        <f t="shared" si="42"/>
        <v>9.6724045185583645</v>
      </c>
      <c r="K139" s="296">
        <f t="shared" si="42"/>
        <v>0</v>
      </c>
      <c r="L139" s="296">
        <f t="shared" si="42"/>
        <v>0</v>
      </c>
    </row>
    <row r="140" spans="2:12" s="204" customFormat="1" x14ac:dyDescent="0.2">
      <c r="B140" s="212"/>
      <c r="C140" s="212">
        <f t="shared" si="41"/>
        <v>10</v>
      </c>
      <c r="D140" s="213" t="str">
        <f t="shared" si="38"/>
        <v>espacio vacante</v>
      </c>
      <c r="E140" s="243"/>
      <c r="F140" s="204" t="s">
        <v>195</v>
      </c>
      <c r="H140" s="296"/>
      <c r="I140" s="296"/>
      <c r="J140" s="296"/>
      <c r="K140" s="296"/>
      <c r="L140" s="296"/>
    </row>
    <row r="141" spans="2:12" ht="36" x14ac:dyDescent="0.2">
      <c r="B141" s="212">
        <v>3</v>
      </c>
      <c r="C141" s="213" t="str">
        <f t="shared" si="37"/>
        <v>Sala coubicación externa</v>
      </c>
      <c r="D141" s="204"/>
      <c r="E141" s="243" t="s">
        <v>556</v>
      </c>
      <c r="F141" s="204" t="s">
        <v>195</v>
      </c>
      <c r="H141" s="296">
        <f t="shared" si="36"/>
        <v>0</v>
      </c>
      <c r="I141" s="297">
        <v>0</v>
      </c>
      <c r="J141" s="296">
        <f>IF(tipo.coubicacion.activo.CS1="CE",espacio.coubicacion.activo.CS1,0)</f>
        <v>0</v>
      </c>
      <c r="K141" s="296">
        <f>IF(tipo.coubicacion.activo.CS2="CE",espacio.coubicacion.activo.CS2,0)</f>
        <v>0</v>
      </c>
      <c r="L141" s="296">
        <f>IF(tipo.coubicacion.activo.CS3="CE",espacio.coubicacion.activo.CS3,0)</f>
        <v>0</v>
      </c>
    </row>
    <row r="142" spans="2:12" x14ac:dyDescent="0.2">
      <c r="B142" s="212">
        <v>4</v>
      </c>
      <c r="C142" s="213" t="str">
        <f t="shared" si="37"/>
        <v>Subestación electrica</v>
      </c>
      <c r="D142" s="204"/>
      <c r="E142" s="204" t="s">
        <v>554</v>
      </c>
      <c r="F142" s="204" t="s">
        <v>395</v>
      </c>
      <c r="H142" s="296">
        <f t="shared" si="36"/>
        <v>48</v>
      </c>
      <c r="I142" s="288">
        <f>consumo.equipos.AEP</f>
        <v>38</v>
      </c>
      <c r="J142" s="288">
        <f>consumo.equipos.CS1</f>
        <v>10</v>
      </c>
      <c r="K142" s="288">
        <f>consumo.equipos.CS2</f>
        <v>0</v>
      </c>
      <c r="L142" s="288">
        <f>consumo.equipos.CS3</f>
        <v>0</v>
      </c>
    </row>
    <row r="143" spans="2:12" x14ac:dyDescent="0.2">
      <c r="B143" s="212">
        <v>5</v>
      </c>
      <c r="C143" s="213" t="str">
        <f t="shared" si="37"/>
        <v>Fuente de energia de respaldo (planta de emergencia)</v>
      </c>
      <c r="D143" s="204"/>
      <c r="E143" s="204" t="s">
        <v>554</v>
      </c>
      <c r="F143" s="204" t="s">
        <v>395</v>
      </c>
      <c r="H143" s="296">
        <f t="shared" si="36"/>
        <v>38</v>
      </c>
      <c r="I143" s="361">
        <f>consumo.equipos.AEP*fuente.energia.respaldo.activo.AEP</f>
        <v>38</v>
      </c>
      <c r="J143" s="361">
        <f>consumo.equipos.CS1*solicitacion.fuente.energia.respaldo.activo.CS1</f>
        <v>0</v>
      </c>
      <c r="K143" s="361">
        <f>consumo.equipos.CS2*solicitacion.fuente.energia.respaldo.activo.CS2</f>
        <v>0</v>
      </c>
      <c r="L143" s="361">
        <f>consumo.equipos.CS3*solicitacion.fuente.energia.respaldo.activo.CS3</f>
        <v>0</v>
      </c>
    </row>
    <row r="144" spans="2:12" ht="24" x14ac:dyDescent="0.2">
      <c r="B144" s="212">
        <v>6</v>
      </c>
      <c r="C144" s="213" t="str">
        <f t="shared" si="37"/>
        <v>Aire acondicionado</v>
      </c>
      <c r="D144" s="204"/>
      <c r="E144" s="243" t="s">
        <v>524</v>
      </c>
      <c r="F144" s="204" t="s">
        <v>195</v>
      </c>
      <c r="H144" s="288">
        <f>H127</f>
        <v>109.8045447368421</v>
      </c>
      <c r="I144" s="288">
        <f>I127</f>
        <v>99.392476536948934</v>
      </c>
      <c r="J144" s="288">
        <f t="shared" ref="J144:K144" si="43">J127</f>
        <v>10.412068199893161</v>
      </c>
      <c r="K144" s="288">
        <f t="shared" si="43"/>
        <v>0</v>
      </c>
      <c r="L144" s="288">
        <f>L127</f>
        <v>0</v>
      </c>
    </row>
    <row r="146" spans="2:23" x14ac:dyDescent="0.2">
      <c r="B146" s="190" t="s">
        <v>449</v>
      </c>
      <c r="C146" s="190"/>
      <c r="D146" s="190"/>
      <c r="E146" s="190"/>
      <c r="F146" s="190"/>
      <c r="G146" s="190"/>
      <c r="H146" s="190"/>
      <c r="I146" s="190"/>
      <c r="J146" s="190"/>
      <c r="K146" s="190"/>
      <c r="L146" s="190"/>
      <c r="M146" s="190"/>
      <c r="N146" s="190"/>
      <c r="O146" s="190"/>
      <c r="P146" s="190"/>
      <c r="Q146" s="190"/>
      <c r="R146" s="190"/>
      <c r="S146" s="190"/>
      <c r="T146" s="190"/>
      <c r="U146" s="190"/>
      <c r="V146" s="190"/>
      <c r="W146" s="190"/>
    </row>
    <row r="148" spans="2:23" x14ac:dyDescent="0.2">
      <c r="B148" s="204"/>
      <c r="C148" s="144" t="s">
        <v>164</v>
      </c>
      <c r="D148" s="214" t="s">
        <v>448</v>
      </c>
      <c r="E148" s="214" t="s">
        <v>165</v>
      </c>
      <c r="H148" s="214" t="s">
        <v>97</v>
      </c>
      <c r="I148" s="214" t="s">
        <v>437</v>
      </c>
      <c r="J148" s="214" t="s">
        <v>438</v>
      </c>
      <c r="K148" s="214" t="s">
        <v>439</v>
      </c>
      <c r="L148" s="214" t="s">
        <v>440</v>
      </c>
    </row>
    <row r="149" spans="2:23" x14ac:dyDescent="0.2">
      <c r="B149" s="212">
        <v>1</v>
      </c>
      <c r="C149" s="213" t="str">
        <f t="shared" ref="C149" si="44">INDEX(lista.activos,B149)</f>
        <v>Predio</v>
      </c>
      <c r="D149" s="204"/>
      <c r="E149" s="191" t="s">
        <v>195</v>
      </c>
      <c r="H149" s="263">
        <f>area.total.predio</f>
        <v>82.353408552631578</v>
      </c>
      <c r="I149" s="299">
        <f>SUM(I150:I152)</f>
        <v>74.544357402711697</v>
      </c>
      <c r="J149" s="299">
        <f t="shared" ref="J149:L149" si="45">SUM(J150:J152)</f>
        <v>7.8090511499198705</v>
      </c>
      <c r="K149" s="299">
        <f t="shared" si="45"/>
        <v>0</v>
      </c>
      <c r="L149" s="299">
        <f t="shared" si="45"/>
        <v>0</v>
      </c>
      <c r="M149" s="212" t="b">
        <f>ROUND(SUM(I149:L149),2)=ROUND(H149,2)</f>
        <v>1</v>
      </c>
    </row>
    <row r="150" spans="2:23" x14ac:dyDescent="0.2">
      <c r="B150" s="204"/>
      <c r="C150" s="212">
        <v>1</v>
      </c>
      <c r="D150" s="213" t="str">
        <f>INDEX(lista.componentes.predio,C150)</f>
        <v>Area caseta central</v>
      </c>
      <c r="E150" s="204" t="s">
        <v>195</v>
      </c>
      <c r="H150" s="263">
        <f>area.exterior.central.telmex</f>
        <v>54.902272368421052</v>
      </c>
      <c r="I150" s="296">
        <f>I127/$H$127*$H$150</f>
        <v>49.696238268474467</v>
      </c>
      <c r="J150" s="296">
        <f>J127/$H$127*$H$150</f>
        <v>5.2060340999465806</v>
      </c>
      <c r="K150" s="296">
        <f>K127/$H$127*$H$150</f>
        <v>0</v>
      </c>
      <c r="L150" s="296">
        <f>L127/$H$127*$H$150</f>
        <v>0</v>
      </c>
      <c r="M150" s="212" t="b">
        <f t="shared" ref="M150:M167" si="46">ROUND(SUM(I150:L150),2)=ROUND(H150,2)</f>
        <v>1</v>
      </c>
    </row>
    <row r="151" spans="2:23" x14ac:dyDescent="0.2">
      <c r="B151" s="204"/>
      <c r="C151" s="212">
        <f>C150+1</f>
        <v>2</v>
      </c>
      <c r="D151" s="213" t="str">
        <f>INDEX(lista.componentes.predio,C151)</f>
        <v>Area sala coubicacion externa</v>
      </c>
      <c r="E151" s="204" t="s">
        <v>195</v>
      </c>
      <c r="H151" s="263">
        <f>area.sala.coubicacion.externa.CS</f>
        <v>0</v>
      </c>
      <c r="I151" s="299">
        <f>IF($H$151=0,0,I128/$H$128*$H$151)</f>
        <v>0</v>
      </c>
      <c r="J151" s="299">
        <f>IF($H$151=0,0,J128/$H$128*$H$151)</f>
        <v>0</v>
      </c>
      <c r="K151" s="299">
        <f>IF($H$151=0,0,K128/$H$128*$H$151)</f>
        <v>0</v>
      </c>
      <c r="L151" s="299">
        <f>IF($H$151=0,0,L128/$H$128*$H$151)</f>
        <v>0</v>
      </c>
      <c r="M151" s="212" t="b">
        <f t="shared" si="46"/>
        <v>1</v>
      </c>
    </row>
    <row r="152" spans="2:23" x14ac:dyDescent="0.2">
      <c r="B152" s="204"/>
      <c r="C152" s="212">
        <f>C151+1</f>
        <v>3</v>
      </c>
      <c r="D152" s="213" t="str">
        <f>INDEX(lista.componentes.predio,C152)</f>
        <v>Area libre</v>
      </c>
      <c r="E152" s="204" t="s">
        <v>195</v>
      </c>
      <c r="H152" s="299">
        <f>H149-SUM(H150:H151)</f>
        <v>27.451136184210526</v>
      </c>
      <c r="I152" s="299">
        <f>I129/$H$129*$H$152</f>
        <v>24.848119134237233</v>
      </c>
      <c r="J152" s="299">
        <f>J129/$H$129*$H$152</f>
        <v>2.6030170499732903</v>
      </c>
      <c r="K152" s="299">
        <f>K129/$H$129*$H$152</f>
        <v>0</v>
      </c>
      <c r="L152" s="299">
        <f>L129/$H$129*$H$152</f>
        <v>0</v>
      </c>
      <c r="M152" s="212" t="b">
        <f t="shared" si="46"/>
        <v>1</v>
      </c>
    </row>
    <row r="153" spans="2:23" x14ac:dyDescent="0.2">
      <c r="B153" s="212">
        <v>2</v>
      </c>
      <c r="C153" s="213" t="str">
        <f t="shared" ref="C153:C167" si="47">INDEX(lista.activos,B153)</f>
        <v>Central del AEP</v>
      </c>
      <c r="D153" s="204"/>
      <c r="E153" s="204" t="s">
        <v>195</v>
      </c>
      <c r="H153" s="263">
        <f>area.salas.central.telmex</f>
        <v>109.8045447368421</v>
      </c>
      <c r="I153" s="299">
        <f>SUM(I154:I163)</f>
        <v>99.392476536948934</v>
      </c>
      <c r="J153" s="299">
        <f t="shared" ref="J153:L153" si="48">SUM(J154:J163)</f>
        <v>10.412068199893161</v>
      </c>
      <c r="K153" s="299">
        <f t="shared" si="48"/>
        <v>0</v>
      </c>
      <c r="L153" s="299">
        <f t="shared" si="48"/>
        <v>0</v>
      </c>
      <c r="M153" s="212" t="b">
        <f t="shared" si="46"/>
        <v>1</v>
      </c>
    </row>
    <row r="154" spans="2:23" s="204" customFormat="1" x14ac:dyDescent="0.2">
      <c r="B154" s="212"/>
      <c r="C154" s="212">
        <v>1</v>
      </c>
      <c r="D154" s="213" t="str">
        <f t="shared" ref="D154:D163" si="49">INDEX(lista.componentes.central.telmex,C154)</f>
        <v>Sala MDF/ODF AEP</v>
      </c>
      <c r="E154" s="204" t="s">
        <v>195</v>
      </c>
      <c r="H154" s="263">
        <f>area.sala.MDF.AEP</f>
        <v>14.447999999999999</v>
      </c>
      <c r="I154" s="299">
        <f>I131/$H$131*$H$154</f>
        <v>14.447999999999999</v>
      </c>
      <c r="J154" s="299">
        <f t="shared" ref="J154:L154" si="50">J131/$H$131*$H$154</f>
        <v>0</v>
      </c>
      <c r="K154" s="299">
        <f t="shared" si="50"/>
        <v>0</v>
      </c>
      <c r="L154" s="299">
        <f t="shared" si="50"/>
        <v>0</v>
      </c>
      <c r="M154" s="212" t="b">
        <f t="shared" si="46"/>
        <v>1</v>
      </c>
    </row>
    <row r="155" spans="2:23" s="204" customFormat="1" x14ac:dyDescent="0.2">
      <c r="B155" s="212"/>
      <c r="C155" s="212">
        <f>C154+1</f>
        <v>2</v>
      </c>
      <c r="D155" s="213" t="str">
        <f t="shared" si="49"/>
        <v>Sala coubicación CS</v>
      </c>
      <c r="E155" s="204" t="s">
        <v>195</v>
      </c>
      <c r="H155" s="263">
        <f>area.sala.coubicacion.CS</f>
        <v>4</v>
      </c>
      <c r="I155" s="299">
        <f>IF($H$155=0,0,I132/$H$132*$H$155)</f>
        <v>0</v>
      </c>
      <c r="J155" s="299">
        <f t="shared" ref="J155:L155" si="51">IF($H$155=0,0,J132/$H$132*$H$155)</f>
        <v>4</v>
      </c>
      <c r="K155" s="299">
        <f t="shared" si="51"/>
        <v>0</v>
      </c>
      <c r="L155" s="299">
        <f t="shared" si="51"/>
        <v>0</v>
      </c>
      <c r="M155" s="212" t="b">
        <f t="shared" si="46"/>
        <v>1</v>
      </c>
    </row>
    <row r="156" spans="2:23" s="204" customFormat="1" x14ac:dyDescent="0.2">
      <c r="B156" s="212"/>
      <c r="C156" s="212">
        <f>C155+1</f>
        <v>3</v>
      </c>
      <c r="D156" s="213" t="str">
        <f t="shared" si="49"/>
        <v>Sala de control</v>
      </c>
      <c r="E156" s="204" t="s">
        <v>195</v>
      </c>
      <c r="H156" s="263">
        <f>area.sala.control</f>
        <v>10</v>
      </c>
      <c r="I156" s="299">
        <f>I133/$H133*$H156</f>
        <v>9.3275954814416355</v>
      </c>
      <c r="J156" s="299">
        <f t="shared" ref="J156:L156" si="52">J133/$H133*$H156</f>
        <v>0.67240451855836481</v>
      </c>
      <c r="K156" s="299">
        <f t="shared" si="52"/>
        <v>0</v>
      </c>
      <c r="L156" s="299">
        <f t="shared" si="52"/>
        <v>0</v>
      </c>
      <c r="M156" s="212" t="b">
        <f t="shared" si="46"/>
        <v>1</v>
      </c>
    </row>
    <row r="157" spans="2:23" s="204" customFormat="1" x14ac:dyDescent="0.2">
      <c r="B157" s="212"/>
      <c r="C157" s="212">
        <f>C156+1</f>
        <v>4</v>
      </c>
      <c r="D157" s="213" t="str">
        <f t="shared" si="49"/>
        <v>Sala de switching del AEP</v>
      </c>
      <c r="E157" s="204" t="s">
        <v>195</v>
      </c>
      <c r="H157" s="263">
        <f>area.sala.switching</f>
        <v>20.52</v>
      </c>
      <c r="I157" s="299">
        <f t="shared" ref="I157:L157" si="53">I134/$H134*$H157</f>
        <v>20.52</v>
      </c>
      <c r="J157" s="299">
        <f t="shared" si="53"/>
        <v>0</v>
      </c>
      <c r="K157" s="299">
        <f t="shared" si="53"/>
        <v>0</v>
      </c>
      <c r="L157" s="299">
        <f t="shared" si="53"/>
        <v>0</v>
      </c>
      <c r="M157" s="212" t="b">
        <f t="shared" si="46"/>
        <v>1</v>
      </c>
    </row>
    <row r="158" spans="2:23" s="204" customFormat="1" x14ac:dyDescent="0.2">
      <c r="B158" s="212"/>
      <c r="C158" s="212">
        <f t="shared" ref="C158:C163" si="54">C157+1</f>
        <v>5</v>
      </c>
      <c r="D158" s="213" t="str">
        <f t="shared" si="49"/>
        <v>Sala equipos de transmisión del AEP</v>
      </c>
      <c r="E158" s="204" t="s">
        <v>195</v>
      </c>
      <c r="H158" s="263">
        <f>area.sala.transmision</f>
        <v>20.52</v>
      </c>
      <c r="I158" s="299">
        <f t="shared" ref="I158:L158" si="55">I135/$H135*$H158</f>
        <v>20.52</v>
      </c>
      <c r="J158" s="299">
        <f t="shared" si="55"/>
        <v>0</v>
      </c>
      <c r="K158" s="299">
        <f t="shared" si="55"/>
        <v>0</v>
      </c>
      <c r="L158" s="299">
        <f t="shared" si="55"/>
        <v>0</v>
      </c>
      <c r="M158" s="212" t="b">
        <f t="shared" si="46"/>
        <v>1</v>
      </c>
    </row>
    <row r="159" spans="2:23" s="204" customFormat="1" x14ac:dyDescent="0.2">
      <c r="B159" s="212"/>
      <c r="C159" s="212">
        <f t="shared" si="54"/>
        <v>6</v>
      </c>
      <c r="D159" s="213" t="str">
        <f t="shared" si="49"/>
        <v>Sala subestacion electrica</v>
      </c>
      <c r="E159" s="204" t="s">
        <v>195</v>
      </c>
      <c r="H159" s="263">
        <f>area.sala.subestacion.electrica</f>
        <v>24</v>
      </c>
      <c r="I159" s="299">
        <f t="shared" ref="I159:L159" si="56">I136/$H136*$H159</f>
        <v>19</v>
      </c>
      <c r="J159" s="299">
        <f t="shared" si="56"/>
        <v>5</v>
      </c>
      <c r="K159" s="299">
        <f t="shared" si="56"/>
        <v>0</v>
      </c>
      <c r="L159" s="299">
        <f t="shared" si="56"/>
        <v>0</v>
      </c>
      <c r="M159" s="212" t="b">
        <f t="shared" si="46"/>
        <v>1</v>
      </c>
    </row>
    <row r="160" spans="2:23" s="204" customFormat="1" x14ac:dyDescent="0.2">
      <c r="B160" s="212"/>
      <c r="C160" s="212">
        <f t="shared" si="54"/>
        <v>7</v>
      </c>
      <c r="D160" s="213" t="str">
        <f t="shared" si="49"/>
        <v>Sala planta de emergencia</v>
      </c>
      <c r="E160" s="204" t="s">
        <v>195</v>
      </c>
      <c r="H160" s="263">
        <f>area.sala.emergencia</f>
        <v>6.9411315789473687</v>
      </c>
      <c r="I160" s="299">
        <f t="shared" ref="I160:L160" si="57">I137/$H137*$H160</f>
        <v>6.9411315789473687</v>
      </c>
      <c r="J160" s="299">
        <f t="shared" si="57"/>
        <v>0</v>
      </c>
      <c r="K160" s="299">
        <f t="shared" si="57"/>
        <v>0</v>
      </c>
      <c r="L160" s="299">
        <f t="shared" si="57"/>
        <v>0</v>
      </c>
      <c r="M160" s="212" t="b">
        <f t="shared" si="46"/>
        <v>1</v>
      </c>
    </row>
    <row r="161" spans="2:23" s="204" customFormat="1" x14ac:dyDescent="0.2">
      <c r="B161" s="212"/>
      <c r="C161" s="212">
        <f t="shared" si="54"/>
        <v>8</v>
      </c>
      <c r="D161" s="213" t="str">
        <f t="shared" si="49"/>
        <v>Sala baterias</v>
      </c>
      <c r="E161" s="204" t="s">
        <v>195</v>
      </c>
      <c r="H161" s="263">
        <f>area.sala.baterias</f>
        <v>1.5750000000000002</v>
      </c>
      <c r="I161" s="299">
        <f t="shared" ref="I161:L161" si="58">I138/$H138*$H161</f>
        <v>1.5750000000000002</v>
      </c>
      <c r="J161" s="299">
        <f t="shared" si="58"/>
        <v>0</v>
      </c>
      <c r="K161" s="299">
        <f t="shared" si="58"/>
        <v>0</v>
      </c>
      <c r="L161" s="299">
        <f t="shared" si="58"/>
        <v>0</v>
      </c>
      <c r="M161" s="212" t="b">
        <f t="shared" si="46"/>
        <v>1</v>
      </c>
    </row>
    <row r="162" spans="2:23" s="204" customFormat="1" x14ac:dyDescent="0.2">
      <c r="B162" s="212"/>
      <c r="C162" s="212">
        <f t="shared" si="54"/>
        <v>9</v>
      </c>
      <c r="D162" s="213" t="str">
        <f t="shared" si="49"/>
        <v>Espacio de overheads</v>
      </c>
      <c r="E162" s="204" t="s">
        <v>195</v>
      </c>
      <c r="H162" s="263">
        <f>area.espacio.overheads</f>
        <v>7.8004131578947371</v>
      </c>
      <c r="I162" s="299">
        <f>SUM(I$154:I$161)/SUM($H$154:$H$161)*$H$162</f>
        <v>7.0607494765599403</v>
      </c>
      <c r="J162" s="299">
        <f t="shared" ref="J162:L162" si="59">SUM(J$154:J$161)/SUM($H$154:$H$161)*$H$162</f>
        <v>0.73966368133479643</v>
      </c>
      <c r="K162" s="299">
        <f t="shared" si="59"/>
        <v>0</v>
      </c>
      <c r="L162" s="299">
        <f t="shared" si="59"/>
        <v>0</v>
      </c>
      <c r="M162" s="212" t="b">
        <f t="shared" si="46"/>
        <v>1</v>
      </c>
    </row>
    <row r="163" spans="2:23" s="204" customFormat="1" x14ac:dyDescent="0.2">
      <c r="B163" s="212"/>
      <c r="C163" s="212">
        <f t="shared" si="54"/>
        <v>10</v>
      </c>
      <c r="D163" s="213" t="str">
        <f t="shared" si="49"/>
        <v>espacio vacante</v>
      </c>
      <c r="E163" s="204" t="s">
        <v>195</v>
      </c>
      <c r="H163" s="263"/>
      <c r="I163" s="299">
        <f>SUM(I$154:I$162)/SUM($H$154:$H$162)*$H$163</f>
        <v>0</v>
      </c>
      <c r="J163" s="299">
        <f t="shared" ref="J163:L163" si="60">SUM(J$154:J$162)/SUM($H$154:$H$162)*$H$163</f>
        <v>0</v>
      </c>
      <c r="K163" s="299">
        <f t="shared" si="60"/>
        <v>0</v>
      </c>
      <c r="L163" s="299">
        <f t="shared" si="60"/>
        <v>0</v>
      </c>
      <c r="M163" s="212" t="b">
        <f t="shared" si="46"/>
        <v>1</v>
      </c>
    </row>
    <row r="164" spans="2:23" x14ac:dyDescent="0.2">
      <c r="B164" s="212">
        <v>3</v>
      </c>
      <c r="C164" s="213" t="str">
        <f t="shared" si="47"/>
        <v>Sala coubicación externa</v>
      </c>
      <c r="D164" s="204"/>
      <c r="E164" s="204" t="s">
        <v>195</v>
      </c>
      <c r="H164" s="263">
        <f>area.sala.coubicacion.externa.CS</f>
        <v>0</v>
      </c>
      <c r="I164" s="299">
        <f>IF($H$164=0,0,I141/$H$141*$H$164)</f>
        <v>0</v>
      </c>
      <c r="J164" s="299">
        <f>IF($H$164=0,0,J141/$H$141*$H$164)</f>
        <v>0</v>
      </c>
      <c r="K164" s="299">
        <f>IF($H$164=0,0,K141/$H$141*$H$164)</f>
        <v>0</v>
      </c>
      <c r="L164" s="299">
        <f>IF($H$164=0,0,L141/$H$141*$H$164)</f>
        <v>0</v>
      </c>
      <c r="M164" s="212" t="b">
        <f t="shared" si="46"/>
        <v>1</v>
      </c>
    </row>
    <row r="165" spans="2:23" x14ac:dyDescent="0.2">
      <c r="B165" s="212">
        <v>4</v>
      </c>
      <c r="C165" s="213" t="str">
        <f t="shared" si="47"/>
        <v>Subestación electrica</v>
      </c>
      <c r="D165" s="204"/>
      <c r="E165" s="191" t="s">
        <v>395</v>
      </c>
      <c r="H165" s="263">
        <f>consumo.equipos.subestacion.electrica</f>
        <v>48</v>
      </c>
      <c r="I165" s="296">
        <f>I142/$H$142*$H$165</f>
        <v>38</v>
      </c>
      <c r="J165" s="296">
        <f>J142/$H$142*$H$165</f>
        <v>10</v>
      </c>
      <c r="K165" s="296">
        <f>K142/$H$142*$H$165</f>
        <v>0</v>
      </c>
      <c r="L165" s="296">
        <f>L142/$H$142*$H$165</f>
        <v>0</v>
      </c>
      <c r="M165" s="212" t="b">
        <f t="shared" si="46"/>
        <v>1</v>
      </c>
    </row>
    <row r="166" spans="2:23" x14ac:dyDescent="0.2">
      <c r="B166" s="212">
        <v>5</v>
      </c>
      <c r="C166" s="213" t="str">
        <f t="shared" si="47"/>
        <v>Fuente de energia de respaldo (planta de emergencia)</v>
      </c>
      <c r="D166" s="204"/>
      <c r="E166" s="204" t="s">
        <v>395</v>
      </c>
      <c r="H166" s="263">
        <f>potencia.minima.fuente.energia.respaldo</f>
        <v>30.400000000000002</v>
      </c>
      <c r="I166" s="296">
        <f>I143/$H$143*$H$166</f>
        <v>30.400000000000002</v>
      </c>
      <c r="J166" s="296">
        <f>J143/$H$143*$H$166</f>
        <v>0</v>
      </c>
      <c r="K166" s="296">
        <f>K143/$H$143*$H$166</f>
        <v>0</v>
      </c>
      <c r="L166" s="296">
        <f>L143/$H$143*$H$166</f>
        <v>0</v>
      </c>
      <c r="M166" s="212" t="b">
        <f t="shared" si="46"/>
        <v>1</v>
      </c>
    </row>
    <row r="167" spans="2:23" x14ac:dyDescent="0.2">
      <c r="B167" s="212">
        <v>6</v>
      </c>
      <c r="C167" s="213" t="str">
        <f t="shared" si="47"/>
        <v>Aire acondicionado</v>
      </c>
      <c r="D167" s="204"/>
      <c r="E167" s="191" t="s">
        <v>350</v>
      </c>
      <c r="H167" s="263">
        <f>capacidad.utilizada.aire.acondicionado</f>
        <v>10.980454473684212</v>
      </c>
      <c r="I167" s="299">
        <f>I144/$H$144*$H$167</f>
        <v>9.9392476536948955</v>
      </c>
      <c r="J167" s="299">
        <f>J144/$H$144*$H$167</f>
        <v>1.0412068199893163</v>
      </c>
      <c r="K167" s="299">
        <f>K144/$H$144*$H$167</f>
        <v>0</v>
      </c>
      <c r="L167" s="299">
        <f>L144/$H$144*$H$167</f>
        <v>0</v>
      </c>
      <c r="M167" s="212" t="b">
        <f t="shared" si="46"/>
        <v>1</v>
      </c>
    </row>
    <row r="169" spans="2:23" x14ac:dyDescent="0.2">
      <c r="B169" s="190" t="s">
        <v>450</v>
      </c>
      <c r="C169" s="190"/>
      <c r="D169" s="190"/>
      <c r="E169" s="190"/>
      <c r="F169" s="190"/>
      <c r="G169" s="190"/>
      <c r="H169" s="190"/>
      <c r="I169" s="190"/>
      <c r="J169" s="190"/>
      <c r="K169" s="190"/>
      <c r="L169" s="190"/>
      <c r="M169" s="190"/>
      <c r="N169" s="190"/>
      <c r="O169" s="190"/>
      <c r="P169" s="190"/>
      <c r="Q169" s="190"/>
      <c r="R169" s="190"/>
      <c r="S169" s="190"/>
      <c r="T169" s="190"/>
      <c r="U169" s="190"/>
      <c r="V169" s="190"/>
      <c r="W169" s="190"/>
    </row>
    <row r="171" spans="2:23" x14ac:dyDescent="0.2">
      <c r="B171" s="204"/>
      <c r="C171" s="144" t="s">
        <v>164</v>
      </c>
      <c r="D171" s="214" t="s">
        <v>448</v>
      </c>
      <c r="E171" s="214" t="s">
        <v>165</v>
      </c>
      <c r="H171" s="300" t="s">
        <v>97</v>
      </c>
      <c r="I171" s="214" t="s">
        <v>437</v>
      </c>
      <c r="J171" s="214" t="s">
        <v>438</v>
      </c>
      <c r="K171" s="214" t="s">
        <v>439</v>
      </c>
      <c r="L171" s="214" t="s">
        <v>440</v>
      </c>
      <c r="M171" s="204"/>
    </row>
    <row r="172" spans="2:23" x14ac:dyDescent="0.2">
      <c r="B172" s="212">
        <v>1</v>
      </c>
      <c r="C172" s="213" t="str">
        <f t="shared" ref="C172" si="61">INDEX(lista.activos,B172)</f>
        <v>Predio</v>
      </c>
      <c r="D172" s="204"/>
      <c r="E172" s="204" t="s">
        <v>195</v>
      </c>
      <c r="H172" s="288">
        <f>H149</f>
        <v>82.353408552631578</v>
      </c>
      <c r="I172" s="303">
        <f t="shared" ref="I172:L176" si="62">IF($H172=0,0,I149/$H149)</f>
        <v>0.90517634561623317</v>
      </c>
      <c r="J172" s="303">
        <f t="shared" si="62"/>
        <v>9.4823654383766665E-2</v>
      </c>
      <c r="K172" s="303">
        <f t="shared" si="62"/>
        <v>0</v>
      </c>
      <c r="L172" s="303">
        <f t="shared" si="62"/>
        <v>0</v>
      </c>
      <c r="M172" s="212" t="b">
        <f>IF(H172=0,SUM(I172:L172)=0,SUM(I172:L172)=1)</f>
        <v>1</v>
      </c>
    </row>
    <row r="173" spans="2:23" x14ac:dyDescent="0.2">
      <c r="B173" s="204"/>
      <c r="C173" s="212">
        <v>1</v>
      </c>
      <c r="D173" s="213" t="str">
        <f>INDEX(lista.componentes.predio,C173)</f>
        <v>Area caseta central</v>
      </c>
      <c r="E173" s="204" t="s">
        <v>195</v>
      </c>
      <c r="H173" s="301">
        <f>H150</f>
        <v>54.902272368421052</v>
      </c>
      <c r="I173" s="304">
        <f t="shared" si="62"/>
        <v>0.90517634561623328</v>
      </c>
      <c r="J173" s="304">
        <f t="shared" si="62"/>
        <v>9.4823654383766665E-2</v>
      </c>
      <c r="K173" s="304">
        <f t="shared" si="62"/>
        <v>0</v>
      </c>
      <c r="L173" s="304">
        <f t="shared" si="62"/>
        <v>0</v>
      </c>
      <c r="M173" s="212" t="b">
        <f t="shared" ref="M173:M190" si="63">IF(H173=0,SUM(I173:L173)=0,SUM(I173:L173)=1)</f>
        <v>1</v>
      </c>
    </row>
    <row r="174" spans="2:23" x14ac:dyDescent="0.2">
      <c r="B174" s="204"/>
      <c r="C174" s="212">
        <f>C173+1</f>
        <v>2</v>
      </c>
      <c r="D174" s="213" t="str">
        <f>INDEX(lista.componentes.predio,C174)</f>
        <v>Area sala coubicacion externa</v>
      </c>
      <c r="E174" s="204" t="s">
        <v>195</v>
      </c>
      <c r="H174" s="301">
        <f>H151</f>
        <v>0</v>
      </c>
      <c r="I174" s="304">
        <f t="shared" si="62"/>
        <v>0</v>
      </c>
      <c r="J174" s="304">
        <f t="shared" si="62"/>
        <v>0</v>
      </c>
      <c r="K174" s="304">
        <f t="shared" si="62"/>
        <v>0</v>
      </c>
      <c r="L174" s="304">
        <f t="shared" si="62"/>
        <v>0</v>
      </c>
      <c r="M174" s="212" t="b">
        <f t="shared" si="63"/>
        <v>1</v>
      </c>
    </row>
    <row r="175" spans="2:23" x14ac:dyDescent="0.2">
      <c r="B175" s="204"/>
      <c r="C175" s="212">
        <f>C174+1</f>
        <v>3</v>
      </c>
      <c r="D175" s="213" t="str">
        <f>INDEX(lista.componentes.predio,C175)</f>
        <v>Area libre</v>
      </c>
      <c r="E175" s="204" t="s">
        <v>195</v>
      </c>
      <c r="H175" s="301">
        <f>H152</f>
        <v>27.451136184210526</v>
      </c>
      <c r="I175" s="304">
        <f t="shared" si="62"/>
        <v>0.90517634561623328</v>
      </c>
      <c r="J175" s="304">
        <f t="shared" si="62"/>
        <v>9.4823654383766665E-2</v>
      </c>
      <c r="K175" s="304">
        <f t="shared" si="62"/>
        <v>0</v>
      </c>
      <c r="L175" s="304">
        <f t="shared" si="62"/>
        <v>0</v>
      </c>
      <c r="M175" s="212" t="b">
        <f t="shared" si="63"/>
        <v>1</v>
      </c>
    </row>
    <row r="176" spans="2:23" x14ac:dyDescent="0.2">
      <c r="B176" s="212">
        <v>2</v>
      </c>
      <c r="C176" s="213" t="str">
        <f t="shared" ref="C176:C190" si="64">INDEX(lista.activos,B176)</f>
        <v>Central del AEP</v>
      </c>
      <c r="D176" s="204"/>
      <c r="E176" s="204" t="s">
        <v>195</v>
      </c>
      <c r="H176" s="263">
        <f>H153</f>
        <v>109.8045447368421</v>
      </c>
      <c r="I176" s="303">
        <f t="shared" si="62"/>
        <v>0.90517634561623328</v>
      </c>
      <c r="J176" s="303">
        <f t="shared" si="62"/>
        <v>9.4823654383766665E-2</v>
      </c>
      <c r="K176" s="303">
        <f t="shared" si="62"/>
        <v>0</v>
      </c>
      <c r="L176" s="303">
        <f t="shared" si="62"/>
        <v>0</v>
      </c>
      <c r="M176" s="212" t="b">
        <f t="shared" si="63"/>
        <v>1</v>
      </c>
    </row>
    <row r="177" spans="2:23" s="204" customFormat="1" x14ac:dyDescent="0.2">
      <c r="B177" s="212"/>
      <c r="C177" s="212">
        <v>1</v>
      </c>
      <c r="D177" s="213" t="str">
        <f t="shared" ref="D177:D186" si="65">INDEX(lista.componentes.central.telmex,C177)</f>
        <v>Sala MDF/ODF AEP</v>
      </c>
      <c r="E177" s="204" t="s">
        <v>195</v>
      </c>
      <c r="H177" s="302">
        <f t="shared" ref="H177:H186" si="66">H154</f>
        <v>14.447999999999999</v>
      </c>
      <c r="I177" s="304">
        <f t="shared" ref="I177:L177" si="67">IF($H177=0,0,I154/$H154)</f>
        <v>1</v>
      </c>
      <c r="J177" s="304">
        <f t="shared" si="67"/>
        <v>0</v>
      </c>
      <c r="K177" s="304">
        <f t="shared" si="67"/>
        <v>0</v>
      </c>
      <c r="L177" s="304">
        <f t="shared" si="67"/>
        <v>0</v>
      </c>
      <c r="M177" s="212" t="b">
        <f t="shared" si="63"/>
        <v>1</v>
      </c>
    </row>
    <row r="178" spans="2:23" s="204" customFormat="1" x14ac:dyDescent="0.2">
      <c r="B178" s="212"/>
      <c r="C178" s="212">
        <f>C177+1</f>
        <v>2</v>
      </c>
      <c r="D178" s="213" t="str">
        <f t="shared" si="65"/>
        <v>Sala coubicación CS</v>
      </c>
      <c r="E178" s="204" t="s">
        <v>195</v>
      </c>
      <c r="H178" s="302">
        <f t="shared" si="66"/>
        <v>4</v>
      </c>
      <c r="I178" s="304">
        <f t="shared" ref="I178:L178" si="68">IF($H178=0,0,I155/$H155)</f>
        <v>0</v>
      </c>
      <c r="J178" s="304">
        <f t="shared" si="68"/>
        <v>1</v>
      </c>
      <c r="K178" s="304">
        <f t="shared" si="68"/>
        <v>0</v>
      </c>
      <c r="L178" s="304">
        <f t="shared" si="68"/>
        <v>0</v>
      </c>
      <c r="M178" s="212" t="b">
        <f t="shared" si="63"/>
        <v>1</v>
      </c>
    </row>
    <row r="179" spans="2:23" s="204" customFormat="1" x14ac:dyDescent="0.2">
      <c r="B179" s="212"/>
      <c r="C179" s="212">
        <f>C178+1</f>
        <v>3</v>
      </c>
      <c r="D179" s="213" t="str">
        <f t="shared" si="65"/>
        <v>Sala de control</v>
      </c>
      <c r="E179" s="204" t="s">
        <v>195</v>
      </c>
      <c r="H179" s="302">
        <f t="shared" si="66"/>
        <v>10</v>
      </c>
      <c r="I179" s="304">
        <f t="shared" ref="I179:L179" si="69">IF($H179=0,0,I156/$H156)</f>
        <v>0.93275954814416351</v>
      </c>
      <c r="J179" s="304">
        <f t="shared" si="69"/>
        <v>6.7240451855836478E-2</v>
      </c>
      <c r="K179" s="304">
        <f t="shared" si="69"/>
        <v>0</v>
      </c>
      <c r="L179" s="304">
        <f t="shared" si="69"/>
        <v>0</v>
      </c>
      <c r="M179" s="212" t="b">
        <f t="shared" si="63"/>
        <v>1</v>
      </c>
    </row>
    <row r="180" spans="2:23" s="204" customFormat="1" x14ac:dyDescent="0.2">
      <c r="B180" s="212"/>
      <c r="C180" s="212">
        <f>C179+1</f>
        <v>4</v>
      </c>
      <c r="D180" s="213" t="str">
        <f t="shared" si="65"/>
        <v>Sala de switching del AEP</v>
      </c>
      <c r="E180" s="204" t="s">
        <v>195</v>
      </c>
      <c r="H180" s="302">
        <f t="shared" si="66"/>
        <v>20.52</v>
      </c>
      <c r="I180" s="304">
        <f t="shared" ref="I180:L180" si="70">IF($H180=0,0,I157/$H157)</f>
        <v>1</v>
      </c>
      <c r="J180" s="304">
        <f t="shared" si="70"/>
        <v>0</v>
      </c>
      <c r="K180" s="304">
        <f t="shared" si="70"/>
        <v>0</v>
      </c>
      <c r="L180" s="304">
        <f t="shared" si="70"/>
        <v>0</v>
      </c>
      <c r="M180" s="212" t="b">
        <f t="shared" si="63"/>
        <v>1</v>
      </c>
    </row>
    <row r="181" spans="2:23" s="204" customFormat="1" x14ac:dyDescent="0.2">
      <c r="B181" s="212"/>
      <c r="C181" s="212">
        <f t="shared" ref="C181:C186" si="71">C180+1</f>
        <v>5</v>
      </c>
      <c r="D181" s="213" t="str">
        <f t="shared" si="65"/>
        <v>Sala equipos de transmisión del AEP</v>
      </c>
      <c r="E181" s="204" t="s">
        <v>195</v>
      </c>
      <c r="H181" s="302">
        <f t="shared" si="66"/>
        <v>20.52</v>
      </c>
      <c r="I181" s="304">
        <f t="shared" ref="I181:L181" si="72">IF($H181=0,0,I158/$H158)</f>
        <v>1</v>
      </c>
      <c r="J181" s="304">
        <f t="shared" si="72"/>
        <v>0</v>
      </c>
      <c r="K181" s="304">
        <f t="shared" si="72"/>
        <v>0</v>
      </c>
      <c r="L181" s="304">
        <f t="shared" si="72"/>
        <v>0</v>
      </c>
      <c r="M181" s="212" t="b">
        <f t="shared" si="63"/>
        <v>1</v>
      </c>
    </row>
    <row r="182" spans="2:23" s="204" customFormat="1" x14ac:dyDescent="0.2">
      <c r="B182" s="212"/>
      <c r="C182" s="212">
        <f t="shared" si="71"/>
        <v>6</v>
      </c>
      <c r="D182" s="213" t="str">
        <f t="shared" si="65"/>
        <v>Sala subestacion electrica</v>
      </c>
      <c r="E182" s="204" t="s">
        <v>195</v>
      </c>
      <c r="H182" s="302">
        <f t="shared" si="66"/>
        <v>24</v>
      </c>
      <c r="I182" s="304">
        <f t="shared" ref="I182:L182" si="73">IF($H182=0,0,I159/$H159)</f>
        <v>0.79166666666666663</v>
      </c>
      <c r="J182" s="304">
        <f t="shared" si="73"/>
        <v>0.20833333333333334</v>
      </c>
      <c r="K182" s="304">
        <f t="shared" si="73"/>
        <v>0</v>
      </c>
      <c r="L182" s="304">
        <f t="shared" si="73"/>
        <v>0</v>
      </c>
      <c r="M182" s="212" t="b">
        <f t="shared" si="63"/>
        <v>1</v>
      </c>
    </row>
    <row r="183" spans="2:23" s="204" customFormat="1" x14ac:dyDescent="0.2">
      <c r="B183" s="212"/>
      <c r="C183" s="212">
        <f t="shared" si="71"/>
        <v>7</v>
      </c>
      <c r="D183" s="213" t="str">
        <f t="shared" si="65"/>
        <v>Sala planta de emergencia</v>
      </c>
      <c r="E183" s="204" t="s">
        <v>195</v>
      </c>
      <c r="H183" s="302">
        <f t="shared" si="66"/>
        <v>6.9411315789473687</v>
      </c>
      <c r="I183" s="304">
        <f t="shared" ref="I183:L183" si="74">IF($H183=0,0,I160/$H160)</f>
        <v>1</v>
      </c>
      <c r="J183" s="304">
        <f t="shared" si="74"/>
        <v>0</v>
      </c>
      <c r="K183" s="304">
        <f t="shared" si="74"/>
        <v>0</v>
      </c>
      <c r="L183" s="304">
        <f t="shared" si="74"/>
        <v>0</v>
      </c>
      <c r="M183" s="212" t="b">
        <f t="shared" si="63"/>
        <v>1</v>
      </c>
    </row>
    <row r="184" spans="2:23" s="204" customFormat="1" x14ac:dyDescent="0.2">
      <c r="B184" s="212"/>
      <c r="C184" s="212">
        <f t="shared" si="71"/>
        <v>8</v>
      </c>
      <c r="D184" s="213" t="str">
        <f t="shared" si="65"/>
        <v>Sala baterias</v>
      </c>
      <c r="E184" s="204" t="s">
        <v>195</v>
      </c>
      <c r="H184" s="302">
        <f t="shared" si="66"/>
        <v>1.5750000000000002</v>
      </c>
      <c r="I184" s="304">
        <f t="shared" ref="I184:L184" si="75">IF($H184=0,0,I161/$H161)</f>
        <v>1</v>
      </c>
      <c r="J184" s="304">
        <f t="shared" si="75"/>
        <v>0</v>
      </c>
      <c r="K184" s="304">
        <f t="shared" si="75"/>
        <v>0</v>
      </c>
      <c r="L184" s="304">
        <f t="shared" si="75"/>
        <v>0</v>
      </c>
      <c r="M184" s="212" t="b">
        <f t="shared" si="63"/>
        <v>1</v>
      </c>
    </row>
    <row r="185" spans="2:23" s="204" customFormat="1" x14ac:dyDescent="0.2">
      <c r="B185" s="212"/>
      <c r="C185" s="212">
        <f t="shared" si="71"/>
        <v>9</v>
      </c>
      <c r="D185" s="213" t="str">
        <f t="shared" si="65"/>
        <v>Espacio de overheads</v>
      </c>
      <c r="E185" s="204" t="s">
        <v>195</v>
      </c>
      <c r="H185" s="302">
        <f t="shared" si="66"/>
        <v>7.8004131578947371</v>
      </c>
      <c r="I185" s="304">
        <f t="shared" ref="I185:L185" si="76">IF($H185=0,0,I162/$H162)</f>
        <v>0.90517634561623328</v>
      </c>
      <c r="J185" s="304">
        <f t="shared" si="76"/>
        <v>9.4823654383766665E-2</v>
      </c>
      <c r="K185" s="304">
        <f t="shared" si="76"/>
        <v>0</v>
      </c>
      <c r="L185" s="304">
        <f t="shared" si="76"/>
        <v>0</v>
      </c>
      <c r="M185" s="212" t="b">
        <f t="shared" si="63"/>
        <v>1</v>
      </c>
    </row>
    <row r="186" spans="2:23" s="204" customFormat="1" x14ac:dyDescent="0.2">
      <c r="B186" s="212"/>
      <c r="C186" s="212">
        <f t="shared" si="71"/>
        <v>10</v>
      </c>
      <c r="D186" s="213" t="str">
        <f t="shared" si="65"/>
        <v>espacio vacante</v>
      </c>
      <c r="E186" s="204" t="s">
        <v>195</v>
      </c>
      <c r="H186" s="302">
        <f t="shared" si="66"/>
        <v>0</v>
      </c>
      <c r="I186" s="304">
        <f t="shared" ref="I186:L186" si="77">IF($H186=0,0,I163/$H163)</f>
        <v>0</v>
      </c>
      <c r="J186" s="304">
        <f t="shared" si="77"/>
        <v>0</v>
      </c>
      <c r="K186" s="304">
        <f t="shared" si="77"/>
        <v>0</v>
      </c>
      <c r="L186" s="304">
        <f t="shared" si="77"/>
        <v>0</v>
      </c>
      <c r="M186" s="212" t="b">
        <f t="shared" si="63"/>
        <v>1</v>
      </c>
    </row>
    <row r="187" spans="2:23" x14ac:dyDescent="0.2">
      <c r="B187" s="212">
        <v>3</v>
      </c>
      <c r="C187" s="213" t="str">
        <f t="shared" ref="C187" si="78">INDEX(lista.activos,B187)</f>
        <v>Sala coubicación externa</v>
      </c>
      <c r="D187" s="204"/>
      <c r="E187" s="204" t="s">
        <v>195</v>
      </c>
      <c r="H187" s="263">
        <f>H164</f>
        <v>0</v>
      </c>
      <c r="I187" s="303">
        <f t="shared" ref="I187:L187" si="79">IF($H187=0,0,I164/$H164)</f>
        <v>0</v>
      </c>
      <c r="J187" s="303">
        <f t="shared" si="79"/>
        <v>0</v>
      </c>
      <c r="K187" s="303">
        <f t="shared" si="79"/>
        <v>0</v>
      </c>
      <c r="L187" s="303">
        <f t="shared" si="79"/>
        <v>0</v>
      </c>
      <c r="M187" s="212" t="b">
        <f t="shared" si="63"/>
        <v>1</v>
      </c>
    </row>
    <row r="188" spans="2:23" x14ac:dyDescent="0.2">
      <c r="B188" s="212">
        <v>4</v>
      </c>
      <c r="C188" s="213" t="str">
        <f t="shared" si="64"/>
        <v>Subestación electrica</v>
      </c>
      <c r="D188" s="204"/>
      <c r="E188" s="204" t="s">
        <v>395</v>
      </c>
      <c r="H188" s="263">
        <f>H165</f>
        <v>48</v>
      </c>
      <c r="I188" s="303">
        <f t="shared" ref="I188:L188" si="80">IF($H188=0,0,I165/$H165)</f>
        <v>0.79166666666666663</v>
      </c>
      <c r="J188" s="303">
        <f t="shared" si="80"/>
        <v>0.20833333333333334</v>
      </c>
      <c r="K188" s="303">
        <f t="shared" si="80"/>
        <v>0</v>
      </c>
      <c r="L188" s="303">
        <f t="shared" si="80"/>
        <v>0</v>
      </c>
      <c r="M188" s="212" t="b">
        <f t="shared" si="63"/>
        <v>1</v>
      </c>
    </row>
    <row r="189" spans="2:23" x14ac:dyDescent="0.2">
      <c r="B189" s="212">
        <v>5</v>
      </c>
      <c r="C189" s="213" t="str">
        <f t="shared" si="64"/>
        <v>Fuente de energia de respaldo (planta de emergencia)</v>
      </c>
      <c r="D189" s="204"/>
      <c r="E189" s="204" t="s">
        <v>395</v>
      </c>
      <c r="H189" s="263">
        <f>H166</f>
        <v>30.400000000000002</v>
      </c>
      <c r="I189" s="303">
        <f t="shared" ref="I189:L189" si="81">IF($H189=0,0,I166/$H166)</f>
        <v>1</v>
      </c>
      <c r="J189" s="303">
        <f t="shared" si="81"/>
        <v>0</v>
      </c>
      <c r="K189" s="303">
        <f t="shared" si="81"/>
        <v>0</v>
      </c>
      <c r="L189" s="303">
        <f t="shared" si="81"/>
        <v>0</v>
      </c>
      <c r="M189" s="212" t="b">
        <f t="shared" si="63"/>
        <v>1</v>
      </c>
    </row>
    <row r="190" spans="2:23" x14ac:dyDescent="0.2">
      <c r="B190" s="212">
        <v>6</v>
      </c>
      <c r="C190" s="213" t="str">
        <f t="shared" si="64"/>
        <v>Aire acondicionado</v>
      </c>
      <c r="D190" s="204"/>
      <c r="E190" s="204" t="s">
        <v>350</v>
      </c>
      <c r="H190" s="263">
        <f>H167</f>
        <v>10.980454473684212</v>
      </c>
      <c r="I190" s="303">
        <f t="shared" ref="I190:L190" si="82">IF($H190=0,0,I167/$H167)</f>
        <v>0.90517634561623328</v>
      </c>
      <c r="J190" s="303">
        <f t="shared" si="82"/>
        <v>9.4823654383766678E-2</v>
      </c>
      <c r="K190" s="303">
        <f t="shared" si="82"/>
        <v>0</v>
      </c>
      <c r="L190" s="303">
        <f t="shared" si="82"/>
        <v>0</v>
      </c>
      <c r="M190" s="212" t="b">
        <f t="shared" si="63"/>
        <v>1</v>
      </c>
    </row>
    <row r="192" spans="2:23" x14ac:dyDescent="0.2">
      <c r="B192" s="190" t="s">
        <v>451</v>
      </c>
      <c r="C192" s="190"/>
      <c r="D192" s="190"/>
      <c r="E192" s="190"/>
      <c r="F192" s="190"/>
      <c r="G192" s="190"/>
      <c r="H192" s="190"/>
      <c r="I192" s="190"/>
      <c r="J192" s="190"/>
      <c r="K192" s="190"/>
      <c r="L192" s="190"/>
      <c r="M192" s="190"/>
      <c r="N192" s="190"/>
      <c r="O192" s="190"/>
      <c r="P192" s="190"/>
      <c r="Q192" s="190"/>
      <c r="R192" s="190"/>
      <c r="S192" s="190"/>
      <c r="T192" s="190"/>
      <c r="U192" s="190"/>
      <c r="V192" s="190"/>
      <c r="W192" s="190"/>
    </row>
    <row r="193" spans="2:23" x14ac:dyDescent="0.2">
      <c r="H193" s="203" t="s">
        <v>428</v>
      </c>
      <c r="I193" s="203" t="s">
        <v>396</v>
      </c>
      <c r="J193" s="144" t="s">
        <v>261</v>
      </c>
      <c r="K193" s="349" t="b">
        <f>ROUND(H194, 2)=ROUND(SUM(H204,H220,H236,H252), 2)</f>
        <v>1</v>
      </c>
      <c r="L193" s="349" t="b">
        <f t="shared" ref="L193:M193" si="83">ROUND(I194, 2)=ROUND(SUM(I204,I220,I236,I252), 2)</f>
        <v>1</v>
      </c>
      <c r="M193" s="349" t="b">
        <f t="shared" si="83"/>
        <v>1</v>
      </c>
    </row>
    <row r="194" spans="2:23" x14ac:dyDescent="0.2">
      <c r="B194" s="204"/>
      <c r="C194" s="144" t="s">
        <v>164</v>
      </c>
      <c r="D194" s="204"/>
      <c r="E194" s="232" t="s">
        <v>263</v>
      </c>
      <c r="H194" s="246">
        <f t="shared" ref="H194:J200" si="84">R94</f>
        <v>409161.71022493311</v>
      </c>
      <c r="I194" s="246">
        <f t="shared" si="84"/>
        <v>294227.57226674468</v>
      </c>
      <c r="J194" s="246">
        <f t="shared" si="84"/>
        <v>703389.28249167767</v>
      </c>
      <c r="K194" s="349" t="b">
        <f t="shared" ref="K194:K200" si="85">ROUND(H195, 2)=ROUND(SUM(H205,H221,H237,H253), 2)</f>
        <v>1</v>
      </c>
      <c r="L194" s="349" t="b">
        <f t="shared" ref="L194:L200" si="86">ROUND(I195, 2)=ROUND(SUM(I205,I221,I237,I253), 2)</f>
        <v>1</v>
      </c>
      <c r="M194" s="349" t="b">
        <f t="shared" ref="M194:M200" si="87">ROUND(J195, 2)=ROUND(SUM(J205,J221,J237,J253), 2)</f>
        <v>1</v>
      </c>
    </row>
    <row r="195" spans="2:23" x14ac:dyDescent="0.2">
      <c r="B195" s="212">
        <v>1</v>
      </c>
      <c r="C195" s="213" t="str">
        <f t="shared" ref="C195:C200" si="88">INDEX(lista.activos,B195)</f>
        <v>Predio</v>
      </c>
      <c r="D195" s="204"/>
      <c r="E195" s="213" t="str">
        <f>$E$194</f>
        <v>MXN/año</v>
      </c>
      <c r="H195" s="247">
        <f t="shared" si="84"/>
        <v>6154.1067334223371</v>
      </c>
      <c r="I195" s="247">
        <f t="shared" si="84"/>
        <v>0</v>
      </c>
      <c r="J195" s="247">
        <f t="shared" si="84"/>
        <v>6154.1067334223371</v>
      </c>
      <c r="K195" s="349" t="b">
        <f t="shared" si="85"/>
        <v>1</v>
      </c>
      <c r="L195" s="349" t="b">
        <f t="shared" si="86"/>
        <v>1</v>
      </c>
      <c r="M195" s="349" t="b">
        <f t="shared" si="87"/>
        <v>1</v>
      </c>
      <c r="O195" s="212" t="b">
        <f>H195=capex.predio</f>
        <v>1</v>
      </c>
      <c r="P195" s="212" t="b">
        <f>I195=opex.predio</f>
        <v>1</v>
      </c>
    </row>
    <row r="196" spans="2:23" x14ac:dyDescent="0.2">
      <c r="B196" s="212">
        <f>B195+1</f>
        <v>2</v>
      </c>
      <c r="C196" s="213" t="str">
        <f t="shared" si="88"/>
        <v>Central del AEP</v>
      </c>
      <c r="D196" s="204"/>
      <c r="E196" s="213" t="str">
        <f t="shared" ref="E196:E200" si="89">$E$194</f>
        <v>MXN/año</v>
      </c>
      <c r="H196" s="247">
        <f t="shared" si="84"/>
        <v>220874.02866002271</v>
      </c>
      <c r="I196" s="247">
        <f t="shared" si="84"/>
        <v>246067.0695839448</v>
      </c>
      <c r="J196" s="247">
        <f t="shared" si="84"/>
        <v>466941.09824396751</v>
      </c>
      <c r="K196" s="349" t="b">
        <f t="shared" si="85"/>
        <v>1</v>
      </c>
      <c r="L196" s="349" t="b">
        <f t="shared" si="86"/>
        <v>1</v>
      </c>
      <c r="M196" s="349" t="b">
        <f t="shared" si="87"/>
        <v>1</v>
      </c>
      <c r="O196" s="212" t="b">
        <f>H196=capex.central.telmex</f>
        <v>1</v>
      </c>
      <c r="P196" s="212" t="b">
        <f>I196=opex.central.telmex</f>
        <v>1</v>
      </c>
    </row>
    <row r="197" spans="2:23" x14ac:dyDescent="0.2">
      <c r="B197" s="212">
        <f t="shared" ref="B197:B200" si="90">B196+1</f>
        <v>3</v>
      </c>
      <c r="C197" s="213" t="str">
        <f t="shared" si="88"/>
        <v>Sala coubicación externa</v>
      </c>
      <c r="D197" s="204"/>
      <c r="E197" s="213" t="str">
        <f t="shared" si="89"/>
        <v>MXN/año</v>
      </c>
      <c r="H197" s="247">
        <f t="shared" si="84"/>
        <v>0</v>
      </c>
      <c r="I197" s="247">
        <f t="shared" si="84"/>
        <v>0</v>
      </c>
      <c r="J197" s="247">
        <f t="shared" si="84"/>
        <v>0</v>
      </c>
      <c r="K197" s="349" t="b">
        <f t="shared" si="85"/>
        <v>1</v>
      </c>
      <c r="L197" s="349" t="b">
        <f t="shared" si="86"/>
        <v>1</v>
      </c>
      <c r="M197" s="349" t="b">
        <f t="shared" si="87"/>
        <v>1</v>
      </c>
      <c r="O197" s="212" t="b">
        <f>H197=capex.sala.coubicacion.externa</f>
        <v>1</v>
      </c>
      <c r="P197" s="212" t="b">
        <f>I197=opex.sala.coubicacion.externa</f>
        <v>1</v>
      </c>
    </row>
    <row r="198" spans="2:23" x14ac:dyDescent="0.2">
      <c r="B198" s="212">
        <f t="shared" si="90"/>
        <v>4</v>
      </c>
      <c r="C198" s="213" t="str">
        <f t="shared" si="88"/>
        <v>Subestación electrica</v>
      </c>
      <c r="D198" s="204"/>
      <c r="E198" s="213" t="str">
        <f t="shared" si="89"/>
        <v>MXN/año</v>
      </c>
      <c r="H198" s="247">
        <f t="shared" si="84"/>
        <v>106381.19334613068</v>
      </c>
      <c r="I198" s="247">
        <f t="shared" si="84"/>
        <v>34080.449710447843</v>
      </c>
      <c r="J198" s="247">
        <f t="shared" si="84"/>
        <v>140461.64305657853</v>
      </c>
      <c r="K198" s="349" t="b">
        <f t="shared" si="85"/>
        <v>1</v>
      </c>
      <c r="L198" s="349" t="b">
        <f t="shared" si="86"/>
        <v>1</v>
      </c>
      <c r="M198" s="349" t="b">
        <f t="shared" si="87"/>
        <v>1</v>
      </c>
      <c r="O198" s="212" t="b">
        <f>H198=capex.subestacion.electrica</f>
        <v>1</v>
      </c>
      <c r="P198" s="212" t="b">
        <f>I198=opex.subestacion.electrica</f>
        <v>1</v>
      </c>
    </row>
    <row r="199" spans="2:23" x14ac:dyDescent="0.2">
      <c r="B199" s="212">
        <f t="shared" si="90"/>
        <v>5</v>
      </c>
      <c r="C199" s="213" t="str">
        <f t="shared" si="88"/>
        <v>Fuente de energia de respaldo (planta de emergencia)</v>
      </c>
      <c r="D199" s="204"/>
      <c r="E199" s="213" t="str">
        <f t="shared" si="89"/>
        <v>MXN/año</v>
      </c>
      <c r="H199" s="247">
        <f t="shared" si="84"/>
        <v>46621.454933810332</v>
      </c>
      <c r="I199" s="247">
        <f t="shared" si="84"/>
        <v>13259.569809846435</v>
      </c>
      <c r="J199" s="247">
        <f t="shared" si="84"/>
        <v>59881.024743656766</v>
      </c>
      <c r="K199" s="349" t="b">
        <f t="shared" si="85"/>
        <v>1</v>
      </c>
      <c r="L199" s="349" t="b">
        <f t="shared" si="86"/>
        <v>1</v>
      </c>
      <c r="M199" s="349" t="b">
        <f t="shared" si="87"/>
        <v>1</v>
      </c>
      <c r="O199" s="212" t="b">
        <f>H199=capex.fuente.energia.respaldo</f>
        <v>1</v>
      </c>
      <c r="P199" s="212" t="b">
        <f>I199=opex.fuente.energia.respaldo</f>
        <v>1</v>
      </c>
    </row>
    <row r="200" spans="2:23" x14ac:dyDescent="0.2">
      <c r="B200" s="212">
        <f t="shared" si="90"/>
        <v>6</v>
      </c>
      <c r="C200" s="213" t="str">
        <f t="shared" si="88"/>
        <v>Aire acondicionado</v>
      </c>
      <c r="D200" s="204"/>
      <c r="E200" s="213" t="str">
        <f t="shared" si="89"/>
        <v>MXN/año</v>
      </c>
      <c r="H200" s="247">
        <f t="shared" si="84"/>
        <v>29130.926551546996</v>
      </c>
      <c r="I200" s="247">
        <f t="shared" si="84"/>
        <v>820.48316250556786</v>
      </c>
      <c r="J200" s="247">
        <f t="shared" si="84"/>
        <v>29951.409714052563</v>
      </c>
      <c r="K200" s="349" t="b">
        <f t="shared" si="85"/>
        <v>1</v>
      </c>
      <c r="L200" s="349" t="b">
        <f t="shared" si="86"/>
        <v>1</v>
      </c>
      <c r="M200" s="349" t="b">
        <f t="shared" si="87"/>
        <v>1</v>
      </c>
      <c r="O200" s="212" t="b">
        <f>H200=capex.aire.acondicionado</f>
        <v>1</v>
      </c>
      <c r="P200" s="212" t="b">
        <f>I200=opex.aire.acondicionado</f>
        <v>1</v>
      </c>
    </row>
    <row r="202" spans="2:23" x14ac:dyDescent="0.2">
      <c r="C202" s="219" t="s">
        <v>437</v>
      </c>
      <c r="D202" s="219"/>
      <c r="E202" s="219"/>
      <c r="F202" s="219"/>
      <c r="G202" s="219"/>
      <c r="H202" s="219"/>
      <c r="I202" s="219"/>
      <c r="J202" s="219"/>
      <c r="K202" s="219"/>
      <c r="L202" s="219"/>
      <c r="M202" s="219"/>
      <c r="N202" s="219"/>
      <c r="O202" s="219"/>
      <c r="P202" s="219"/>
      <c r="Q202" s="219"/>
      <c r="R202" s="219"/>
      <c r="S202" s="219"/>
      <c r="T202" s="219"/>
      <c r="U202" s="219"/>
      <c r="V202" s="219"/>
      <c r="W202" s="219"/>
    </row>
    <row r="203" spans="2:23" x14ac:dyDescent="0.2">
      <c r="H203" s="203" t="s">
        <v>428</v>
      </c>
      <c r="I203" s="203" t="s">
        <v>396</v>
      </c>
      <c r="J203" s="144" t="s">
        <v>261</v>
      </c>
    </row>
    <row r="204" spans="2:23" x14ac:dyDescent="0.2">
      <c r="B204" s="204"/>
      <c r="C204" s="144" t="s">
        <v>164</v>
      </c>
      <c r="D204" s="204"/>
      <c r="E204" s="232" t="s">
        <v>263</v>
      </c>
      <c r="H204" s="245">
        <f>SUM(H205:H210)</f>
        <v>362709.02325401403</v>
      </c>
      <c r="I204" s="245">
        <f t="shared" ref="I204:J204" si="91">SUM(I205:I210)</f>
        <v>263716.69860378461</v>
      </c>
      <c r="J204" s="245">
        <f t="shared" si="91"/>
        <v>626425.72185779864</v>
      </c>
    </row>
    <row r="205" spans="2:23" x14ac:dyDescent="0.2">
      <c r="B205" s="212">
        <v>1</v>
      </c>
      <c r="C205" s="213" t="str">
        <f t="shared" ref="C205:C210" si="92">INDEX(lista.activos,B205)</f>
        <v>Predio</v>
      </c>
      <c r="D205" s="204"/>
      <c r="E205" s="213" t="str">
        <f>$E$194</f>
        <v>MXN/año</v>
      </c>
      <c r="H205" s="228">
        <f>H195*$I$172</f>
        <v>5570.5518434914848</v>
      </c>
      <c r="I205" s="228">
        <f t="shared" ref="I205:J205" si="93">I195*$I$172</f>
        <v>0</v>
      </c>
      <c r="J205" s="228">
        <f t="shared" si="93"/>
        <v>5570.5518434914848</v>
      </c>
    </row>
    <row r="206" spans="2:23" x14ac:dyDescent="0.2">
      <c r="B206" s="212">
        <f>B205+1</f>
        <v>2</v>
      </c>
      <c r="C206" s="213" t="str">
        <f t="shared" si="92"/>
        <v>Central del AEP</v>
      </c>
      <c r="D206" s="204"/>
      <c r="E206" s="213" t="str">
        <f t="shared" ref="E206:E210" si="94">$E$194</f>
        <v>MXN/año</v>
      </c>
      <c r="H206" s="228">
        <f>H196*$I176</f>
        <v>199929.94610401453</v>
      </c>
      <c r="I206" s="228">
        <f t="shared" ref="I206:J206" si="95">I196*$I176</f>
        <v>222734.09082249054</v>
      </c>
      <c r="J206" s="228">
        <f t="shared" si="95"/>
        <v>422664.0369265051</v>
      </c>
    </row>
    <row r="207" spans="2:23" x14ac:dyDescent="0.2">
      <c r="B207" s="212">
        <f t="shared" ref="B207:B210" si="96">B206+1</f>
        <v>3</v>
      </c>
      <c r="C207" s="213" t="str">
        <f t="shared" si="92"/>
        <v>Sala coubicación externa</v>
      </c>
      <c r="D207" s="204"/>
      <c r="E207" s="213" t="str">
        <f t="shared" si="94"/>
        <v>MXN/año</v>
      </c>
      <c r="H207" s="228">
        <f t="shared" ref="H207:J207" si="97">H197*$I187</f>
        <v>0</v>
      </c>
      <c r="I207" s="228">
        <f t="shared" si="97"/>
        <v>0</v>
      </c>
      <c r="J207" s="228">
        <f t="shared" si="97"/>
        <v>0</v>
      </c>
      <c r="L207" s="253"/>
    </row>
    <row r="208" spans="2:23" x14ac:dyDescent="0.2">
      <c r="B208" s="212">
        <f t="shared" si="96"/>
        <v>4</v>
      </c>
      <c r="C208" s="213" t="str">
        <f t="shared" si="92"/>
        <v>Subestación electrica</v>
      </c>
      <c r="D208" s="204"/>
      <c r="E208" s="213" t="str">
        <f t="shared" si="94"/>
        <v>MXN/año</v>
      </c>
      <c r="H208" s="228">
        <f t="shared" ref="H208:J208" si="98">H198*$I188</f>
        <v>84218.444732353455</v>
      </c>
      <c r="I208" s="228">
        <f t="shared" si="98"/>
        <v>26980.356020771207</v>
      </c>
      <c r="J208" s="228">
        <f t="shared" si="98"/>
        <v>111198.80075312465</v>
      </c>
      <c r="L208" s="253"/>
    </row>
    <row r="209" spans="2:23" x14ac:dyDescent="0.2">
      <c r="B209" s="212">
        <f t="shared" si="96"/>
        <v>5</v>
      </c>
      <c r="C209" s="213" t="str">
        <f t="shared" si="92"/>
        <v>Fuente de energia de respaldo (planta de emergencia)</v>
      </c>
      <c r="D209" s="204"/>
      <c r="E209" s="213" t="str">
        <f t="shared" si="94"/>
        <v>MXN/año</v>
      </c>
      <c r="H209" s="228">
        <f t="shared" ref="H209:J209" si="99">H199*$I189</f>
        <v>46621.454933810332</v>
      </c>
      <c r="I209" s="228">
        <f t="shared" si="99"/>
        <v>13259.569809846435</v>
      </c>
      <c r="J209" s="228">
        <f t="shared" si="99"/>
        <v>59881.024743656766</v>
      </c>
    </row>
    <row r="210" spans="2:23" x14ac:dyDescent="0.2">
      <c r="B210" s="212">
        <f t="shared" si="96"/>
        <v>6</v>
      </c>
      <c r="C210" s="213" t="str">
        <f t="shared" si="92"/>
        <v>Aire acondicionado</v>
      </c>
      <c r="D210" s="204"/>
      <c r="E210" s="213" t="str">
        <f t="shared" si="94"/>
        <v>MXN/año</v>
      </c>
      <c r="H210" s="228">
        <f t="shared" ref="H210:J210" si="100">H200*$I190</f>
        <v>26368.625640344209</v>
      </c>
      <c r="I210" s="228">
        <f t="shared" si="100"/>
        <v>742.68195067644001</v>
      </c>
      <c r="J210" s="228">
        <f t="shared" si="100"/>
        <v>27111.30759102065</v>
      </c>
    </row>
    <row r="211" spans="2:23" x14ac:dyDescent="0.2">
      <c r="H211" s="248"/>
      <c r="I211" s="248"/>
      <c r="J211" s="248"/>
    </row>
    <row r="212" spans="2:23" x14ac:dyDescent="0.2">
      <c r="B212" s="204"/>
      <c r="C212" s="144" t="s">
        <v>433</v>
      </c>
      <c r="D212" s="204"/>
      <c r="H212" s="245">
        <f>SUM(H213:H216)</f>
        <v>362709.02325401397</v>
      </c>
      <c r="I212" s="245">
        <f>SUM(I213:I216)</f>
        <v>263716.69860378461</v>
      </c>
      <c r="J212" s="245">
        <f>SUM(J213:J216)</f>
        <v>626425.72185779864</v>
      </c>
    </row>
    <row r="213" spans="2:23" x14ac:dyDescent="0.2">
      <c r="B213" s="212">
        <v>1</v>
      </c>
      <c r="C213" s="213" t="str">
        <f>INDEX(lista.servicios,B213)</f>
        <v>Coubicación (CI/CE)</v>
      </c>
      <c r="D213" s="204"/>
      <c r="E213" s="213" t="str">
        <f t="shared" ref="E213:E216" si="101">$E$194</f>
        <v>MXN/año</v>
      </c>
      <c r="H213" s="249">
        <f>SUMPRODUCT(H205:H210,$H$8:$H$13)</f>
        <v>139259.5070542969</v>
      </c>
      <c r="I213" s="249">
        <f t="shared" ref="I213:J213" si="102">SUMPRODUCT(I205:I210,$H$8:$H$13)</f>
        <v>148937.60775784802</v>
      </c>
      <c r="J213" s="249">
        <f t="shared" si="102"/>
        <v>288197.11481214495</v>
      </c>
    </row>
    <row r="214" spans="2:23" x14ac:dyDescent="0.2">
      <c r="B214" s="212">
        <f>B213+1</f>
        <v>2</v>
      </c>
      <c r="C214" s="213" t="str">
        <f>INDEX(lista.servicios,B214)</f>
        <v>Subestación electrica</v>
      </c>
      <c r="D214" s="204"/>
      <c r="E214" s="213" t="str">
        <f t="shared" si="101"/>
        <v>MXN/año</v>
      </c>
      <c r="H214" s="249">
        <f>SUMPRODUCT(H205:H210,$I$8:$I$13)</f>
        <v>125732.23436734728</v>
      </c>
      <c r="I214" s="249">
        <f>SUMPRODUCT(I205:I210,$I$8:$I$13)</f>
        <v>73229.23654683269</v>
      </c>
      <c r="J214" s="249">
        <f>SUMPRODUCT(J205:J210,$I$8:$I$13)</f>
        <v>198961.47091417998</v>
      </c>
    </row>
    <row r="215" spans="2:23" x14ac:dyDescent="0.2">
      <c r="B215" s="212">
        <f t="shared" ref="B215:B216" si="103">B214+1</f>
        <v>3</v>
      </c>
      <c r="C215" s="213" t="str">
        <f>INDEX(lista.servicios,B215)</f>
        <v>Fuente de energia de respaldo</v>
      </c>
      <c r="D215" s="204"/>
      <c r="E215" s="213" t="str">
        <f t="shared" si="101"/>
        <v>MXN/año</v>
      </c>
      <c r="H215" s="249">
        <f>SUMPRODUCT(H205:H210,$J$8:$J$13)</f>
        <v>61352.158886824865</v>
      </c>
      <c r="I215" s="249">
        <f>SUMPRODUCT(I205:I210,$J$8:$J$13)</f>
        <v>29670.467807302946</v>
      </c>
      <c r="J215" s="249">
        <f>SUMPRODUCT(J205:J210,$J$8:$J$13)</f>
        <v>91022.626694127815</v>
      </c>
    </row>
    <row r="216" spans="2:23" x14ac:dyDescent="0.2">
      <c r="B216" s="212">
        <f t="shared" si="103"/>
        <v>4</v>
      </c>
      <c r="C216" s="213" t="str">
        <f>INDEX(lista.servicios,B216)</f>
        <v>Aire acondicionado</v>
      </c>
      <c r="D216" s="204"/>
      <c r="E216" s="213" t="str">
        <f t="shared" si="101"/>
        <v>MXN/año</v>
      </c>
      <c r="H216" s="249">
        <f>SUMPRODUCT(H205:H210,$K$8:$K$13)</f>
        <v>36365.122945544936</v>
      </c>
      <c r="I216" s="249">
        <f>SUMPRODUCT(I205:I210,$K$8:$K$13)</f>
        <v>11879.386491800968</v>
      </c>
      <c r="J216" s="249">
        <f>SUMPRODUCT(J205:J210,$K$8:$K$13)</f>
        <v>48244.509437345907</v>
      </c>
    </row>
    <row r="218" spans="2:23" x14ac:dyDescent="0.2">
      <c r="B218" s="204"/>
      <c r="C218" s="219" t="s">
        <v>438</v>
      </c>
      <c r="D218" s="219"/>
      <c r="E218" s="219"/>
      <c r="F218" s="219"/>
      <c r="G218" s="219"/>
      <c r="H218" s="219"/>
      <c r="I218" s="219"/>
      <c r="J218" s="219"/>
      <c r="K218" s="219"/>
      <c r="L218" s="219"/>
      <c r="M218" s="219"/>
      <c r="N218" s="219"/>
      <c r="O218" s="219"/>
      <c r="P218" s="219"/>
      <c r="Q218" s="219"/>
      <c r="R218" s="219"/>
      <c r="S218" s="219"/>
      <c r="T218" s="219"/>
      <c r="U218" s="219"/>
      <c r="V218" s="219"/>
      <c r="W218" s="219"/>
    </row>
    <row r="219" spans="2:23" x14ac:dyDescent="0.2">
      <c r="B219" s="204"/>
      <c r="C219" s="204"/>
      <c r="D219" s="204"/>
      <c r="E219" s="204"/>
      <c r="H219" s="203" t="s">
        <v>428</v>
      </c>
      <c r="I219" s="203" t="s">
        <v>396</v>
      </c>
      <c r="J219" s="144" t="s">
        <v>261</v>
      </c>
      <c r="K219" s="204"/>
      <c r="L219" s="204"/>
      <c r="M219" s="204"/>
      <c r="N219" s="204"/>
      <c r="O219" s="204"/>
      <c r="P219" s="204"/>
      <c r="Q219" s="204"/>
      <c r="R219" s="204"/>
      <c r="S219" s="204"/>
      <c r="T219" s="204"/>
      <c r="U219" s="204"/>
      <c r="V219" s="204"/>
      <c r="W219" s="204"/>
    </row>
    <row r="220" spans="2:23" x14ac:dyDescent="0.2">
      <c r="B220" s="204"/>
      <c r="C220" s="144" t="s">
        <v>164</v>
      </c>
      <c r="D220" s="204"/>
      <c r="E220" s="232" t="s">
        <v>263</v>
      </c>
      <c r="H220" s="245">
        <f>SUM(H221:H226)</f>
        <v>46452.686970919029</v>
      </c>
      <c r="I220" s="245">
        <f t="shared" ref="I220" si="104">SUM(I221:I226)</f>
        <v>30510.873662960006</v>
      </c>
      <c r="J220" s="245">
        <f t="shared" ref="J220" si="105">SUM(J221:J226)</f>
        <v>76963.560633879039</v>
      </c>
      <c r="K220" s="204"/>
      <c r="L220" s="204"/>
      <c r="M220" s="204"/>
      <c r="N220" s="204"/>
      <c r="O220" s="204"/>
      <c r="P220" s="204"/>
      <c r="Q220" s="204"/>
      <c r="R220" s="204"/>
      <c r="S220" s="204"/>
      <c r="T220" s="204"/>
      <c r="U220" s="204"/>
      <c r="V220" s="204"/>
      <c r="W220" s="204"/>
    </row>
    <row r="221" spans="2:23" x14ac:dyDescent="0.2">
      <c r="B221" s="212">
        <v>1</v>
      </c>
      <c r="C221" s="213" t="str">
        <f t="shared" ref="C221:C226" si="106">INDEX(lista.activos,B221)</f>
        <v>Predio</v>
      </c>
      <c r="D221" s="204"/>
      <c r="E221" s="213" t="str">
        <f>$E$194</f>
        <v>MXN/año</v>
      </c>
      <c r="H221" s="228">
        <f>H195*$J$172</f>
        <v>583.55488993085089</v>
      </c>
      <c r="I221" s="228">
        <f>I195*$J$172</f>
        <v>0</v>
      </c>
      <c r="J221" s="228">
        <f>J195*$J$172</f>
        <v>583.55488993085089</v>
      </c>
      <c r="K221" s="204"/>
      <c r="L221" s="204"/>
      <c r="M221" s="204"/>
      <c r="N221" s="204"/>
      <c r="O221" s="204"/>
      <c r="P221" s="204"/>
      <c r="Q221" s="204"/>
      <c r="R221" s="204"/>
      <c r="S221" s="204"/>
      <c r="T221" s="204"/>
      <c r="U221" s="204"/>
      <c r="V221" s="204"/>
      <c r="W221" s="204"/>
    </row>
    <row r="222" spans="2:23" x14ac:dyDescent="0.2">
      <c r="B222" s="212">
        <f>B221+1</f>
        <v>2</v>
      </c>
      <c r="C222" s="213" t="str">
        <f t="shared" si="106"/>
        <v>Central del AEP</v>
      </c>
      <c r="D222" s="204"/>
      <c r="E222" s="213" t="str">
        <f t="shared" ref="E222:E226" si="107">$E$194</f>
        <v>MXN/año</v>
      </c>
      <c r="H222" s="228">
        <f>H196*$J176</f>
        <v>20944.082556008165</v>
      </c>
      <c r="I222" s="228">
        <f>I196*$J176</f>
        <v>23332.978761454244</v>
      </c>
      <c r="J222" s="228">
        <f>J196*$J176</f>
        <v>44277.061317462409</v>
      </c>
      <c r="K222" s="204"/>
      <c r="L222" s="253"/>
      <c r="M222" s="204"/>
      <c r="N222" s="204"/>
      <c r="O222" s="204"/>
      <c r="P222" s="204"/>
      <c r="Q222" s="204"/>
      <c r="R222" s="204"/>
      <c r="S222" s="204"/>
      <c r="T222" s="204"/>
      <c r="U222" s="204"/>
      <c r="V222" s="204"/>
      <c r="W222" s="204"/>
    </row>
    <row r="223" spans="2:23" x14ac:dyDescent="0.2">
      <c r="B223" s="212">
        <f t="shared" ref="B223:B226" si="108">B222+1</f>
        <v>3</v>
      </c>
      <c r="C223" s="213" t="str">
        <f t="shared" si="106"/>
        <v>Sala coubicación externa</v>
      </c>
      <c r="D223" s="204"/>
      <c r="E223" s="213" t="str">
        <f t="shared" si="107"/>
        <v>MXN/año</v>
      </c>
      <c r="H223" s="228">
        <f t="shared" ref="H223:J226" si="109">H197*$J187</f>
        <v>0</v>
      </c>
      <c r="I223" s="228">
        <f t="shared" si="109"/>
        <v>0</v>
      </c>
      <c r="J223" s="228">
        <f t="shared" si="109"/>
        <v>0</v>
      </c>
      <c r="K223" s="204"/>
      <c r="L223" s="204"/>
      <c r="M223" s="204"/>
      <c r="N223" s="204"/>
      <c r="O223" s="204"/>
      <c r="P223" s="204"/>
      <c r="Q223" s="204"/>
      <c r="R223" s="204"/>
      <c r="S223" s="204"/>
      <c r="T223" s="204"/>
      <c r="U223" s="204"/>
      <c r="V223" s="204"/>
      <c r="W223" s="204"/>
    </row>
    <row r="224" spans="2:23" x14ac:dyDescent="0.2">
      <c r="B224" s="212">
        <f t="shared" si="108"/>
        <v>4</v>
      </c>
      <c r="C224" s="213" t="str">
        <f t="shared" si="106"/>
        <v>Subestación electrica</v>
      </c>
      <c r="D224" s="204"/>
      <c r="E224" s="213" t="str">
        <f t="shared" si="107"/>
        <v>MXN/año</v>
      </c>
      <c r="H224" s="228">
        <f t="shared" si="109"/>
        <v>22162.748613777225</v>
      </c>
      <c r="I224" s="228">
        <f t="shared" si="109"/>
        <v>7100.0936896766343</v>
      </c>
      <c r="J224" s="228">
        <f t="shared" si="109"/>
        <v>29262.842303453861</v>
      </c>
      <c r="K224" s="204"/>
      <c r="L224" s="204"/>
      <c r="M224" s="204"/>
      <c r="N224" s="204"/>
      <c r="O224" s="204"/>
      <c r="P224" s="204"/>
      <c r="Q224" s="204"/>
      <c r="R224" s="204"/>
      <c r="S224" s="204"/>
      <c r="T224" s="204"/>
      <c r="U224" s="204"/>
      <c r="V224" s="204"/>
      <c r="W224" s="204"/>
    </row>
    <row r="225" spans="2:23" x14ac:dyDescent="0.2">
      <c r="B225" s="212">
        <f t="shared" si="108"/>
        <v>5</v>
      </c>
      <c r="C225" s="213" t="str">
        <f t="shared" si="106"/>
        <v>Fuente de energia de respaldo (planta de emergencia)</v>
      </c>
      <c r="D225" s="204"/>
      <c r="E225" s="213" t="str">
        <f t="shared" si="107"/>
        <v>MXN/año</v>
      </c>
      <c r="H225" s="228">
        <f t="shared" si="109"/>
        <v>0</v>
      </c>
      <c r="I225" s="228">
        <f t="shared" si="109"/>
        <v>0</v>
      </c>
      <c r="J225" s="228">
        <f t="shared" si="109"/>
        <v>0</v>
      </c>
      <c r="K225" s="204"/>
      <c r="L225" s="204"/>
      <c r="M225" s="204"/>
      <c r="N225" s="204"/>
      <c r="O225" s="204"/>
      <c r="P225" s="204"/>
      <c r="Q225" s="204"/>
      <c r="R225" s="204"/>
      <c r="S225" s="204"/>
      <c r="T225" s="204"/>
      <c r="U225" s="204"/>
      <c r="V225" s="204"/>
      <c r="W225" s="204"/>
    </row>
    <row r="226" spans="2:23" x14ac:dyDescent="0.2">
      <c r="B226" s="212">
        <f t="shared" si="108"/>
        <v>6</v>
      </c>
      <c r="C226" s="213" t="str">
        <f t="shared" si="106"/>
        <v>Aire acondicionado</v>
      </c>
      <c r="D226" s="204"/>
      <c r="E226" s="213" t="str">
        <f t="shared" si="107"/>
        <v>MXN/año</v>
      </c>
      <c r="H226" s="228">
        <f t="shared" si="109"/>
        <v>2762.3009112027844</v>
      </c>
      <c r="I226" s="228">
        <f t="shared" si="109"/>
        <v>77.801211829127837</v>
      </c>
      <c r="J226" s="228">
        <f t="shared" si="109"/>
        <v>2840.102123031912</v>
      </c>
      <c r="K226" s="204"/>
      <c r="L226" s="204"/>
      <c r="M226" s="204"/>
      <c r="N226" s="204"/>
      <c r="O226" s="204"/>
      <c r="P226" s="204"/>
      <c r="Q226" s="204"/>
      <c r="R226" s="204"/>
      <c r="S226" s="204"/>
      <c r="T226" s="204"/>
      <c r="U226" s="204"/>
      <c r="V226" s="204"/>
      <c r="W226" s="204"/>
    </row>
    <row r="227" spans="2:23" x14ac:dyDescent="0.2">
      <c r="B227" s="204"/>
      <c r="C227" s="204"/>
      <c r="D227" s="204"/>
      <c r="E227" s="204"/>
      <c r="H227" s="248"/>
      <c r="I227" s="248"/>
      <c r="J227" s="248"/>
      <c r="K227" s="204"/>
      <c r="L227" s="204"/>
      <c r="M227" s="204"/>
      <c r="N227" s="204"/>
      <c r="O227" s="204"/>
      <c r="P227" s="204"/>
      <c r="Q227" s="204"/>
      <c r="R227" s="204"/>
      <c r="S227" s="204"/>
      <c r="T227" s="204"/>
      <c r="U227" s="204"/>
      <c r="V227" s="204"/>
      <c r="W227" s="204"/>
    </row>
    <row r="228" spans="2:23" x14ac:dyDescent="0.2">
      <c r="B228" s="204"/>
      <c r="C228" s="144" t="s">
        <v>433</v>
      </c>
      <c r="D228" s="204"/>
      <c r="E228" s="204"/>
      <c r="H228" s="245">
        <f>SUM(H229:H232)</f>
        <v>46452.686970919021</v>
      </c>
      <c r="I228" s="245">
        <f>SUM(I229:I232)</f>
        <v>30510.873662960006</v>
      </c>
      <c r="J228" s="245">
        <f>SUM(J229:J232)</f>
        <v>76963.560633879039</v>
      </c>
      <c r="K228" s="204"/>
      <c r="L228" s="253"/>
      <c r="M228" s="204"/>
      <c r="N228" s="204"/>
      <c r="O228" s="204"/>
      <c r="P228" s="204"/>
      <c r="Q228" s="204"/>
      <c r="R228" s="204"/>
      <c r="S228" s="204"/>
      <c r="T228" s="204"/>
      <c r="U228" s="204"/>
      <c r="V228" s="204"/>
      <c r="W228" s="204"/>
    </row>
    <row r="229" spans="2:23" x14ac:dyDescent="0.2">
      <c r="B229" s="212">
        <v>1</v>
      </c>
      <c r="C229" s="213" t="str">
        <f>INDEX(lista.servicios,B229)</f>
        <v>Coubicación (CI/CE)</v>
      </c>
      <c r="D229" s="204"/>
      <c r="E229" s="213" t="str">
        <f t="shared" ref="E229:E232" si="110">$E$194</f>
        <v>MXN/año</v>
      </c>
      <c r="H229" s="249">
        <f>SUMPRODUCT(H$221:H$226,asignacion.coubicacion.cs1)</f>
        <v>16131.568857005197</v>
      </c>
      <c r="I229" s="249">
        <f>SUMPRODUCT(I$221:I$226,asignacion.coubicacion.cs1)</f>
        <v>17321.430943866751</v>
      </c>
      <c r="J229" s="249">
        <f>SUMPRODUCT(J$221:J$226,asignacion.coubicacion.cs1)</f>
        <v>33452.999800871949</v>
      </c>
      <c r="K229" s="253"/>
      <c r="L229" s="253"/>
      <c r="M229" s="204"/>
      <c r="N229" s="204"/>
      <c r="O229" s="204"/>
      <c r="P229" s="204"/>
      <c r="Q229" s="204"/>
      <c r="R229" s="204"/>
      <c r="S229" s="204"/>
      <c r="T229" s="204"/>
      <c r="U229" s="204"/>
      <c r="V229" s="204"/>
      <c r="W229" s="204"/>
    </row>
    <row r="230" spans="2:23" x14ac:dyDescent="0.2">
      <c r="B230" s="212">
        <f>B229+1</f>
        <v>2</v>
      </c>
      <c r="C230" s="213" t="str">
        <f>INDEX(lista.servicios,B230)</f>
        <v>Subestación electrica</v>
      </c>
      <c r="D230" s="204"/>
      <c r="E230" s="213" t="str">
        <f t="shared" si="110"/>
        <v>MXN/año</v>
      </c>
      <c r="H230" s="249">
        <f>SUMPRODUCT(H221:H226,asignacion.subestacion.electrica.cs1)</f>
        <v>26511.613074910634</v>
      </c>
      <c r="I230" s="249">
        <f>SUMPRODUCT(I221:I226,asignacion.subestacion.electrica.cs1)</f>
        <v>11944.992569191414</v>
      </c>
      <c r="J230" s="249">
        <f>SUMPRODUCT(J221:J226,asignacion.subestacion.electrica.cs1)</f>
        <v>38456.605644102048</v>
      </c>
      <c r="K230" s="204"/>
      <c r="L230" s="253"/>
      <c r="M230" s="204"/>
      <c r="N230" s="204"/>
      <c r="O230" s="204"/>
      <c r="P230" s="204"/>
      <c r="Q230" s="204"/>
      <c r="R230" s="204"/>
      <c r="S230" s="204"/>
      <c r="T230" s="204"/>
      <c r="U230" s="204"/>
      <c r="V230" s="204"/>
      <c r="W230" s="204"/>
    </row>
    <row r="231" spans="2:23" x14ac:dyDescent="0.2">
      <c r="B231" s="212">
        <f t="shared" ref="B231:B232" si="111">B230+1</f>
        <v>3</v>
      </c>
      <c r="C231" s="213" t="str">
        <f>INDEX(lista.servicios,B231)</f>
        <v>Fuente de energia de respaldo</v>
      </c>
      <c r="D231" s="204"/>
      <c r="E231" s="213" t="str">
        <f t="shared" si="110"/>
        <v>MXN/año</v>
      </c>
      <c r="H231" s="249">
        <f>SUMPRODUCT(H221:H226,asignacion.fuente.energia.respaldo.cs1)</f>
        <v>0</v>
      </c>
      <c r="I231" s="249">
        <f>SUMPRODUCT(I221:I226,asignacion.fuente.energia.respaldo.cs1)</f>
        <v>0</v>
      </c>
      <c r="J231" s="249">
        <f>SUMPRODUCT(J221:J226,asignacion.fuente.energia.respaldo.cs1)</f>
        <v>0</v>
      </c>
      <c r="K231" s="204"/>
      <c r="L231" s="204"/>
      <c r="M231" s="204"/>
      <c r="N231" s="204"/>
      <c r="O231" s="204"/>
      <c r="P231" s="204"/>
      <c r="Q231" s="204"/>
      <c r="R231" s="204"/>
      <c r="S231" s="204"/>
      <c r="T231" s="204"/>
      <c r="U231" s="204"/>
      <c r="V231" s="204"/>
      <c r="W231" s="204"/>
    </row>
    <row r="232" spans="2:23" x14ac:dyDescent="0.2">
      <c r="B232" s="212">
        <f t="shared" si="111"/>
        <v>4</v>
      </c>
      <c r="C232" s="213" t="str">
        <f>INDEX(lista.servicios,B232)</f>
        <v>Aire acondicionado</v>
      </c>
      <c r="D232" s="204"/>
      <c r="E232" s="213" t="str">
        <f t="shared" si="110"/>
        <v>MXN/año</v>
      </c>
      <c r="H232" s="249">
        <f>SUMPRODUCT(H221:H226,asignacion.aireacondicionado.cs1)</f>
        <v>3809.5050390031929</v>
      </c>
      <c r="I232" s="249">
        <f>SUMPRODUCT(I221:I226,asignacion.aireacondicionado.cs1)</f>
        <v>1244.4501499018402</v>
      </c>
      <c r="J232" s="249">
        <f>SUMPRODUCT(J221:J226,asignacion.aireacondicionado.cs1)</f>
        <v>5053.9551889050326</v>
      </c>
      <c r="K232" s="204"/>
      <c r="L232" s="253"/>
      <c r="M232" s="204"/>
      <c r="N232" s="204"/>
      <c r="O232" s="204"/>
      <c r="P232" s="204"/>
      <c r="Q232" s="204"/>
      <c r="R232" s="204"/>
      <c r="S232" s="204"/>
      <c r="T232" s="204"/>
      <c r="U232" s="204"/>
      <c r="V232" s="204"/>
      <c r="W232" s="204"/>
    </row>
    <row r="234" spans="2:23" x14ac:dyDescent="0.2">
      <c r="B234" s="204"/>
      <c r="C234" s="219" t="s">
        <v>439</v>
      </c>
      <c r="D234" s="219"/>
      <c r="E234" s="219"/>
      <c r="F234" s="219"/>
      <c r="G234" s="219"/>
      <c r="H234" s="219"/>
      <c r="I234" s="219"/>
      <c r="J234" s="219"/>
      <c r="K234" s="219"/>
      <c r="L234" s="219"/>
      <c r="M234" s="219"/>
      <c r="N234" s="219"/>
      <c r="O234" s="219"/>
      <c r="P234" s="219"/>
      <c r="Q234" s="219"/>
      <c r="R234" s="219"/>
      <c r="S234" s="219"/>
      <c r="T234" s="219"/>
      <c r="U234" s="219"/>
      <c r="V234" s="219"/>
      <c r="W234" s="219"/>
    </row>
    <row r="235" spans="2:23" x14ac:dyDescent="0.2">
      <c r="B235" s="204"/>
      <c r="C235" s="204"/>
      <c r="D235" s="204"/>
      <c r="E235" s="204"/>
      <c r="H235" s="203" t="s">
        <v>428</v>
      </c>
      <c r="I235" s="203" t="s">
        <v>396</v>
      </c>
      <c r="J235" s="144" t="s">
        <v>261</v>
      </c>
      <c r="K235" s="204"/>
      <c r="L235" s="204"/>
      <c r="M235" s="204"/>
      <c r="N235" s="204"/>
      <c r="O235" s="204"/>
      <c r="P235" s="204"/>
      <c r="Q235" s="204"/>
      <c r="R235" s="204"/>
      <c r="S235" s="204"/>
      <c r="T235" s="204"/>
      <c r="U235" s="204"/>
      <c r="V235" s="204"/>
      <c r="W235" s="204"/>
    </row>
    <row r="236" spans="2:23" x14ac:dyDescent="0.2">
      <c r="B236" s="204"/>
      <c r="C236" s="144" t="s">
        <v>164</v>
      </c>
      <c r="D236" s="204"/>
      <c r="E236" s="232" t="s">
        <v>263</v>
      </c>
      <c r="H236" s="245">
        <f>SUM(H237:H242)</f>
        <v>0</v>
      </c>
      <c r="I236" s="245">
        <f t="shared" ref="I236" si="112">SUM(I237:I242)</f>
        <v>0</v>
      </c>
      <c r="J236" s="245">
        <f t="shared" ref="J236" si="113">SUM(J237:J242)</f>
        <v>0</v>
      </c>
      <c r="K236" s="204"/>
      <c r="L236" s="204"/>
      <c r="M236" s="204"/>
      <c r="N236" s="204"/>
      <c r="O236" s="204"/>
      <c r="P236" s="204"/>
      <c r="Q236" s="204"/>
      <c r="R236" s="204"/>
      <c r="S236" s="204"/>
      <c r="T236" s="204"/>
      <c r="U236" s="204"/>
      <c r="V236" s="204"/>
      <c r="W236" s="204"/>
    </row>
    <row r="237" spans="2:23" x14ac:dyDescent="0.2">
      <c r="B237" s="212">
        <v>1</v>
      </c>
      <c r="C237" s="213" t="str">
        <f t="shared" ref="C237:C242" si="114">INDEX(lista.activos,B237)</f>
        <v>Predio</v>
      </c>
      <c r="D237" s="204"/>
      <c r="E237" s="213" t="str">
        <f>$E$194</f>
        <v>MXN/año</v>
      </c>
      <c r="H237" s="228">
        <f>H195*$K$172</f>
        <v>0</v>
      </c>
      <c r="I237" s="228">
        <f>I195*$K$172</f>
        <v>0</v>
      </c>
      <c r="J237" s="228">
        <f>J195*$K$172</f>
        <v>0</v>
      </c>
      <c r="K237" s="204"/>
      <c r="L237" s="204"/>
      <c r="M237" s="204"/>
      <c r="N237" s="204"/>
      <c r="O237" s="204"/>
      <c r="P237" s="204"/>
      <c r="Q237" s="204"/>
      <c r="R237" s="204"/>
      <c r="S237" s="204"/>
      <c r="T237" s="204"/>
      <c r="U237" s="204"/>
      <c r="V237" s="204"/>
      <c r="W237" s="204"/>
    </row>
    <row r="238" spans="2:23" x14ac:dyDescent="0.2">
      <c r="B238" s="212">
        <f>B237+1</f>
        <v>2</v>
      </c>
      <c r="C238" s="213" t="str">
        <f t="shared" si="114"/>
        <v>Central del AEP</v>
      </c>
      <c r="D238" s="204"/>
      <c r="E238" s="213" t="str">
        <f t="shared" ref="E238:E242" si="115">$E$194</f>
        <v>MXN/año</v>
      </c>
      <c r="H238" s="228">
        <f>H196*$K176</f>
        <v>0</v>
      </c>
      <c r="I238" s="228">
        <f>I196*$K176</f>
        <v>0</v>
      </c>
      <c r="J238" s="228">
        <f>J196*$K176</f>
        <v>0</v>
      </c>
      <c r="K238" s="204"/>
      <c r="L238" s="204"/>
      <c r="M238" s="204"/>
      <c r="N238" s="204"/>
      <c r="O238" s="204"/>
      <c r="P238" s="204"/>
      <c r="Q238" s="204"/>
      <c r="R238" s="204"/>
      <c r="S238" s="204"/>
      <c r="T238" s="204"/>
      <c r="U238" s="204"/>
      <c r="V238" s="204"/>
      <c r="W238" s="204"/>
    </row>
    <row r="239" spans="2:23" x14ac:dyDescent="0.2">
      <c r="B239" s="212">
        <f t="shared" ref="B239:B242" si="116">B238+1</f>
        <v>3</v>
      </c>
      <c r="C239" s="213" t="str">
        <f t="shared" si="114"/>
        <v>Sala coubicación externa</v>
      </c>
      <c r="D239" s="204"/>
      <c r="E239" s="213" t="str">
        <f t="shared" si="115"/>
        <v>MXN/año</v>
      </c>
      <c r="H239" s="228">
        <f t="shared" ref="H239:J242" si="117">H197*$K187</f>
        <v>0</v>
      </c>
      <c r="I239" s="228">
        <f t="shared" si="117"/>
        <v>0</v>
      </c>
      <c r="J239" s="228">
        <f t="shared" si="117"/>
        <v>0</v>
      </c>
      <c r="K239" s="204"/>
      <c r="L239" s="204"/>
      <c r="M239" s="204"/>
      <c r="N239" s="204"/>
      <c r="O239" s="204"/>
      <c r="P239" s="204"/>
      <c r="Q239" s="204"/>
      <c r="R239" s="204"/>
      <c r="S239" s="204"/>
      <c r="T239" s="204"/>
      <c r="U239" s="204"/>
      <c r="V239" s="204"/>
      <c r="W239" s="204"/>
    </row>
    <row r="240" spans="2:23" x14ac:dyDescent="0.2">
      <c r="B240" s="212">
        <f t="shared" si="116"/>
        <v>4</v>
      </c>
      <c r="C240" s="213" t="str">
        <f t="shared" si="114"/>
        <v>Subestación electrica</v>
      </c>
      <c r="D240" s="204"/>
      <c r="E240" s="213" t="str">
        <f t="shared" si="115"/>
        <v>MXN/año</v>
      </c>
      <c r="H240" s="228">
        <f t="shared" si="117"/>
        <v>0</v>
      </c>
      <c r="I240" s="228">
        <f t="shared" si="117"/>
        <v>0</v>
      </c>
      <c r="J240" s="228">
        <f t="shared" si="117"/>
        <v>0</v>
      </c>
      <c r="K240" s="204"/>
      <c r="L240" s="204"/>
      <c r="M240" s="204"/>
      <c r="N240" s="204"/>
      <c r="O240" s="204"/>
      <c r="P240" s="204"/>
      <c r="Q240" s="204"/>
      <c r="R240" s="204"/>
      <c r="S240" s="204"/>
      <c r="T240" s="204"/>
      <c r="U240" s="204"/>
      <c r="V240" s="204"/>
      <c r="W240" s="204"/>
    </row>
    <row r="241" spans="2:23" x14ac:dyDescent="0.2">
      <c r="B241" s="212">
        <f t="shared" si="116"/>
        <v>5</v>
      </c>
      <c r="C241" s="213" t="str">
        <f t="shared" si="114"/>
        <v>Fuente de energia de respaldo (planta de emergencia)</v>
      </c>
      <c r="D241" s="204"/>
      <c r="E241" s="213" t="str">
        <f t="shared" si="115"/>
        <v>MXN/año</v>
      </c>
      <c r="H241" s="228">
        <f t="shared" si="117"/>
        <v>0</v>
      </c>
      <c r="I241" s="228">
        <f t="shared" si="117"/>
        <v>0</v>
      </c>
      <c r="J241" s="228">
        <f t="shared" si="117"/>
        <v>0</v>
      </c>
      <c r="K241" s="204"/>
      <c r="L241" s="204"/>
      <c r="M241" s="204"/>
      <c r="N241" s="204"/>
      <c r="O241" s="204"/>
      <c r="P241" s="204"/>
      <c r="Q241" s="204"/>
      <c r="R241" s="204"/>
      <c r="S241" s="204"/>
      <c r="T241" s="204"/>
      <c r="U241" s="204"/>
      <c r="V241" s="204"/>
      <c r="W241" s="204"/>
    </row>
    <row r="242" spans="2:23" x14ac:dyDescent="0.2">
      <c r="B242" s="212">
        <f t="shared" si="116"/>
        <v>6</v>
      </c>
      <c r="C242" s="213" t="str">
        <f t="shared" si="114"/>
        <v>Aire acondicionado</v>
      </c>
      <c r="D242" s="204"/>
      <c r="E242" s="213" t="str">
        <f t="shared" si="115"/>
        <v>MXN/año</v>
      </c>
      <c r="H242" s="228">
        <f t="shared" si="117"/>
        <v>0</v>
      </c>
      <c r="I242" s="228">
        <f t="shared" si="117"/>
        <v>0</v>
      </c>
      <c r="J242" s="228">
        <f t="shared" si="117"/>
        <v>0</v>
      </c>
      <c r="K242" s="204"/>
      <c r="L242" s="204"/>
      <c r="M242" s="204"/>
      <c r="N242" s="204"/>
      <c r="O242" s="204"/>
      <c r="P242" s="204"/>
      <c r="Q242" s="204"/>
      <c r="R242" s="204"/>
      <c r="S242" s="204"/>
      <c r="T242" s="204"/>
      <c r="U242" s="204"/>
      <c r="V242" s="204"/>
      <c r="W242" s="204"/>
    </row>
    <row r="243" spans="2:23" x14ac:dyDescent="0.2">
      <c r="B243" s="204"/>
      <c r="C243" s="204"/>
      <c r="D243" s="204"/>
      <c r="E243" s="204"/>
      <c r="H243" s="248"/>
      <c r="I243" s="248"/>
      <c r="J243" s="248"/>
      <c r="K243" s="204"/>
      <c r="L243" s="204"/>
      <c r="M243" s="204"/>
      <c r="N243" s="204"/>
      <c r="O243" s="204"/>
      <c r="P243" s="204"/>
      <c r="Q243" s="204"/>
      <c r="R243" s="204"/>
      <c r="S243" s="204"/>
      <c r="T243" s="204"/>
      <c r="U243" s="204"/>
      <c r="V243" s="204"/>
      <c r="W243" s="204"/>
    </row>
    <row r="244" spans="2:23" x14ac:dyDescent="0.2">
      <c r="B244" s="204"/>
      <c r="C244" s="144" t="s">
        <v>433</v>
      </c>
      <c r="D244" s="204"/>
      <c r="E244" s="204"/>
      <c r="H244" s="245">
        <f>SUM(H245:H248)</f>
        <v>0</v>
      </c>
      <c r="I244" s="245">
        <f>SUM(I245:I248)</f>
        <v>0</v>
      </c>
      <c r="J244" s="245">
        <f>SUM(J245:J248)</f>
        <v>0</v>
      </c>
      <c r="K244" s="204"/>
      <c r="L244" s="204"/>
      <c r="M244" s="204"/>
      <c r="N244" s="204"/>
      <c r="O244" s="204"/>
      <c r="P244" s="204"/>
      <c r="Q244" s="204"/>
      <c r="R244" s="204"/>
      <c r="S244" s="204"/>
      <c r="T244" s="204"/>
      <c r="U244" s="204"/>
      <c r="V244" s="204"/>
      <c r="W244" s="204"/>
    </row>
    <row r="245" spans="2:23" x14ac:dyDescent="0.2">
      <c r="B245" s="212">
        <v>1</v>
      </c>
      <c r="C245" s="213" t="str">
        <f>INDEX(lista.servicios,B245)</f>
        <v>Coubicación (CI/CE)</v>
      </c>
      <c r="D245" s="204"/>
      <c r="E245" s="213" t="str">
        <f t="shared" ref="E245:E248" si="118">$E$194</f>
        <v>MXN/año</v>
      </c>
      <c r="H245" s="249">
        <f>SUMPRODUCT(H237:H242,asignacion.coubicacion.cs2)</f>
        <v>0</v>
      </c>
      <c r="I245" s="249">
        <f>SUMPRODUCT(I237:I242,asignacion.coubicacion.cs2)</f>
        <v>0</v>
      </c>
      <c r="J245" s="249">
        <f>SUMPRODUCT(J237:J242,asignacion.coubicacion.cs2)</f>
        <v>0</v>
      </c>
      <c r="K245" s="204"/>
      <c r="L245" s="204"/>
      <c r="M245" s="204"/>
      <c r="N245" s="204"/>
      <c r="O245" s="204"/>
      <c r="P245" s="204"/>
      <c r="Q245" s="204"/>
      <c r="R245" s="204"/>
      <c r="S245" s="204"/>
      <c r="T245" s="204"/>
      <c r="U245" s="204"/>
      <c r="V245" s="204"/>
      <c r="W245" s="204"/>
    </row>
    <row r="246" spans="2:23" x14ac:dyDescent="0.2">
      <c r="B246" s="212">
        <f>B245+1</f>
        <v>2</v>
      </c>
      <c r="C246" s="213" t="str">
        <f>INDEX(lista.servicios,B246)</f>
        <v>Subestación electrica</v>
      </c>
      <c r="D246" s="204"/>
      <c r="E246" s="213" t="str">
        <f t="shared" si="118"/>
        <v>MXN/año</v>
      </c>
      <c r="H246" s="249">
        <f>SUMPRODUCT(H237:H242,asignacion.subestacion.electrica.cs2)</f>
        <v>0</v>
      </c>
      <c r="I246" s="249">
        <f>SUMPRODUCT(I237:I242,asignacion.subestacion.electrica.cs2)</f>
        <v>0</v>
      </c>
      <c r="J246" s="249">
        <f>SUMPRODUCT(J237:J242,asignacion.subestacion.electrica.cs2)</f>
        <v>0</v>
      </c>
      <c r="K246" s="204"/>
      <c r="L246" s="204"/>
      <c r="M246" s="204"/>
      <c r="N246" s="204"/>
      <c r="O246" s="204"/>
      <c r="P246" s="204"/>
      <c r="Q246" s="204"/>
      <c r="R246" s="204"/>
      <c r="S246" s="204"/>
      <c r="T246" s="204"/>
      <c r="U246" s="204"/>
      <c r="V246" s="204"/>
      <c r="W246" s="204"/>
    </row>
    <row r="247" spans="2:23" x14ac:dyDescent="0.2">
      <c r="B247" s="212">
        <f t="shared" ref="B247:B248" si="119">B246+1</f>
        <v>3</v>
      </c>
      <c r="C247" s="213" t="str">
        <f>INDEX(lista.servicios,B247)</f>
        <v>Fuente de energia de respaldo</v>
      </c>
      <c r="D247" s="204"/>
      <c r="E247" s="213" t="str">
        <f t="shared" si="118"/>
        <v>MXN/año</v>
      </c>
      <c r="H247" s="249">
        <f>SUMPRODUCT(H237:H242,asignacion.fuente.energia.respaldo.cs2)</f>
        <v>0</v>
      </c>
      <c r="I247" s="249">
        <f>SUMPRODUCT(I237:I242,asignacion.fuente.energia.respaldo.cs2)</f>
        <v>0</v>
      </c>
      <c r="J247" s="249">
        <f>SUMPRODUCT(J237:J242,asignacion.fuente.energia.respaldo.cs2)</f>
        <v>0</v>
      </c>
      <c r="K247" s="204"/>
      <c r="L247" s="204"/>
      <c r="M247" s="204"/>
      <c r="N247" s="204"/>
      <c r="O247" s="204"/>
      <c r="P247" s="204"/>
      <c r="Q247" s="204"/>
      <c r="R247" s="204"/>
      <c r="S247" s="204"/>
      <c r="T247" s="204"/>
      <c r="U247" s="204"/>
      <c r="V247" s="204"/>
      <c r="W247" s="204"/>
    </row>
    <row r="248" spans="2:23" x14ac:dyDescent="0.2">
      <c r="B248" s="212">
        <f t="shared" si="119"/>
        <v>4</v>
      </c>
      <c r="C248" s="213" t="str">
        <f>INDEX(lista.servicios,B248)</f>
        <v>Aire acondicionado</v>
      </c>
      <c r="D248" s="204"/>
      <c r="E248" s="213" t="str">
        <f t="shared" si="118"/>
        <v>MXN/año</v>
      </c>
      <c r="H248" s="249">
        <f>SUMPRODUCT(H237:H242,asignacion.aireacondicionado.cs2)</f>
        <v>0</v>
      </c>
      <c r="I248" s="249">
        <f>SUMPRODUCT(I237:I242,asignacion.aireacondicionado.cs2)</f>
        <v>0</v>
      </c>
      <c r="J248" s="249">
        <f>SUMPRODUCT(J237:J242,asignacion.aireacondicionado.cs2)</f>
        <v>0</v>
      </c>
      <c r="K248" s="204"/>
      <c r="L248" s="204"/>
      <c r="M248" s="204"/>
      <c r="N248" s="204"/>
      <c r="O248" s="204"/>
      <c r="P248" s="204"/>
      <c r="Q248" s="204"/>
      <c r="R248" s="204"/>
      <c r="S248" s="204"/>
      <c r="T248" s="204"/>
      <c r="U248" s="204"/>
      <c r="V248" s="204"/>
      <c r="W248" s="204"/>
    </row>
    <row r="250" spans="2:23" x14ac:dyDescent="0.2">
      <c r="B250" s="204"/>
      <c r="C250" s="219" t="s">
        <v>440</v>
      </c>
      <c r="D250" s="219"/>
      <c r="E250" s="219"/>
      <c r="F250" s="219"/>
      <c r="G250" s="219"/>
      <c r="H250" s="219"/>
      <c r="I250" s="219"/>
      <c r="J250" s="219"/>
      <c r="K250" s="219"/>
      <c r="L250" s="219"/>
      <c r="M250" s="219"/>
      <c r="N250" s="219"/>
      <c r="O250" s="219"/>
      <c r="P250" s="219"/>
      <c r="Q250" s="219"/>
      <c r="R250" s="219"/>
      <c r="S250" s="219"/>
      <c r="T250" s="219"/>
      <c r="U250" s="219"/>
      <c r="V250" s="219"/>
      <c r="W250" s="219"/>
    </row>
    <row r="251" spans="2:23" x14ac:dyDescent="0.2">
      <c r="B251" s="204"/>
      <c r="C251" s="204"/>
      <c r="D251" s="204"/>
      <c r="E251" s="204"/>
      <c r="H251" s="203" t="s">
        <v>428</v>
      </c>
      <c r="I251" s="203" t="s">
        <v>396</v>
      </c>
      <c r="J251" s="144" t="s">
        <v>261</v>
      </c>
      <c r="K251" s="204"/>
      <c r="L251" s="204"/>
      <c r="M251" s="204"/>
      <c r="N251" s="204"/>
      <c r="O251" s="204"/>
      <c r="P251" s="204"/>
      <c r="Q251" s="204"/>
      <c r="R251" s="204"/>
      <c r="S251" s="204"/>
      <c r="T251" s="204"/>
      <c r="U251" s="204"/>
      <c r="V251" s="204"/>
      <c r="W251" s="204"/>
    </row>
    <row r="252" spans="2:23" x14ac:dyDescent="0.2">
      <c r="B252" s="204"/>
      <c r="C252" s="144" t="s">
        <v>164</v>
      </c>
      <c r="D252" s="204"/>
      <c r="E252" s="232" t="s">
        <v>263</v>
      </c>
      <c r="H252" s="245">
        <f>SUM(H253:H258)</f>
        <v>0</v>
      </c>
      <c r="I252" s="245">
        <f t="shared" ref="I252" si="120">SUM(I253:I258)</f>
        <v>0</v>
      </c>
      <c r="J252" s="245">
        <f t="shared" ref="J252" si="121">SUM(J253:J258)</f>
        <v>0</v>
      </c>
      <c r="K252" s="204"/>
      <c r="L252" s="204"/>
      <c r="M252" s="204"/>
      <c r="N252" s="204"/>
      <c r="O252" s="204"/>
      <c r="P252" s="204"/>
      <c r="Q252" s="204"/>
      <c r="R252" s="204"/>
      <c r="S252" s="204"/>
      <c r="T252" s="204"/>
      <c r="U252" s="204"/>
      <c r="V252" s="204"/>
      <c r="W252" s="204"/>
    </row>
    <row r="253" spans="2:23" x14ac:dyDescent="0.2">
      <c r="B253" s="212">
        <v>1</v>
      </c>
      <c r="C253" s="213" t="str">
        <f t="shared" ref="C253:C258" si="122">INDEX(lista.activos,B253)</f>
        <v>Predio</v>
      </c>
      <c r="D253" s="204"/>
      <c r="E253" s="213" t="str">
        <f>$E$194</f>
        <v>MXN/año</v>
      </c>
      <c r="H253" s="285">
        <f>H195*$L$172</f>
        <v>0</v>
      </c>
      <c r="I253" s="285">
        <f>I195*$L$172</f>
        <v>0</v>
      </c>
      <c r="J253" s="285">
        <f>J195*$L$172</f>
        <v>0</v>
      </c>
      <c r="K253" s="204"/>
      <c r="L253" s="204"/>
      <c r="M253" s="204"/>
      <c r="N253" s="204"/>
      <c r="O253" s="204"/>
      <c r="P253" s="204"/>
      <c r="Q253" s="204"/>
      <c r="R253" s="204"/>
      <c r="S253" s="204"/>
      <c r="T253" s="204"/>
      <c r="U253" s="204"/>
      <c r="V253" s="204"/>
      <c r="W253" s="204"/>
    </row>
    <row r="254" spans="2:23" x14ac:dyDescent="0.2">
      <c r="B254" s="212">
        <f>B253+1</f>
        <v>2</v>
      </c>
      <c r="C254" s="213" t="str">
        <f t="shared" si="122"/>
        <v>Central del AEP</v>
      </c>
      <c r="D254" s="204"/>
      <c r="E254" s="213" t="str">
        <f t="shared" ref="E254:E258" si="123">$E$194</f>
        <v>MXN/año</v>
      </c>
      <c r="H254" s="285">
        <f>H196*$L176</f>
        <v>0</v>
      </c>
      <c r="I254" s="285">
        <f>I196*$L176</f>
        <v>0</v>
      </c>
      <c r="J254" s="285">
        <f>J196*$L176</f>
        <v>0</v>
      </c>
      <c r="K254" s="204"/>
      <c r="L254" s="204"/>
      <c r="M254" s="204"/>
      <c r="N254" s="204"/>
      <c r="O254" s="204"/>
      <c r="P254" s="204"/>
      <c r="Q254" s="204"/>
      <c r="R254" s="204"/>
      <c r="S254" s="204"/>
      <c r="T254" s="204"/>
      <c r="U254" s="204"/>
      <c r="V254" s="204"/>
      <c r="W254" s="204"/>
    </row>
    <row r="255" spans="2:23" x14ac:dyDescent="0.2">
      <c r="B255" s="212">
        <f t="shared" ref="B255:B258" si="124">B254+1</f>
        <v>3</v>
      </c>
      <c r="C255" s="213" t="str">
        <f t="shared" si="122"/>
        <v>Sala coubicación externa</v>
      </c>
      <c r="D255" s="204"/>
      <c r="E255" s="213" t="str">
        <f t="shared" si="123"/>
        <v>MXN/año</v>
      </c>
      <c r="H255" s="285">
        <f t="shared" ref="H255:J258" si="125">H197*$L187</f>
        <v>0</v>
      </c>
      <c r="I255" s="285">
        <f t="shared" si="125"/>
        <v>0</v>
      </c>
      <c r="J255" s="285">
        <f t="shared" si="125"/>
        <v>0</v>
      </c>
      <c r="K255" s="204"/>
      <c r="L255" s="204"/>
      <c r="M255" s="204"/>
      <c r="N255" s="204"/>
      <c r="O255" s="204"/>
      <c r="P255" s="204"/>
      <c r="Q255" s="204"/>
      <c r="R255" s="204"/>
      <c r="S255" s="204"/>
      <c r="T255" s="204"/>
      <c r="U255" s="204"/>
      <c r="V255" s="204"/>
      <c r="W255" s="204"/>
    </row>
    <row r="256" spans="2:23" x14ac:dyDescent="0.2">
      <c r="B256" s="212">
        <f t="shared" si="124"/>
        <v>4</v>
      </c>
      <c r="C256" s="213" t="str">
        <f t="shared" si="122"/>
        <v>Subestación electrica</v>
      </c>
      <c r="D256" s="204"/>
      <c r="E256" s="213" t="str">
        <f t="shared" si="123"/>
        <v>MXN/año</v>
      </c>
      <c r="H256" s="285">
        <f t="shared" si="125"/>
        <v>0</v>
      </c>
      <c r="I256" s="285">
        <f t="shared" si="125"/>
        <v>0</v>
      </c>
      <c r="J256" s="285">
        <f t="shared" si="125"/>
        <v>0</v>
      </c>
      <c r="K256" s="204"/>
      <c r="L256" s="204"/>
      <c r="M256" s="204"/>
      <c r="N256" s="204"/>
      <c r="O256" s="204"/>
      <c r="P256" s="204"/>
      <c r="Q256" s="204"/>
      <c r="R256" s="204"/>
      <c r="S256" s="204"/>
      <c r="T256" s="204"/>
      <c r="U256" s="204"/>
      <c r="V256" s="204"/>
      <c r="W256" s="204"/>
    </row>
    <row r="257" spans="2:23" x14ac:dyDescent="0.2">
      <c r="B257" s="212">
        <f t="shared" si="124"/>
        <v>5</v>
      </c>
      <c r="C257" s="213" t="str">
        <f t="shared" si="122"/>
        <v>Fuente de energia de respaldo (planta de emergencia)</v>
      </c>
      <c r="D257" s="204"/>
      <c r="E257" s="213" t="str">
        <f t="shared" si="123"/>
        <v>MXN/año</v>
      </c>
      <c r="H257" s="285">
        <f t="shared" si="125"/>
        <v>0</v>
      </c>
      <c r="I257" s="285">
        <f t="shared" si="125"/>
        <v>0</v>
      </c>
      <c r="J257" s="285">
        <f t="shared" si="125"/>
        <v>0</v>
      </c>
      <c r="K257" s="204"/>
      <c r="L257" s="204"/>
      <c r="M257" s="204"/>
      <c r="N257" s="204"/>
      <c r="O257" s="204"/>
      <c r="P257" s="204"/>
      <c r="Q257" s="204"/>
      <c r="R257" s="204"/>
      <c r="S257" s="204"/>
      <c r="T257" s="204"/>
      <c r="U257" s="204"/>
      <c r="V257" s="204"/>
      <c r="W257" s="204"/>
    </row>
    <row r="258" spans="2:23" x14ac:dyDescent="0.2">
      <c r="B258" s="212">
        <f t="shared" si="124"/>
        <v>6</v>
      </c>
      <c r="C258" s="213" t="str">
        <f t="shared" si="122"/>
        <v>Aire acondicionado</v>
      </c>
      <c r="D258" s="204"/>
      <c r="E258" s="213" t="str">
        <f t="shared" si="123"/>
        <v>MXN/año</v>
      </c>
      <c r="H258" s="285">
        <f t="shared" si="125"/>
        <v>0</v>
      </c>
      <c r="I258" s="285">
        <f t="shared" si="125"/>
        <v>0</v>
      </c>
      <c r="J258" s="285">
        <f t="shared" si="125"/>
        <v>0</v>
      </c>
      <c r="K258" s="204"/>
      <c r="L258" s="204"/>
      <c r="M258" s="204"/>
      <c r="N258" s="204"/>
      <c r="O258" s="204"/>
      <c r="P258" s="204"/>
      <c r="Q258" s="204"/>
      <c r="R258" s="204"/>
      <c r="S258" s="204"/>
      <c r="T258" s="204"/>
      <c r="U258" s="204"/>
      <c r="V258" s="204"/>
      <c r="W258" s="204"/>
    </row>
    <row r="259" spans="2:23" x14ac:dyDescent="0.2">
      <c r="B259" s="204"/>
      <c r="C259" s="204"/>
      <c r="D259" s="204"/>
      <c r="E259" s="204"/>
      <c r="H259" s="305"/>
      <c r="I259" s="305"/>
      <c r="J259" s="305"/>
      <c r="K259" s="204"/>
      <c r="L259" s="204"/>
      <c r="M259" s="204"/>
      <c r="N259" s="204"/>
      <c r="O259" s="204"/>
      <c r="P259" s="204"/>
      <c r="Q259" s="204"/>
      <c r="R259" s="204"/>
      <c r="S259" s="204"/>
      <c r="T259" s="204"/>
      <c r="U259" s="204"/>
      <c r="V259" s="204"/>
      <c r="W259" s="204"/>
    </row>
    <row r="260" spans="2:23" x14ac:dyDescent="0.2">
      <c r="B260" s="204"/>
      <c r="C260" s="144" t="s">
        <v>433</v>
      </c>
      <c r="D260" s="204"/>
      <c r="E260" s="204"/>
      <c r="H260" s="306">
        <f>SUM(H261:H264)</f>
        <v>0</v>
      </c>
      <c r="I260" s="306">
        <f>SUM(I261:I264)</f>
        <v>0</v>
      </c>
      <c r="J260" s="306">
        <f>SUM(J261:J264)</f>
        <v>0</v>
      </c>
      <c r="K260" s="204"/>
      <c r="L260" s="204"/>
      <c r="M260" s="204"/>
      <c r="N260" s="204"/>
      <c r="O260" s="204"/>
      <c r="P260" s="204"/>
      <c r="Q260" s="204"/>
      <c r="R260" s="204"/>
      <c r="S260" s="204"/>
      <c r="T260" s="204"/>
      <c r="U260" s="204"/>
      <c r="V260" s="204"/>
      <c r="W260" s="204"/>
    </row>
    <row r="261" spans="2:23" x14ac:dyDescent="0.2">
      <c r="B261" s="212">
        <v>1</v>
      </c>
      <c r="C261" s="213" t="str">
        <f>INDEX(lista.servicios,B261)</f>
        <v>Coubicación (CI/CE)</v>
      </c>
      <c r="D261" s="204"/>
      <c r="E261" s="213" t="str">
        <f t="shared" ref="E261:E264" si="126">$E$194</f>
        <v>MXN/año</v>
      </c>
      <c r="H261" s="307">
        <f>SUMPRODUCT(H253:H258,asignacion.coubicacion.cs3)</f>
        <v>0</v>
      </c>
      <c r="I261" s="307">
        <f>SUMPRODUCT(I253:I258,asignacion.coubicacion.cs3)</f>
        <v>0</v>
      </c>
      <c r="J261" s="307">
        <f>SUMPRODUCT(J253:J258,asignacion.coubicacion.cs3)</f>
        <v>0</v>
      </c>
      <c r="K261" s="204"/>
      <c r="L261" s="204"/>
      <c r="M261" s="204"/>
      <c r="N261" s="204"/>
      <c r="O261" s="204"/>
      <c r="P261" s="204"/>
      <c r="Q261" s="204"/>
      <c r="R261" s="204"/>
      <c r="S261" s="204"/>
      <c r="T261" s="204"/>
      <c r="U261" s="204"/>
      <c r="V261" s="204"/>
      <c r="W261" s="204"/>
    </row>
    <row r="262" spans="2:23" x14ac:dyDescent="0.2">
      <c r="B262" s="212">
        <f>B261+1</f>
        <v>2</v>
      </c>
      <c r="C262" s="213" t="str">
        <f>INDEX(lista.servicios,B262)</f>
        <v>Subestación electrica</v>
      </c>
      <c r="D262" s="204"/>
      <c r="E262" s="213" t="str">
        <f t="shared" si="126"/>
        <v>MXN/año</v>
      </c>
      <c r="H262" s="307">
        <f>SUMPRODUCT(H253:H258,asignacion.subestacion.electrica.cs3)</f>
        <v>0</v>
      </c>
      <c r="I262" s="307">
        <f>SUMPRODUCT(I253:I258,asignacion.subestacion.electrica.cs3)</f>
        <v>0</v>
      </c>
      <c r="J262" s="307">
        <f>SUMPRODUCT(J253:J258,asignacion.subestacion.electrica.cs3)</f>
        <v>0</v>
      </c>
      <c r="K262" s="204"/>
      <c r="L262" s="204"/>
      <c r="M262" s="204"/>
      <c r="N262" s="204"/>
      <c r="O262" s="204"/>
      <c r="P262" s="204"/>
      <c r="Q262" s="204"/>
      <c r="R262" s="204"/>
      <c r="S262" s="204"/>
      <c r="T262" s="204"/>
      <c r="U262" s="204"/>
      <c r="V262" s="204"/>
      <c r="W262" s="204"/>
    </row>
    <row r="263" spans="2:23" x14ac:dyDescent="0.2">
      <c r="B263" s="212">
        <f t="shared" ref="B263:B264" si="127">B262+1</f>
        <v>3</v>
      </c>
      <c r="C263" s="213" t="str">
        <f>INDEX(lista.servicios,B263)</f>
        <v>Fuente de energia de respaldo</v>
      </c>
      <c r="D263" s="204"/>
      <c r="E263" s="213" t="str">
        <f t="shared" si="126"/>
        <v>MXN/año</v>
      </c>
      <c r="H263" s="307">
        <f>SUMPRODUCT(H253:H258,asignacion.fuente.energia.respaldo.cs3)</f>
        <v>0</v>
      </c>
      <c r="I263" s="307">
        <f>SUMPRODUCT(I253:I258,asignacion.fuente.energia.respaldo.cs3)</f>
        <v>0</v>
      </c>
      <c r="J263" s="307">
        <f>SUMPRODUCT(J253:J258,asignacion.fuente.energia.respaldo.cs3)</f>
        <v>0</v>
      </c>
      <c r="K263" s="204"/>
      <c r="L263" s="204"/>
      <c r="M263" s="204"/>
      <c r="N263" s="204"/>
      <c r="O263" s="204"/>
      <c r="P263" s="204"/>
      <c r="Q263" s="204"/>
      <c r="R263" s="204"/>
      <c r="S263" s="204"/>
      <c r="T263" s="204"/>
      <c r="U263" s="204"/>
      <c r="V263" s="204"/>
      <c r="W263" s="204"/>
    </row>
    <row r="264" spans="2:23" x14ac:dyDescent="0.2">
      <c r="B264" s="212">
        <f t="shared" si="127"/>
        <v>4</v>
      </c>
      <c r="C264" s="213" t="str">
        <f>INDEX(lista.servicios,B264)</f>
        <v>Aire acondicionado</v>
      </c>
      <c r="D264" s="204"/>
      <c r="E264" s="213" t="str">
        <f t="shared" si="126"/>
        <v>MXN/año</v>
      </c>
      <c r="H264" s="307">
        <f>SUMPRODUCT(H253:H258,asignacion.aireacondicionado.cs3)</f>
        <v>0</v>
      </c>
      <c r="I264" s="307">
        <f>SUMPRODUCT(I253:I258,asignacion.aireacondicionado.cs3)</f>
        <v>0</v>
      </c>
      <c r="J264" s="307">
        <f>SUMPRODUCT(J253:J258,asignacion.aireacondicionado.cs3)</f>
        <v>0</v>
      </c>
      <c r="K264" s="204"/>
      <c r="L264" s="204"/>
      <c r="M264" s="204"/>
      <c r="N264" s="204"/>
      <c r="O264" s="204"/>
      <c r="P264" s="204"/>
      <c r="Q264" s="204"/>
      <c r="R264" s="204"/>
      <c r="S264" s="204"/>
      <c r="T264" s="204"/>
      <c r="U264" s="204"/>
      <c r="V264" s="204"/>
      <c r="W264" s="204"/>
    </row>
    <row r="265" spans="2:23" x14ac:dyDescent="0.2">
      <c r="H265" s="3"/>
      <c r="I265" s="3"/>
      <c r="J265" s="3"/>
    </row>
  </sheetData>
  <dataValidations disablePrompts="1" count="1">
    <dataValidation type="list" allowBlank="1" showInputMessage="1" showErrorMessage="1" sqref="L95:L100">
      <formula1>true.false</formula1>
    </dataValidation>
  </dataValidations>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oddFooter xml:space="preserve">&amp;L&amp;F : &amp;A&amp;CPrinted at &amp;T on &amp;D&amp;RCommercial in confidence © Analysys Mason </oddFooter>
  </headerFooter>
  <ignoredErrors>
    <ignoredError sqref="J115:L115 J118:L118 J128:L128"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205</vt:i4>
      </vt:variant>
    </vt:vector>
  </HeadingPairs>
  <TitlesOfParts>
    <vt:vector size="214" baseType="lpstr">
      <vt:lpstr>C</vt:lpstr>
      <vt:lpstr>S</vt:lpstr>
      <vt:lpstr>L</vt:lpstr>
      <vt:lpstr>Control</vt:lpstr>
      <vt:lpstr>Caracteristicas tecnicas</vt:lpstr>
      <vt:lpstr>Dimensionado</vt:lpstr>
      <vt:lpstr>Costos unitarios</vt:lpstr>
      <vt:lpstr>Costeo</vt:lpstr>
      <vt:lpstr>Precio</vt:lpstr>
      <vt:lpstr>actualizar.seleccion</vt:lpstr>
      <vt:lpstr>aire.acondicionado.capacidad.superficie</vt:lpstr>
      <vt:lpstr>aire.acondicionado.espacio.maniobra</vt:lpstr>
      <vt:lpstr>año</vt:lpstr>
      <vt:lpstr>año.activo</vt:lpstr>
      <vt:lpstr>area.espacio.overheads</vt:lpstr>
      <vt:lpstr>area.exterior.central.telmex</vt:lpstr>
      <vt:lpstr>area.libre.CS</vt:lpstr>
      <vt:lpstr>area.ocupada.predio</vt:lpstr>
      <vt:lpstr>area.sala.baterias</vt:lpstr>
      <vt:lpstr>area.sala.control</vt:lpstr>
      <vt:lpstr>area.sala.coubicacion.CS</vt:lpstr>
      <vt:lpstr>area.sala.coubicacion.CS1</vt:lpstr>
      <vt:lpstr>area.sala.coubicacion.CS2</vt:lpstr>
      <vt:lpstr>area.sala.coubicacion.CS3</vt:lpstr>
      <vt:lpstr>area.sala.coubicacion.externa.CS</vt:lpstr>
      <vt:lpstr>area.sala.coubicacion.externa.CS1</vt:lpstr>
      <vt:lpstr>area.sala.coubicacion.externa.CS2</vt:lpstr>
      <vt:lpstr>area.sala.coubicacion.externa.CS3</vt:lpstr>
      <vt:lpstr>area.sala.emergencia</vt:lpstr>
      <vt:lpstr>area.sala.MDF.AEP</vt:lpstr>
      <vt:lpstr>area.sala.subestacion.electrica</vt:lpstr>
      <vt:lpstr>area.sala.subestacion.electrica.AEP</vt:lpstr>
      <vt:lpstr>area.sala.subestacion.electrica.CS1</vt:lpstr>
      <vt:lpstr>area.sala.subestacion.electrica.CS2</vt:lpstr>
      <vt:lpstr>area.sala.subestacion.electrica.CS3</vt:lpstr>
      <vt:lpstr>area.sala.switching</vt:lpstr>
      <vt:lpstr>area.sala.transmision</vt:lpstr>
      <vt:lpstr>area.salas.central.telmex</vt:lpstr>
      <vt:lpstr>area.total.predio</vt:lpstr>
      <vt:lpstr>asignacion.aireacondicionado.cs1</vt:lpstr>
      <vt:lpstr>asignacion.aireacondicionado.cs2</vt:lpstr>
      <vt:lpstr>asignacion.aireacondicionado.cs3</vt:lpstr>
      <vt:lpstr>asignacion.coubicacion.cs1</vt:lpstr>
      <vt:lpstr>asignacion.coubicacion.cs2</vt:lpstr>
      <vt:lpstr>asignacion.coubicacion.cs3</vt:lpstr>
      <vt:lpstr>asignacion.fuente.energia.respaldo.cs1</vt:lpstr>
      <vt:lpstr>asignacion.fuente.energia.respaldo.cs2</vt:lpstr>
      <vt:lpstr>asignacion.fuente.energia.respaldo.cs3</vt:lpstr>
      <vt:lpstr>asignacion.subestacion.electrica.cs1</vt:lpstr>
      <vt:lpstr>asignacion.subestacion.electrica.cs2</vt:lpstr>
      <vt:lpstr>asignacion.subestacion.electrica.cs3</vt:lpstr>
      <vt:lpstr>backup.minimo.baterias.rural</vt:lpstr>
      <vt:lpstr>backup.minimo.baterias.urbano</vt:lpstr>
      <vt:lpstr>backup.minimo.generador.diesel.rural</vt:lpstr>
      <vt:lpstr>backup.minimo.generador.diesel.urbano</vt:lpstr>
      <vt:lpstr>bucles.central.telmex</vt:lpstr>
      <vt:lpstr>calculos.secundarios.Sala_de_control</vt:lpstr>
      <vt:lpstr>calculos.secundarios.Sala_de_switching</vt:lpstr>
      <vt:lpstr>calculos.secundarios.Sala_de_switching_del_AEP</vt:lpstr>
      <vt:lpstr>calculos.secundarios.Sala_equipos_de_transmisión_del_AEP</vt:lpstr>
      <vt:lpstr>calculos.secundarios.Sala_MDF</vt:lpstr>
      <vt:lpstr>calculos.secundarios.Sala_planta_de_emergencia</vt:lpstr>
      <vt:lpstr>calculos.secundarios.Sala_subestacion_electrica</vt:lpstr>
      <vt:lpstr>calculos.secundarios.tamano.caseta</vt:lpstr>
      <vt:lpstr>capacidad.fuente.energia.respaldo</vt:lpstr>
      <vt:lpstr>capacidad.utilizada.aire.acondicionado</vt:lpstr>
      <vt:lpstr>capex.aire.acondicionado</vt:lpstr>
      <vt:lpstr>capex.central.telmex</vt:lpstr>
      <vt:lpstr>capex.central.telmex.para.movil</vt:lpstr>
      <vt:lpstr>capex.fuente.energia.respaldo</vt:lpstr>
      <vt:lpstr>capex.predio</vt:lpstr>
      <vt:lpstr>capex.sala.coubicacion.externa</vt:lpstr>
      <vt:lpstr>capex.subestacion.electrica</vt:lpstr>
      <vt:lpstr>capex.unitario.acquisicion.predio</vt:lpstr>
      <vt:lpstr>capex.unitario.aire.acondicionado</vt:lpstr>
      <vt:lpstr>capex.unitario.central.telmex</vt:lpstr>
      <vt:lpstr>capex.unitario.fuente.energia.respaldo</vt:lpstr>
      <vt:lpstr>capex.unitario.obras.adecuacion.predio</vt:lpstr>
      <vt:lpstr>capex.unitario.sala.coubicacion.externa</vt:lpstr>
      <vt:lpstr>capex.unitario.subestacion.electrica</vt:lpstr>
      <vt:lpstr>consumo.equipos.AEP</vt:lpstr>
      <vt:lpstr>consumo.equipos.CS1</vt:lpstr>
      <vt:lpstr>consumo.equipos.CS2</vt:lpstr>
      <vt:lpstr>consumo.equipos.CS3</vt:lpstr>
      <vt:lpstr>consumo.equipos.subestacion.electrica</vt:lpstr>
      <vt:lpstr>corriente.energia</vt:lpstr>
      <vt:lpstr>corriente.energia.activa</vt:lpstr>
      <vt:lpstr>costos.considerados</vt:lpstr>
      <vt:lpstr>costos.considerados.activo</vt:lpstr>
      <vt:lpstr>costos.considerados.activo.indice</vt:lpstr>
      <vt:lpstr>cs1.activo</vt:lpstr>
      <vt:lpstr>cs2.activo</vt:lpstr>
      <vt:lpstr>cs3.activo</vt:lpstr>
      <vt:lpstr>dias.por.mes</vt:lpstr>
      <vt:lpstr>disponibilidad</vt:lpstr>
      <vt:lpstr>error</vt:lpstr>
      <vt:lpstr>espacio.coubicacion.activo.CS1</vt:lpstr>
      <vt:lpstr>espacio.coubicacion.activo.CS2</vt:lpstr>
      <vt:lpstr>espacio.coubicacion.activo.CS3</vt:lpstr>
      <vt:lpstr>espacio.exclusivo.AEP</vt:lpstr>
      <vt:lpstr>espacio.overheads.CS.activo</vt:lpstr>
      <vt:lpstr>factor.conversion.kVA.kW</vt:lpstr>
      <vt:lpstr>factor.conversion.kW.kVA</vt:lpstr>
      <vt:lpstr>fuente.energia.respaldo.activo.AEP</vt:lpstr>
      <vt:lpstr>gasto.anual.aire.acondicionado</vt:lpstr>
      <vt:lpstr>gasto.anual.central.telmex</vt:lpstr>
      <vt:lpstr>gasto.anual.fuente.energia.respaldo</vt:lpstr>
      <vt:lpstr>gasto.anual.predio</vt:lpstr>
      <vt:lpstr>gasto.anual.sala.coubicacion.externa</vt:lpstr>
      <vt:lpstr>gasto.anual.subestacion.electrica</vt:lpstr>
      <vt:lpstr>geotipo</vt:lpstr>
      <vt:lpstr>geotipo.activo</vt:lpstr>
      <vt:lpstr>horas.backup.fuente.energia.respaldo.baterias</vt:lpstr>
      <vt:lpstr>horas.backup.fuente.energia.respaldo.generador.diesel</vt:lpstr>
      <vt:lpstr>horas.por.dia</vt:lpstr>
      <vt:lpstr>hundred</vt:lpstr>
      <vt:lpstr>id.central.telmex.activo</vt:lpstr>
      <vt:lpstr>id.predio.activo</vt:lpstr>
      <vt:lpstr>identificador.central.telmex</vt:lpstr>
      <vt:lpstr>identificador.fuente.energia.respaldo</vt:lpstr>
      <vt:lpstr>identificador.predio</vt:lpstr>
      <vt:lpstr>identificador.sala.coubicacion.externa</vt:lpstr>
      <vt:lpstr>identificador.subestacion.electrica</vt:lpstr>
      <vt:lpstr>kW.por.ton</vt:lpstr>
      <vt:lpstr>lista.activos</vt:lpstr>
      <vt:lpstr>lista.componentes.central.telmex</vt:lpstr>
      <vt:lpstr>lista.componentes.predio</vt:lpstr>
      <vt:lpstr>lista.servicios</vt:lpstr>
      <vt:lpstr>m2.por.bateria</vt:lpstr>
      <vt:lpstr>markup.area.exterior.central.telmex</vt:lpstr>
      <vt:lpstr>markup.espacio.overheads</vt:lpstr>
      <vt:lpstr>markup.overhead.capex</vt:lpstr>
      <vt:lpstr>markup.overhead.opex</vt:lpstr>
      <vt:lpstr>markup.predio</vt:lpstr>
      <vt:lpstr>markup.sala.AEP</vt:lpstr>
      <vt:lpstr>markup.sala.CS</vt:lpstr>
      <vt:lpstr>markup.zona.rural</vt:lpstr>
      <vt:lpstr>meses.por.año</vt:lpstr>
      <vt:lpstr>million</vt:lpstr>
      <vt:lpstr>no</vt:lpstr>
      <vt:lpstr>not.available</vt:lpstr>
      <vt:lpstr>numero.baterias</vt:lpstr>
      <vt:lpstr>numero.CS</vt:lpstr>
      <vt:lpstr>numero.CS.activo</vt:lpstr>
      <vt:lpstr>numero.plantas.central.telmex.activo</vt:lpstr>
      <vt:lpstr>ok</vt:lpstr>
      <vt:lpstr>opcion.fuente.energia.respaldo</vt:lpstr>
      <vt:lpstr>opcion.fuente.energia.respaldo.activa</vt:lpstr>
      <vt:lpstr>opex.aire.acondicionado</vt:lpstr>
      <vt:lpstr>opex.anual.alquiler.central.telmex</vt:lpstr>
      <vt:lpstr>opex.anual.alquiler.predio</vt:lpstr>
      <vt:lpstr>opex.anual.alquiler.sala.coubicacion.externa</vt:lpstr>
      <vt:lpstr>opex.anual.mantenimiento.aire.acondicionado</vt:lpstr>
      <vt:lpstr>opex.anual.mantenimiento.central.telmex</vt:lpstr>
      <vt:lpstr>opex.anual.mantenimiento.predio</vt:lpstr>
      <vt:lpstr>opex.anual.mantenimiento.sala.coubicacion.externa</vt:lpstr>
      <vt:lpstr>opex.anual.mantenimiento.subestacion.electrica</vt:lpstr>
      <vt:lpstr>opex.central.telmex</vt:lpstr>
      <vt:lpstr>opex.central.telmex.para.movil</vt:lpstr>
      <vt:lpstr>opex.energia.kWh</vt:lpstr>
      <vt:lpstr>opex.fuente.energia.respaldo</vt:lpstr>
      <vt:lpstr>opex.predio</vt:lpstr>
      <vt:lpstr>opex.sala.coubicacion.externa</vt:lpstr>
      <vt:lpstr>opex.subestacion.electrica</vt:lpstr>
      <vt:lpstr>opex.unitario.fuente.energia.respaldo</vt:lpstr>
      <vt:lpstr>perfil.recuperacion.costos</vt:lpstr>
      <vt:lpstr>perfil.recuperacion.costos.activo</vt:lpstr>
      <vt:lpstr>perfil.recuperacion.costos.activo.indice</vt:lpstr>
      <vt:lpstr>potencia.minima.fuente.energia.respaldo</vt:lpstr>
      <vt:lpstr>predio.activo</vt:lpstr>
      <vt:lpstr>propiedad.predio</vt:lpstr>
      <vt:lpstr>propriedad.predio.activo</vt:lpstr>
      <vt:lpstr>sala.control.CS.activo</vt:lpstr>
      <vt:lpstr>sala.equipos.transmision.CS.activo</vt:lpstr>
      <vt:lpstr>sala.switching.CS.activo</vt:lpstr>
      <vt:lpstr>sens.capex.unitarios</vt:lpstr>
      <vt:lpstr>sens.opex.unitarios</vt:lpstr>
      <vt:lpstr>si</vt:lpstr>
      <vt:lpstr>solicitacion.aire.acondicionado.activo</vt:lpstr>
      <vt:lpstr>solicitacion.fuente.energia.respaldo.activo.CS1</vt:lpstr>
      <vt:lpstr>solicitacion.fuente.energia.respaldo.activo.CS2</vt:lpstr>
      <vt:lpstr>solicitacion.fuente.energia.respaldo.activo.CS3</vt:lpstr>
      <vt:lpstr>spare</vt:lpstr>
      <vt:lpstr>tamaño.central.Telmex</vt:lpstr>
      <vt:lpstr>thousand</vt:lpstr>
      <vt:lpstr>tipo.central.telmex.activa</vt:lpstr>
      <vt:lpstr>tipo.coubicacion</vt:lpstr>
      <vt:lpstr>tipo.coubicacion.activo.CS1</vt:lpstr>
      <vt:lpstr>tipo.coubicacion.activo.CS2</vt:lpstr>
      <vt:lpstr>tipo.coubicacion.activo.CS3</vt:lpstr>
      <vt:lpstr>true.false</vt:lpstr>
      <vt:lpstr>vida.util</vt:lpstr>
      <vt:lpstr>vida.util.activo</vt:lpstr>
      <vt:lpstr>vida.util.activo.indice</vt:lpstr>
      <vt:lpstr>vida.util.aire.acondicionado</vt:lpstr>
      <vt:lpstr>vida.util.central.telmex</vt:lpstr>
      <vt:lpstr>vida.util.fuente.energia.respaldo</vt:lpstr>
      <vt:lpstr>vida.util.predio</vt:lpstr>
      <vt:lpstr>vida.util.restante.aire.acondicionado</vt:lpstr>
      <vt:lpstr>vida.util.restante.central.telmex</vt:lpstr>
      <vt:lpstr>vida.util.restante.fuente.energia.respaldo</vt:lpstr>
      <vt:lpstr>vida.util.restante.predio</vt:lpstr>
      <vt:lpstr>vida.util.restante.sala.coubicacion.externa</vt:lpstr>
      <vt:lpstr>vida.util.restante.subestacion.electrica</vt:lpstr>
      <vt:lpstr>vida.util.sala.coubicacion.externa</vt:lpstr>
      <vt:lpstr>vida.util.subestacion.electrica</vt:lpstr>
      <vt:lpstr>void</vt:lpstr>
      <vt:lpstr>wacc</vt:lpstr>
      <vt:lpstr>Workbook.Author</vt:lpstr>
      <vt:lpstr>Workbook.Authors_Email_Address</vt:lpstr>
      <vt:lpstr>Workbook.Objective</vt:lpstr>
      <vt:lpstr>Workbook.Status</vt:lpstr>
      <vt:lpstr>Workbook.Title</vt:lpstr>
      <vt:lpstr>Workbook.Version</vt:lpstr>
    </vt:vector>
  </TitlesOfParts>
  <Manager>-</Manager>
  <Company>Analysys Mason Ltd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dc:subject>
  <cp:lastModifiedBy>César Zamora Martínez</cp:lastModifiedBy>
  <cp:lastPrinted>2014-12-15T18:36:47Z</cp:lastPrinted>
  <dcterms:created xsi:type="dcterms:W3CDTF">1997-01-23T15:12:23Z</dcterms:created>
  <dcterms:modified xsi:type="dcterms:W3CDTF">2015-10-14T22:13:05Z</dcterms:modified>
</cp:coreProperties>
</file>