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FT\Modelos de Costos\Consulta Pública - Modelos de Costos\13102015 - Accesibilidad\2. Reventa de Linea + SAIB\"/>
    </mc:Choice>
  </mc:AlternateContent>
  <bookViews>
    <workbookView xWindow="0" yWindow="0" windowWidth="28800" windowHeight="12435" tabRatio="666" firstSheet="3" activeTab="3"/>
  </bookViews>
  <sheets>
    <sheet name="C" sheetId="50" r:id="rId1"/>
    <sheet name="S" sheetId="66" r:id="rId2"/>
    <sheet name="Listas" sheetId="53" r:id="rId3"/>
    <sheet name="Control" sheetId="55" r:id="rId4"/>
    <sheet name="Inputs de precios" sheetId="49" r:id="rId5"/>
    <sheet name="Inputs de conexiones" sheetId="57" r:id="rId6"/>
    <sheet name="Mercado" sheetId="51" r:id="rId7"/>
    <sheet name="Inputs de costos evitables" sheetId="52" r:id="rId8"/>
    <sheet name="Precios dentro de paquetes" sheetId="68" r:id="rId9"/>
    <sheet name="Cálculos banda ancha" sheetId="54" r:id="rId10"/>
    <sheet name="Cálculos renta de línea" sheetId="56" r:id="rId11"/>
    <sheet name="Precios retail minus" sheetId="67" r:id="rId12"/>
    <sheet name="Datos del AEP --&gt;" sheetId="70" r:id="rId13"/>
    <sheet name="11" sheetId="71" r:id="rId14"/>
    <sheet name="V.1" sheetId="72" r:id="rId15"/>
    <sheet name="V.4" sheetId="73" r:id="rId16"/>
  </sheets>
  <externalReferences>
    <externalReference r:id="rId17"/>
  </externalReferences>
  <definedNames>
    <definedName name="_Fill" hidden="1">#REF!</definedName>
    <definedName name="_Key1" hidden="1">#REF!</definedName>
    <definedName name="_Key2" hidden="1">#REF!</definedName>
    <definedName name="_Order1" hidden="1">255</definedName>
    <definedName name="_Order2" hidden="1">255</definedName>
    <definedName name="_p51" localSheetId="15" hidden="1">{"MG-2002-F1",#N/A,FALSE,"PPU-Telemig";"MG-2002-F2",#N/A,FALSE,"PPU-Telemig";"MG-2002-F3",#N/A,FALSE,"PPU-Telemig";"MG-2002-F4",#N/A,FALSE,"PPU-Telemig";"MG-2003-F1",#N/A,FALSE,"PPU-Telemig";"MG-2004-F1",#N/A,FALSE,"PPU-Telemig"}</definedName>
    <definedName name="_p51" hidden="1">{"MG-2002-F1",#N/A,FALSE,"PPU-Telemig";"MG-2002-F2",#N/A,FALSE,"PPU-Telemig";"MG-2002-F3",#N/A,FALSE,"PPU-Telemig";"MG-2002-F4",#N/A,FALSE,"PPU-Telemig";"MG-2003-F1",#N/A,FALSE,"PPU-Telemig";"MG-2004-F1",#N/A,FALSE,"PPU-Telemig"}</definedName>
    <definedName name="_Regression_Int" hidden="1">1</definedName>
    <definedName name="_Sort" hidden="1">'[1]SOPOCTprod-pagos99'!#REF!</definedName>
    <definedName name="AccessDatabase" hidden="1">"C:\Mis documentos\Plan99_Ad\CALCULOB2.mdb"</definedName>
    <definedName name="Admin.costs">'Inputs de costos evitables'!$E$91</definedName>
    <definedName name="Admin.staff.per.customer.care.staff">'Inputs de costos evitables'!$E$88</definedName>
    <definedName name="anscount" hidden="1">1</definedName>
    <definedName name="ARE" localSheetId="15" hidden="1">{"MG-2002-F1",#N/A,FALSE,"PPU-Telemig";"MG-2002-F2",#N/A,FALSE,"PPU-Telemig";"MG-2002-F3",#N/A,FALSE,"PPU-Telemig";"MG-2002-F4",#N/A,FALSE,"PPU-Telemig";"MG-2003-F1",#N/A,FALSE,"PPU-Telemig";"MG-2004-F1",#N/A,FALSE,"PPU-Telemig"}</definedName>
    <definedName name="ARE" hidden="1">{"MG-2002-F1",#N/A,FALSE,"PPU-Telemig";"MG-2002-F2",#N/A,FALSE,"PPU-Telemig";"MG-2002-F3",#N/A,FALSE,"PPU-Telemig";"MG-2002-F4",#N/A,FALSE,"PPU-Telemig";"MG-2003-F1",#N/A,FALSE,"PPU-Telemig";"MG-2004-F1",#N/A,FALSE,"PPU-Telemig"}</definedName>
    <definedName name="_xlnm.Print_Area" localSheetId="14">V.1!$B$1:$C$27,V.1!$B$30:$C$55,V.1!$B$59:$C$84,V.1!$B$89:$C$114,V.1!$B$118:$C$145,V.1!$B$149:$C$174,V.1!$B$178:$C$205,V.1!$B$209:$C$235,V.1!$B$239:$C$270,V.1!$B$274:$C$296</definedName>
    <definedName name="_xlnm.Print_Area" localSheetId="15">V.4!$B$1:$C$147,V.4!$B$151:$C$181,V.4!$B$185:$C$219,V.4!$B$223:$C$251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DA" localSheetId="15" hidden="1">{"MG-2002-F1",#N/A,FALSE,"PPU-Telemig";"MG-2002-F2",#N/A,FALSE,"PPU-Telemig";"MG-2002-F3",#N/A,FALSE,"PPU-Telemig";"MG-2002-F4",#N/A,FALSE,"PPU-Telemig";"MG-2003-F1",#N/A,FALSE,"PPU-Telemig";"MG-2004-F1",#N/A,FALSE,"PPU-Telemig"}</definedName>
    <definedName name="ASFDA" hidden="1">{"MG-2002-F1",#N/A,FALSE,"PPU-Telemig";"MG-2002-F2",#N/A,FALSE,"PPU-Telemig";"MG-2002-F3",#N/A,FALSE,"PPU-Telemig";"MG-2002-F4",#N/A,FALSE,"PPU-Telemig";"MG-2003-F1",#N/A,FALSE,"PPU-Telemig";"MG-2004-F1",#N/A,FALSE,"PPU-Telemig"}</definedName>
    <definedName name="Average.broadband.speed">'Inputs de costos evitables'!$I$98</definedName>
    <definedName name="Bad.debt.cost">'Inputs de costos evitables'!$E$46</definedName>
    <definedName name="BG_Del" hidden="1">15</definedName>
    <definedName name="BG_Ins" hidden="1">4</definedName>
    <definedName name="BG_Mod" hidden="1">6</definedName>
    <definedName name="Billing.cost">'Inputs de costos evitables'!$E$42</definedName>
    <definedName name="Broadband.churn">'Inputs de costos evitables'!$I$28</definedName>
    <definedName name="Broadband.contention.ratio">'Inputs de costos evitables'!$I$100</definedName>
    <definedName name="Broadband.gross.adds.non.residential">'Cálculos banda ancha'!$E$52</definedName>
    <definedName name="Broadband.gross.adds.residential.with.line.rental">'Cálculos banda ancha'!$E$36</definedName>
    <definedName name="Broadband.plans">'Inputs de precios'!$C$11:$C$22</definedName>
    <definedName name="Broadband.plans.prices">'Inputs de precios'!$E$48:$E$59</definedName>
    <definedName name="Broadband.prices.within.plans">'Precios dentro de paquetes'!$G$132:$R$132</definedName>
    <definedName name="Broadband.prices.within.plans.before.discount">'Precios dentro de paquetes'!$G$122:$R$122</definedName>
    <definedName name="Broadband.subscribers.selected">Control!$D$15</definedName>
    <definedName name="Broadband.subscribers.supuesto">Control!$D$23:$D$34</definedName>
    <definedName name="Broadband.subscribers.supuesto.option">Control!$D$17</definedName>
    <definedName name="Broadband.subscribers.Telmex">'11'!$J$138:$J$149</definedName>
    <definedName name="Broadband.subscribers.Telmex.option">Control!$D$16</definedName>
    <definedName name="Broadband.technologies">Mercado!$D$12:$D$15</definedName>
    <definedName name="CPE.cost.for.the.operator">'Inputs de costos evitables'!$I$21</definedName>
    <definedName name="CPE.lifetime">'Inputs de costos evitables'!$I$26</definedName>
    <definedName name="Customer.care.broadbandsubscriber.per.staff">'Inputs de costos evitables'!$I$70</definedName>
    <definedName name="Customer.care.line.rental.per.staff">'Inputs de costos evitables'!$M$70</definedName>
    <definedName name="Distribution.broadband.plans">'Inputs de conexiones'!$J$131:$J$142</definedName>
    <definedName name="DME_Dirty" hidden="1">"False"</definedName>
    <definedName name="EE" localSheetId="15"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5"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FFF" localSheetId="15"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ixed.lines">Mercado!$F$88:$Q$88</definedName>
    <definedName name="Floorspace.per.staff">'Inputs de costos evitables'!$E$81</definedName>
    <definedName name="FSA" localSheetId="15" hidden="1">{"MG-2002-F1",#N/A,FALSE,"PPU-Telemig";"MG-2002-F2",#N/A,FALSE,"PPU-Telemig";"MG-2002-F3",#N/A,FALSE,"PPU-Telemig";"MG-2002-F4",#N/A,FALSE,"PPU-Telemig";"MG-2003-F1",#N/A,FALSE,"PPU-Telemig";"MG-2004-F1",#N/A,FALSE,"PPU-Telemig"}</definedName>
    <definedName name="FSA" hidden="1">{"MG-2002-F1",#N/A,FALSE,"PPU-Telemig";"MG-2002-F2",#N/A,FALSE,"PPU-Telemig";"MG-2002-F3",#N/A,FALSE,"PPU-Telemig";"MG-2002-F4",#N/A,FALSE,"PPU-Telemig";"MG-2003-F1",#N/A,FALSE,"PPU-Telemig";"MG-2004-F1",#N/A,FALSE,"PPU-Telemig"}</definedName>
    <definedName name="geral" localSheetId="15"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Gerente">"a_2"</definedName>
    <definedName name="Internet.cable.connections.2008.2013">'Inputs de conexiones'!$F$76:$F$81</definedName>
    <definedName name="Internet.dial.up.connections.2008.2013">'Inputs de conexiones'!$D$76:$D$81</definedName>
    <definedName name="Internet.other.connections.2008.2013">'Inputs de conexiones'!$G$76:$G$81</definedName>
    <definedName name="Internet.Telmex.market.share.2013">'Inputs de conexiones'!$J$81</definedName>
    <definedName name="Internet.xDSL.connections.2008.2013">'Inputs de conexiones'!$E$76:$E$81</definedName>
    <definedName name="IVA.rate">Listas!$D$5</definedName>
    <definedName name="Líder">"a_3"</definedName>
    <definedName name="Line.rental.churn">'Inputs de costos evitables'!$M$28</definedName>
    <definedName name="Line.rental.monthly.fee">'Inputs de precios'!$F$71:$F$72</definedName>
    <definedName name="Line.rental.monthly.fee.before.IVA">'Inputs de precios'!$E$71:$E$72</definedName>
    <definedName name="Line.rental.monthly.fee.business.before.IVA">'Inputs de precios'!$E$72</definedName>
    <definedName name="Line.rental.monthly.fee.residential.before.IVA">'Inputs de precios'!$E$71</definedName>
    <definedName name="Line.rental.monthly.fee.with.IVA">'Inputs de precios'!$F$71:$F$72</definedName>
    <definedName name="Line.rental.one.time.fee.before.IVA">'Inputs de precios'!$C$71:$C$72</definedName>
    <definedName name="Line.rental.one.time.fee.with.IVA">'Inputs de precios'!$D$71:$D$72</definedName>
    <definedName name="Line.rental.prices.within.plans">'Precios dentro de paquetes'!$G$134:$R$134</definedName>
    <definedName name="Line.rental.prices.within.plans.before.discount">'Precios dentro de paquetes'!$G$123:$R$123</definedName>
    <definedName name="Marketing.and.sales.minimum.proportion.broadband">'Inputs de costos evitables'!$I$61</definedName>
    <definedName name="Marketing.and.sales.minimum.proportion.line.rental">'Inputs de costos evitables'!$M$61</definedName>
    <definedName name="Marketing.and.sales.per.gross.add.broadband">'Inputs de costos evitables'!$I$59</definedName>
    <definedName name="Marketing.and.sales.per.gross.add.line.rental">'Inputs de costos evitables'!$M$59</definedName>
    <definedName name="mmm" localSheetId="15"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nlogo">"Image 69"</definedName>
    <definedName name="Monthly.cost.per.staff">'Inputs de costos evitables'!$E$72</definedName>
    <definedName name="Months.per.year">Listas!$F$5</definedName>
    <definedName name="ÑJÑL" localSheetId="15" hidden="1">Main.SAPF4Help()</definedName>
    <definedName name="ÑJÑL" hidden="1">Main.SAPF4Help()</definedName>
    <definedName name="Price.per.Mbps.for.transport">'Inputs de costos evitables'!$I$102</definedName>
    <definedName name="Prices.and.services.by.plan">'Inputs de precios'!$E$48:$P$59</definedName>
    <definedName name="Proportion.of.non.residential.voice.only.lines">Control!$D$10</definedName>
    <definedName name="PSTN.lines.2008.2013">'Inputs de conexiones'!$D$49:$D$54</definedName>
    <definedName name="PSTN.non.residential.lines.2008.2013">'Inputs de conexiones'!$K$49:$K$54</definedName>
    <definedName name="PSTN.residential.lines.2008.2013">'Inputs de conexiones'!$J$49:$J$54</definedName>
    <definedName name="Rent.per.sqm">'Inputs de costos evitables'!$E$85</definedName>
    <definedName name="res" localSheetId="15"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en" localSheetId="15" hidden="1">Main.SAPF4Help()</definedName>
    <definedName name="resumen" hidden="1">Main.SAPF4Help()</definedName>
    <definedName name="Retail.minus.additional.calls">'Cálculos renta de línea'!$E$206</definedName>
    <definedName name="Retail.minus.broadband">'Cálculos banda ancha'!$E$196</definedName>
    <definedName name="Retail.minus.line.rental">'Cálculos renta de línea'!$E$202</definedName>
    <definedName name="Retail.price.100.local.calls.business">'Inputs de precios'!$F$88</definedName>
    <definedName name="Retail.price.100.local.calls.residential">'Inputs de precios'!$E$88</definedName>
    <definedName name="Retail.price.100.minutes.international">'Inputs de precios'!$E$106</definedName>
    <definedName name="Retail.price.50.local.calls.residential">'Inputs de precios'!$E$87</definedName>
    <definedName name="Retail.profit">'Inputs de costos evitables'!$E$105</definedName>
    <definedName name="RR" localSheetId="15"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SAP" localSheetId="15" hidden="1">Main.SAPF4Help()</definedName>
    <definedName name="SAP" hidden="1">Main.SAPF4Help()</definedName>
    <definedName name="SAPBEXdnldView" hidden="1">"3UCLXGX5U860E2OHQHIF1OFNZ"</definedName>
    <definedName name="SAPBEXrevision" hidden="1">1</definedName>
    <definedName name="SAPBEXsysID" hidden="1">"BIP"</definedName>
    <definedName name="SAPBEXwbID" hidden="1">"44TPQ9003VV6KHYAEWIYD8BPR"</definedName>
    <definedName name="SAPFuncF4Help" localSheetId="15" hidden="1">Main.SAPF4Help()</definedName>
    <definedName name="SAPFuncF4Help" hidden="1">Main.SAPF4Help()</definedName>
    <definedName name="SAPFuncF5Help" localSheetId="15" hidden="1">Main.SAPF4Help()</definedName>
    <definedName name="SAPFuncF5Help" hidden="1">Main.SAPF4Help()</definedName>
    <definedName name="Telmex.DSL.subs">Mercado!$F$33:$Q$33</definedName>
    <definedName name="Telmex.DSL.subs.by.plan">Mercado!$F$41:$Q$52</definedName>
    <definedName name="Telmex.DSL.subs.by.plan.year.selected.average">Mercado!$S$41:$S$52</definedName>
    <definedName name="Telmex.DSL.subs.non.residential">Mercado!$F$62:$Q$62</definedName>
    <definedName name="Telmex.DSL.subs.non.residential.year.selected">Mercado!$S$62</definedName>
    <definedName name="Telmex.DSL.subs.non.residential.year.selected.minus.1">Mercado!$T$62</definedName>
    <definedName name="Telmex.DSL.subs.residential.with.line.rental">Mercado!$F$60:$Q$60</definedName>
    <definedName name="Telmex.DSL.subs.residential.with.line.rental.year.selected">Mercado!$S$60</definedName>
    <definedName name="Telmex.DSL.subs.residential.with.line.rental.year.selected.minus.1">Mercado!$T$60</definedName>
    <definedName name="Telmex.DSL.subs.year.selected">Mercado!$S$33</definedName>
    <definedName name="Telmex.DSL.subs.year.selected.minus.1">Mercado!$T$33</definedName>
    <definedName name="Telmex.PSTN.lines">Mercado!$F$103:$Q$103</definedName>
    <definedName name="Telmex.PSTN.lines.year.selected">Mercado!$S$103</definedName>
    <definedName name="Telmex.PSTN.lines.year.selected.minus.1">Mercado!$T$103</definedName>
    <definedName name="Telmex.PSTN.non.residential.lines">Mercado!$F$110:$Q$110</definedName>
    <definedName name="Telmex.PSTN.non.residential.lines.voice.only">Mercado!$F$115:$Q$115</definedName>
    <definedName name="Telmex.PSTN.non.residential.lines.voice.only..year.selected">Mercado!$S$115</definedName>
    <definedName name="Telmex.PSTN.non.residential.lines.voice.only..year.selected.minus.1">Mercado!$T$115</definedName>
    <definedName name="Telmex.PSTN.residential.lines">Mercado!$F$108:$Q$108</definedName>
    <definedName name="Telmex.PSTN.residential.lines.voice.only">Mercado!$F$113:$Q$113</definedName>
    <definedName name="Telmex.PSTN.residential.lines.voice.only.year.selected">Mercado!$S$113</definedName>
    <definedName name="Telmex.PSTN.residential.lines.voice.only.year.selected.minus.1">Mercado!$T$113</definedName>
    <definedName name="Unlimited.voice.multiplier">Control!$D$7</definedName>
    <definedName name="vtas" localSheetId="15" hidden="1">Main.SAPF4Help()</definedName>
    <definedName name="vtas" hidden="1">Main.SAPF4Help()</definedName>
    <definedName name="we" localSheetId="15" hidden="1">{"MG-2002-F1",#N/A,FALSE,"PPU-Telemig";"MG-2002-F2",#N/A,FALSE,"PPU-Telemig";"MG-2002-F3",#N/A,FALSE,"PPU-Telemig";"MG-2002-F4",#N/A,FALSE,"PPU-Telemig";"MG-2003-F1",#N/A,FALSE,"PPU-Telemig";"MG-2004-F1",#N/A,FALSE,"PPU-Telemig"}</definedName>
    <definedName name="we" hidden="1">{"MG-2002-F1",#N/A,FALSE,"PPU-Telemig";"MG-2002-F2",#N/A,FALSE,"PPU-Telemig";"MG-2002-F3",#N/A,FALSE,"PPU-Telemig";"MG-2002-F4",#N/A,FALSE,"PPU-Telemig";"MG-2003-F1",#N/A,FALSE,"PPU-Telemig";"MG-2004-F1",#N/A,FALSE,"PPU-Telemig"}</definedName>
    <definedName name="Workbook.Author">'C'!$B$14</definedName>
    <definedName name="Workbook.Authors_Email_Address">'C'!$B$15</definedName>
    <definedName name="Workbook.Objective">'C'!$B$6</definedName>
    <definedName name="Workbook.Status">'C'!$B$9</definedName>
    <definedName name="Workbook.Title">'C'!$B$5</definedName>
    <definedName name="Workbook.Version">'C'!$B$8</definedName>
    <definedName name="wrn.LPU._.MG." localSheetId="15"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W" localSheetId="15"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Y" localSheetId="15" hidden="1">Main.SAPF4Help()</definedName>
    <definedName name="Y" hidden="1">Main.SAPF4Help()</definedName>
    <definedName name="Years">Listas!$B$5:$B$16</definedName>
  </definedNames>
  <calcPr calcId="152511"/>
</workbook>
</file>

<file path=xl/calcChain.xml><?xml version="1.0" encoding="utf-8"?>
<calcChain xmlns="http://schemas.openxmlformats.org/spreadsheetml/2006/main">
  <c r="J38" i="55" l="1" a="1"/>
  <c r="J38" i="55" s="1"/>
  <c r="J33" i="55" a="1"/>
  <c r="K34" i="55" s="1"/>
  <c r="J27" i="55" a="1"/>
  <c r="J27" i="55" s="1"/>
  <c r="K23" i="55"/>
  <c r="J23" i="55"/>
  <c r="J40" i="55" l="1"/>
  <c r="K41" i="55"/>
  <c r="K39" i="55"/>
  <c r="J41" i="55"/>
  <c r="J39" i="55"/>
  <c r="K40" i="55"/>
  <c r="K38" i="55"/>
  <c r="J34" i="55"/>
  <c r="K33" i="55"/>
  <c r="J33" i="55"/>
  <c r="K28" i="55"/>
  <c r="J28" i="55"/>
  <c r="K29" i="55"/>
  <c r="K27" i="55"/>
  <c r="J29" i="55"/>
  <c r="G19" i="67"/>
  <c r="Q100" i="51" l="1"/>
  <c r="P100" i="51"/>
  <c r="O100" i="51"/>
  <c r="N100" i="51"/>
  <c r="M100" i="51"/>
  <c r="Q95" i="51"/>
  <c r="P95" i="51"/>
  <c r="O95" i="51"/>
  <c r="N95" i="51"/>
  <c r="M95" i="51"/>
  <c r="K37" i="55" l="1"/>
  <c r="K32" i="55"/>
  <c r="K26" i="55"/>
  <c r="K22" i="55"/>
  <c r="J131" i="57" a="1"/>
  <c r="J131" i="57" s="1"/>
  <c r="D22" i="55"/>
  <c r="J142" i="57" l="1"/>
  <c r="J138" i="57"/>
  <c r="J134" i="57"/>
  <c r="J141" i="57"/>
  <c r="J137" i="57"/>
  <c r="J133" i="57"/>
  <c r="J140" i="57"/>
  <c r="J136" i="57"/>
  <c r="J132" i="57"/>
  <c r="G136" i="68" s="1" a="1"/>
  <c r="J139" i="57"/>
  <c r="J135" i="57"/>
  <c r="B70" i="67"/>
  <c r="B71" i="67" s="1"/>
  <c r="B72" i="67" s="1"/>
  <c r="B73" i="67" s="1"/>
  <c r="B74" i="67" s="1"/>
  <c r="B75" i="67" s="1"/>
  <c r="B76" i="67" s="1"/>
  <c r="B77" i="67" s="1"/>
  <c r="B78" i="67" s="1"/>
  <c r="B79" i="67" s="1"/>
  <c r="B80" i="67" s="1"/>
  <c r="G12" i="67"/>
  <c r="H12" i="67" s="1"/>
  <c r="G136" i="68" l="1"/>
  <c r="R136" i="68"/>
  <c r="J136" i="68"/>
  <c r="N136" i="68"/>
  <c r="I136" i="68"/>
  <c r="O136" i="68"/>
  <c r="P136" i="68"/>
  <c r="K136" i="68"/>
  <c r="Q136" i="68"/>
  <c r="L136" i="68"/>
  <c r="M136" i="68"/>
  <c r="H136" i="68"/>
  <c r="E163" i="57"/>
  <c r="C23" i="55" a="1"/>
  <c r="C34" i="55" s="1"/>
  <c r="C26" i="55" l="1"/>
  <c r="C30" i="55"/>
  <c r="C23" i="55"/>
  <c r="C27" i="55"/>
  <c r="C31" i="55"/>
  <c r="C24" i="55"/>
  <c r="C28" i="55"/>
  <c r="C32" i="55"/>
  <c r="C25" i="55"/>
  <c r="C29" i="55"/>
  <c r="C33" i="55"/>
  <c r="C114" i="57" a="1"/>
  <c r="C122" i="57" s="1"/>
  <c r="C115" i="57" l="1"/>
  <c r="C114" i="57"/>
  <c r="C119" i="57"/>
  <c r="C123" i="57"/>
  <c r="C116" i="57"/>
  <c r="C120" i="57"/>
  <c r="C124" i="57"/>
  <c r="C117" i="57"/>
  <c r="C121" i="57"/>
  <c r="C125" i="57"/>
  <c r="C118" i="57"/>
  <c r="Q124" i="68" l="1"/>
  <c r="P124" i="68"/>
  <c r="L124" i="68"/>
  <c r="K124" i="68"/>
  <c r="G119" i="68" a="1"/>
  <c r="Q119" i="68" s="1"/>
  <c r="F69" i="67" l="1" a="1"/>
  <c r="F72" i="67" s="1"/>
  <c r="J119" i="68"/>
  <c r="N119" i="68"/>
  <c r="R119" i="68"/>
  <c r="G119" i="68"/>
  <c r="K119" i="68"/>
  <c r="O119" i="68"/>
  <c r="H119" i="68"/>
  <c r="L119" i="68"/>
  <c r="P119" i="68"/>
  <c r="I119" i="68"/>
  <c r="M119" i="68"/>
  <c r="G99" i="68" a="1"/>
  <c r="R99" i="68" s="1"/>
  <c r="B82" i="68"/>
  <c r="B83" i="68" s="1"/>
  <c r="B84" i="68" s="1"/>
  <c r="B85" i="68" s="1"/>
  <c r="B86" i="68" s="1"/>
  <c r="B87" i="68" s="1"/>
  <c r="B88" i="68" s="1"/>
  <c r="B89" i="68" s="1"/>
  <c r="B90" i="68" s="1"/>
  <c r="B91" i="68" s="1"/>
  <c r="B92" i="68" s="1"/>
  <c r="G92" i="68" s="1" a="1"/>
  <c r="R92" i="68" s="1"/>
  <c r="F78" i="67" l="1"/>
  <c r="F79" i="67"/>
  <c r="F80" i="67"/>
  <c r="F75" i="67"/>
  <c r="F76" i="67"/>
  <c r="F77" i="67"/>
  <c r="F74" i="67"/>
  <c r="F73" i="67"/>
  <c r="F71" i="67"/>
  <c r="F69" i="67"/>
  <c r="F70" i="67"/>
  <c r="R112" i="68"/>
  <c r="R111" i="68"/>
  <c r="I99" i="68"/>
  <c r="M99" i="68"/>
  <c r="Q99" i="68"/>
  <c r="G99" i="68"/>
  <c r="K99" i="68"/>
  <c r="O99" i="68"/>
  <c r="H99" i="68"/>
  <c r="L99" i="68"/>
  <c r="P99" i="68"/>
  <c r="J99" i="68"/>
  <c r="N99" i="68"/>
  <c r="G91" i="68" a="1"/>
  <c r="R91" i="68" s="1"/>
  <c r="G88" i="68" a="1"/>
  <c r="O88" i="68" s="1"/>
  <c r="G89" i="68" a="1"/>
  <c r="R89" i="68" s="1"/>
  <c r="G86" i="68" a="1"/>
  <c r="Q86" i="68" s="1"/>
  <c r="G87" i="68" a="1"/>
  <c r="P87" i="68" s="1"/>
  <c r="I92" i="68"/>
  <c r="M92" i="68"/>
  <c r="Q92" i="68"/>
  <c r="G92" i="68"/>
  <c r="K92" i="68"/>
  <c r="O92" i="68"/>
  <c r="H92" i="68"/>
  <c r="L92" i="68"/>
  <c r="P92" i="68"/>
  <c r="J92" i="68"/>
  <c r="N92" i="68"/>
  <c r="G79" i="68" a="1"/>
  <c r="H79" i="68" s="1"/>
  <c r="D189" i="72"/>
  <c r="D252" i="73"/>
  <c r="G112" i="68" l="1"/>
  <c r="G111" i="68"/>
  <c r="H112" i="68"/>
  <c r="H111" i="68"/>
  <c r="I112" i="68"/>
  <c r="I111" i="68"/>
  <c r="H91" i="68"/>
  <c r="G91" i="68"/>
  <c r="K88" i="68"/>
  <c r="H88" i="68"/>
  <c r="J88" i="68"/>
  <c r="N88" i="68"/>
  <c r="Q88" i="68"/>
  <c r="O87" i="68"/>
  <c r="N91" i="68"/>
  <c r="Q91" i="68"/>
  <c r="L91" i="68"/>
  <c r="G87" i="68"/>
  <c r="P88" i="68"/>
  <c r="I88" i="68"/>
  <c r="R88" i="68"/>
  <c r="L88" i="68"/>
  <c r="M88" i="68"/>
  <c r="J87" i="68"/>
  <c r="L87" i="68"/>
  <c r="I89" i="68"/>
  <c r="R87" i="68"/>
  <c r="Q87" i="68"/>
  <c r="G88" i="68"/>
  <c r="K87" i="68"/>
  <c r="M87" i="68"/>
  <c r="H87" i="68"/>
  <c r="N87" i="68"/>
  <c r="I87" i="68"/>
  <c r="Q89" i="68"/>
  <c r="G89" i="68"/>
  <c r="J91" i="68"/>
  <c r="O91" i="68"/>
  <c r="M91" i="68"/>
  <c r="M89" i="68"/>
  <c r="P91" i="68"/>
  <c r="K91" i="68"/>
  <c r="I91" i="68"/>
  <c r="H89" i="68"/>
  <c r="L89" i="68"/>
  <c r="N89" i="68"/>
  <c r="K89" i="68"/>
  <c r="P89" i="68"/>
  <c r="R86" i="68"/>
  <c r="H86" i="68"/>
  <c r="O86" i="68"/>
  <c r="J86" i="68"/>
  <c r="P86" i="68"/>
  <c r="J89" i="68"/>
  <c r="O89" i="68"/>
  <c r="K86" i="68"/>
  <c r="M86" i="68"/>
  <c r="L86" i="68"/>
  <c r="N86" i="68"/>
  <c r="I86" i="68"/>
  <c r="G86" i="68"/>
  <c r="Q79" i="68"/>
  <c r="M79" i="68"/>
  <c r="I79" i="68"/>
  <c r="O79" i="68"/>
  <c r="K79" i="68"/>
  <c r="G79" i="68"/>
  <c r="R79" i="68"/>
  <c r="N79" i="68"/>
  <c r="J79" i="68"/>
  <c r="P79" i="68"/>
  <c r="L79" i="68"/>
  <c r="J92" i="57" a="1"/>
  <c r="J92" i="57" s="1"/>
  <c r="E29" i="49" a="1"/>
  <c r="J40" i="49" s="1"/>
  <c r="E11" i="49" a="1"/>
  <c r="F11" i="49" s="1"/>
  <c r="CO102" i="71"/>
  <c r="CN102" i="71"/>
  <c r="CM102" i="71"/>
  <c r="CL102" i="71"/>
  <c r="CK102" i="71"/>
  <c r="CJ102" i="71"/>
  <c r="CI102" i="71"/>
  <c r="CH102" i="71"/>
  <c r="CG102" i="71"/>
  <c r="CF102" i="71"/>
  <c r="CE102" i="71"/>
  <c r="CB102" i="71"/>
  <c r="CA102" i="71"/>
  <c r="BZ102" i="71"/>
  <c r="BY102" i="71"/>
  <c r="BX102" i="71"/>
  <c r="BW102" i="71"/>
  <c r="BV102" i="71"/>
  <c r="BU102" i="71"/>
  <c r="BT102" i="71"/>
  <c r="BS102" i="71"/>
  <c r="BR102" i="71"/>
  <c r="BO102" i="71"/>
  <c r="BN102" i="71"/>
  <c r="BM102" i="71"/>
  <c r="BL102" i="71"/>
  <c r="BK102" i="71"/>
  <c r="BJ102" i="71"/>
  <c r="BI102" i="71"/>
  <c r="BH102" i="71"/>
  <c r="BG102" i="71"/>
  <c r="BF102" i="71"/>
  <c r="BE102" i="71"/>
  <c r="BB102" i="71"/>
  <c r="BA102" i="71"/>
  <c r="AZ102" i="71"/>
  <c r="AY102" i="71"/>
  <c r="AX102" i="71"/>
  <c r="AW102" i="71"/>
  <c r="AV102" i="71"/>
  <c r="AU102" i="71"/>
  <c r="AT102" i="71"/>
  <c r="AS102" i="71"/>
  <c r="AR102" i="71"/>
  <c r="AO102" i="71"/>
  <c r="AN102" i="71"/>
  <c r="AM102" i="71"/>
  <c r="AL102" i="71"/>
  <c r="AK102" i="71"/>
  <c r="AJ102" i="71"/>
  <c r="AI102" i="71"/>
  <c r="AH102" i="71"/>
  <c r="AG102" i="71"/>
  <c r="AF102" i="71"/>
  <c r="AE102" i="71"/>
  <c r="AB102" i="71"/>
  <c r="AA102" i="71"/>
  <c r="Z102" i="71"/>
  <c r="Y102" i="71"/>
  <c r="X102" i="71"/>
  <c r="W102" i="71"/>
  <c r="V102" i="71"/>
  <c r="U102" i="71"/>
  <c r="T102" i="71"/>
  <c r="S102" i="71"/>
  <c r="R102" i="71"/>
  <c r="O102" i="71"/>
  <c r="N102" i="71"/>
  <c r="M102" i="71"/>
  <c r="L102" i="71"/>
  <c r="K102" i="71"/>
  <c r="J102" i="71"/>
  <c r="I102" i="71"/>
  <c r="H102" i="71"/>
  <c r="G102" i="71"/>
  <c r="F102" i="71"/>
  <c r="E102" i="71"/>
  <c r="CO88" i="71"/>
  <c r="CN88" i="71"/>
  <c r="CM88" i="71"/>
  <c r="CL88" i="71"/>
  <c r="CK88" i="71"/>
  <c r="CJ88" i="71"/>
  <c r="CI88" i="71"/>
  <c r="CH88" i="71"/>
  <c r="CG88" i="71"/>
  <c r="CF88" i="71"/>
  <c r="CE88" i="71"/>
  <c r="CB88" i="71"/>
  <c r="CA88" i="71"/>
  <c r="BZ88" i="71"/>
  <c r="BY88" i="71"/>
  <c r="BX88" i="71"/>
  <c r="BW88" i="71"/>
  <c r="BV88" i="71"/>
  <c r="BU88" i="71"/>
  <c r="BT88" i="71"/>
  <c r="BS88" i="71"/>
  <c r="BR88" i="71"/>
  <c r="BO88" i="71"/>
  <c r="BN88" i="71"/>
  <c r="BM88" i="71"/>
  <c r="BL88" i="71"/>
  <c r="BK88" i="71"/>
  <c r="BJ88" i="71"/>
  <c r="BI88" i="71"/>
  <c r="BH88" i="71"/>
  <c r="BG88" i="71"/>
  <c r="BF88" i="71"/>
  <c r="BE88" i="71"/>
  <c r="BB88" i="71"/>
  <c r="BA88" i="71"/>
  <c r="AZ88" i="71"/>
  <c r="AY88" i="71"/>
  <c r="AX88" i="71"/>
  <c r="AW88" i="71"/>
  <c r="AV88" i="71"/>
  <c r="AU88" i="71"/>
  <c r="AT88" i="71"/>
  <c r="AS88" i="71"/>
  <c r="AR88" i="71"/>
  <c r="AO88" i="71"/>
  <c r="AN88" i="71"/>
  <c r="AM88" i="71"/>
  <c r="AL88" i="71"/>
  <c r="AK88" i="71"/>
  <c r="AJ88" i="71"/>
  <c r="AI88" i="71"/>
  <c r="AH88" i="71"/>
  <c r="AG88" i="71"/>
  <c r="AF88" i="71"/>
  <c r="AE88" i="71"/>
  <c r="AB88" i="71"/>
  <c r="AA88" i="71"/>
  <c r="Z88" i="71"/>
  <c r="Y88" i="71"/>
  <c r="X88" i="71"/>
  <c r="W88" i="71"/>
  <c r="V88" i="71"/>
  <c r="U88" i="71"/>
  <c r="T88" i="71"/>
  <c r="S88" i="71"/>
  <c r="R88" i="71"/>
  <c r="O88" i="71"/>
  <c r="N88" i="71"/>
  <c r="M88" i="71"/>
  <c r="L88" i="71"/>
  <c r="K88" i="71"/>
  <c r="J88" i="71"/>
  <c r="I88" i="71"/>
  <c r="H88" i="71"/>
  <c r="G88" i="71"/>
  <c r="F88" i="71"/>
  <c r="E88" i="71"/>
  <c r="I103" i="71" l="1"/>
  <c r="I108" i="71" s="1"/>
  <c r="F20" i="49"/>
  <c r="J14" i="49"/>
  <c r="G14" i="49"/>
  <c r="I21" i="49"/>
  <c r="I17" i="49"/>
  <c r="E13" i="49"/>
  <c r="G18" i="49"/>
  <c r="H21" i="49"/>
  <c r="G16" i="49"/>
  <c r="E11" i="49"/>
  <c r="I19" i="49"/>
  <c r="F16" i="49"/>
  <c r="G12" i="49"/>
  <c r="J22" i="49"/>
  <c r="E21" i="49"/>
  <c r="E19" i="49"/>
  <c r="H17" i="49"/>
  <c r="I15" i="49"/>
  <c r="I13" i="49"/>
  <c r="F12" i="49"/>
  <c r="G22" i="49"/>
  <c r="G20" i="49"/>
  <c r="J18" i="49"/>
  <c r="E17" i="49"/>
  <c r="E15" i="49"/>
  <c r="H13" i="49"/>
  <c r="I11" i="49"/>
  <c r="F22" i="49"/>
  <c r="J20" i="49"/>
  <c r="H19" i="49"/>
  <c r="F18" i="49"/>
  <c r="J16" i="49"/>
  <c r="H15" i="49"/>
  <c r="F14" i="49"/>
  <c r="J12" i="49"/>
  <c r="H11" i="49"/>
  <c r="G125" i="68" a="1"/>
  <c r="J94" i="57"/>
  <c r="J95" i="57"/>
  <c r="J93" i="57"/>
  <c r="I29" i="49"/>
  <c r="F48" i="49" s="1"/>
  <c r="G30" i="49"/>
  <c r="E31" i="49"/>
  <c r="I31" i="49"/>
  <c r="F50" i="49" s="1"/>
  <c r="G32" i="49"/>
  <c r="E33" i="49"/>
  <c r="I33" i="49"/>
  <c r="F52" i="49" s="1"/>
  <c r="G34" i="49"/>
  <c r="E35" i="49"/>
  <c r="I35" i="49"/>
  <c r="F54" i="49" s="1"/>
  <c r="G36" i="49"/>
  <c r="E37" i="49"/>
  <c r="I37" i="49"/>
  <c r="F56" i="49" s="1"/>
  <c r="G38" i="49"/>
  <c r="E39" i="49"/>
  <c r="I39" i="49"/>
  <c r="F58" i="49" s="1"/>
  <c r="G40" i="49"/>
  <c r="F29" i="49"/>
  <c r="J29" i="49"/>
  <c r="H30" i="49"/>
  <c r="F31" i="49"/>
  <c r="J31" i="49"/>
  <c r="H32" i="49"/>
  <c r="F33" i="49"/>
  <c r="J33" i="49"/>
  <c r="H34" i="49"/>
  <c r="F35" i="49"/>
  <c r="J35" i="49"/>
  <c r="H36" i="49"/>
  <c r="F37" i="49"/>
  <c r="J37" i="49"/>
  <c r="H38" i="49"/>
  <c r="F39" i="49"/>
  <c r="J39" i="49"/>
  <c r="H40" i="49"/>
  <c r="G29" i="49"/>
  <c r="E30" i="49"/>
  <c r="I30" i="49"/>
  <c r="F49" i="49" s="1"/>
  <c r="G31" i="49"/>
  <c r="E32" i="49"/>
  <c r="I32" i="49"/>
  <c r="F51" i="49" s="1"/>
  <c r="G33" i="49"/>
  <c r="E34" i="49"/>
  <c r="I34" i="49"/>
  <c r="F53" i="49" s="1"/>
  <c r="G35" i="49"/>
  <c r="E36" i="49"/>
  <c r="I36" i="49"/>
  <c r="F55" i="49" s="1"/>
  <c r="G37" i="49"/>
  <c r="E38" i="49"/>
  <c r="I38" i="49"/>
  <c r="F57" i="49" s="1"/>
  <c r="G39" i="49"/>
  <c r="E40" i="49"/>
  <c r="I40" i="49"/>
  <c r="F59" i="49" s="1"/>
  <c r="E29" i="49"/>
  <c r="H29" i="49"/>
  <c r="F30" i="49"/>
  <c r="J30" i="49"/>
  <c r="H31" i="49"/>
  <c r="F32" i="49"/>
  <c r="J32" i="49"/>
  <c r="H33" i="49"/>
  <c r="F34" i="49"/>
  <c r="J34" i="49"/>
  <c r="H35" i="49"/>
  <c r="F36" i="49"/>
  <c r="J36" i="49"/>
  <c r="H37" i="49"/>
  <c r="F38" i="49"/>
  <c r="J38" i="49"/>
  <c r="H39" i="49"/>
  <c r="F40" i="49"/>
  <c r="I22" i="49"/>
  <c r="E22" i="49"/>
  <c r="G21" i="49"/>
  <c r="I20" i="49"/>
  <c r="E20" i="49"/>
  <c r="G19" i="49"/>
  <c r="I18" i="49"/>
  <c r="E18" i="49"/>
  <c r="G17" i="49"/>
  <c r="I16" i="49"/>
  <c r="E16" i="49"/>
  <c r="G15" i="49"/>
  <c r="I14" i="49"/>
  <c r="E14" i="49"/>
  <c r="G13" i="49"/>
  <c r="I12" i="49"/>
  <c r="E12" i="49"/>
  <c r="G11" i="49"/>
  <c r="H22" i="49"/>
  <c r="J21" i="49"/>
  <c r="F21" i="49"/>
  <c r="H20" i="49"/>
  <c r="J19" i="49"/>
  <c r="F19" i="49"/>
  <c r="H18" i="49"/>
  <c r="J17" i="49"/>
  <c r="F17" i="49"/>
  <c r="H16" i="49"/>
  <c r="J15" i="49"/>
  <c r="F15" i="49"/>
  <c r="H14" i="49"/>
  <c r="J13" i="49"/>
  <c r="F13" i="49"/>
  <c r="H12" i="49"/>
  <c r="J11" i="49"/>
  <c r="E48" i="49" l="1" a="1"/>
  <c r="E50" i="49" s="1"/>
  <c r="H125" i="68"/>
  <c r="G125" i="68"/>
  <c r="O125" i="68"/>
  <c r="J125" i="68"/>
  <c r="R125" i="68"/>
  <c r="N125" i="68"/>
  <c r="K125" i="68"/>
  <c r="Q125" i="68"/>
  <c r="L125" i="68"/>
  <c r="M125" i="68"/>
  <c r="I125" i="68"/>
  <c r="P125" i="68"/>
  <c r="D14" i="68" a="1"/>
  <c r="D14" i="68" s="1"/>
  <c r="F24" i="68"/>
  <c r="E66" i="68" s="1"/>
  <c r="H66" i="68" s="1"/>
  <c r="F23" i="68"/>
  <c r="D24" i="68"/>
  <c r="D66" i="68" s="1"/>
  <c r="G66" i="68" s="1"/>
  <c r="D23" i="68"/>
  <c r="D25" i="68" a="1"/>
  <c r="D25" i="68" s="1"/>
  <c r="D65" i="68" s="1"/>
  <c r="G65" i="68" s="1"/>
  <c r="D15" i="68" a="1"/>
  <c r="D15" i="68" s="1"/>
  <c r="D62" i="68" s="1"/>
  <c r="G62" i="68" s="1"/>
  <c r="D42" i="68" a="1"/>
  <c r="E42" i="68" s="1"/>
  <c r="D41" i="68" a="1"/>
  <c r="D41" i="68" s="1"/>
  <c r="D68" i="68" s="1"/>
  <c r="G68" i="68" s="1"/>
  <c r="D33" i="68" a="1"/>
  <c r="E33" i="68" s="1"/>
  <c r="E67" i="68" s="1"/>
  <c r="H67" i="68" s="1"/>
  <c r="E53" i="49" l="1"/>
  <c r="E48" i="49"/>
  <c r="E51" i="49"/>
  <c r="E54" i="49"/>
  <c r="E59" i="49"/>
  <c r="E55" i="49"/>
  <c r="E57" i="49"/>
  <c r="E52" i="49"/>
  <c r="E58" i="49"/>
  <c r="E56" i="49"/>
  <c r="E49" i="49"/>
  <c r="N108" i="68"/>
  <c r="J107" i="68"/>
  <c r="M107" i="68"/>
  <c r="N107" i="68"/>
  <c r="D63" i="68"/>
  <c r="G63" i="68" s="1"/>
  <c r="E14" i="68"/>
  <c r="E25" i="68"/>
  <c r="E65" i="68" s="1"/>
  <c r="H65" i="68" s="1"/>
  <c r="F15" i="68"/>
  <c r="E63" i="68" s="1"/>
  <c r="H63" i="68" s="1"/>
  <c r="E15" i="68"/>
  <c r="D42" i="68"/>
  <c r="E41" i="68"/>
  <c r="E68" i="68" s="1"/>
  <c r="H68" i="68" s="1"/>
  <c r="D33" i="68"/>
  <c r="D67" i="68" s="1"/>
  <c r="G67" i="68" s="1"/>
  <c r="O108" i="68" l="1"/>
  <c r="R107" i="68"/>
  <c r="G107" i="68"/>
  <c r="H107" i="68"/>
  <c r="H108" i="68" a="1"/>
  <c r="I108" i="68" a="1"/>
  <c r="R108" i="68" a="1"/>
  <c r="G108" i="68" a="1"/>
  <c r="M106" i="68"/>
  <c r="M124" i="68" s="1"/>
  <c r="N106" i="68"/>
  <c r="N124" i="68" s="1"/>
  <c r="J106" i="68"/>
  <c r="J124" i="68" s="1"/>
  <c r="O106" i="68"/>
  <c r="I107" i="68"/>
  <c r="E62" i="68"/>
  <c r="H62" i="68" s="1"/>
  <c r="G109" i="68" l="1"/>
  <c r="G108" i="68"/>
  <c r="R109" i="68"/>
  <c r="R108" i="68"/>
  <c r="I106" i="68"/>
  <c r="H106" i="68"/>
  <c r="H109" i="68"/>
  <c r="H108" i="68"/>
  <c r="I109" i="68"/>
  <c r="I108" i="68"/>
  <c r="H124" i="68" l="1"/>
  <c r="I124" i="68"/>
  <c r="G106" i="68"/>
  <c r="G124" i="68" s="1"/>
  <c r="R106" i="68"/>
  <c r="R124" i="68" s="1"/>
  <c r="O124" i="68"/>
  <c r="H59" i="49"/>
  <c r="H58" i="49"/>
  <c r="H57" i="49"/>
  <c r="H56" i="49"/>
  <c r="H55" i="49"/>
  <c r="H54" i="49"/>
  <c r="H50" i="49"/>
  <c r="H51" i="49"/>
  <c r="H49" i="49"/>
  <c r="H48" i="49"/>
  <c r="C48" i="49" a="1"/>
  <c r="C59" i="49" s="1"/>
  <c r="C69" i="67" a="1"/>
  <c r="C80" i="67" s="1"/>
  <c r="C44" i="67" a="1"/>
  <c r="C55" i="67" s="1"/>
  <c r="C131" i="57" a="1"/>
  <c r="C142" i="57" s="1"/>
  <c r="D67" i="51" a="1"/>
  <c r="D78" i="51" s="1"/>
  <c r="D41" i="51" a="1"/>
  <c r="D42" i="51" s="1"/>
  <c r="G84" i="68" l="1" a="1"/>
  <c r="C54" i="49"/>
  <c r="C48" i="49"/>
  <c r="C52" i="49"/>
  <c r="C56" i="49"/>
  <c r="C50" i="49"/>
  <c r="C58" i="49"/>
  <c r="C49" i="49"/>
  <c r="C53" i="49"/>
  <c r="C57" i="49"/>
  <c r="C51" i="49"/>
  <c r="C55" i="49"/>
  <c r="C71" i="67"/>
  <c r="C75" i="67"/>
  <c r="C79" i="67"/>
  <c r="C69" i="67"/>
  <c r="C73" i="67"/>
  <c r="C77" i="67"/>
  <c r="C70" i="67"/>
  <c r="C74" i="67"/>
  <c r="C78" i="67"/>
  <c r="C72" i="67"/>
  <c r="C76" i="67"/>
  <c r="C47" i="67"/>
  <c r="C51" i="67"/>
  <c r="C54" i="67"/>
  <c r="C50" i="67"/>
  <c r="C46" i="67"/>
  <c r="C53" i="67"/>
  <c r="C49" i="67"/>
  <c r="C45" i="67"/>
  <c r="C52" i="67"/>
  <c r="C48" i="67"/>
  <c r="C44" i="67"/>
  <c r="C131" i="57"/>
  <c r="C135" i="57"/>
  <c r="C139" i="57"/>
  <c r="C132" i="57"/>
  <c r="C136" i="57"/>
  <c r="C140" i="57"/>
  <c r="C133" i="57"/>
  <c r="C137" i="57"/>
  <c r="C141" i="57"/>
  <c r="C134" i="57"/>
  <c r="C138" i="57"/>
  <c r="D69" i="51"/>
  <c r="D73" i="51"/>
  <c r="D77" i="51"/>
  <c r="D67" i="51"/>
  <c r="D71" i="51"/>
  <c r="D75" i="51"/>
  <c r="D68" i="51"/>
  <c r="D72" i="51"/>
  <c r="D76" i="51"/>
  <c r="D70" i="51"/>
  <c r="D74" i="51"/>
  <c r="D49" i="51"/>
  <c r="D45" i="51"/>
  <c r="D41" i="51"/>
  <c r="D52" i="51"/>
  <c r="D48" i="51"/>
  <c r="D44" i="51"/>
  <c r="D51" i="51"/>
  <c r="D47" i="51"/>
  <c r="D43" i="51"/>
  <c r="D50" i="51"/>
  <c r="D46" i="51"/>
  <c r="C29" i="49" a="1"/>
  <c r="C30" i="49" s="1"/>
  <c r="R84" i="68" l="1"/>
  <c r="Q84" i="68"/>
  <c r="I84" i="68"/>
  <c r="M84" i="68"/>
  <c r="O84" i="68"/>
  <c r="N84" i="68"/>
  <c r="P84" i="68"/>
  <c r="G84" i="68"/>
  <c r="H84" i="68"/>
  <c r="K84" i="68"/>
  <c r="L84" i="68"/>
  <c r="J84" i="68"/>
  <c r="C32" i="49"/>
  <c r="C29" i="49"/>
  <c r="C36" i="49"/>
  <c r="C33" i="49"/>
  <c r="C40" i="49"/>
  <c r="C37" i="49"/>
  <c r="C39" i="49"/>
  <c r="C35" i="49"/>
  <c r="C31" i="49"/>
  <c r="C38" i="49"/>
  <c r="C34" i="49"/>
  <c r="G104" i="68" l="1" a="1"/>
  <c r="J104" i="68" s="1"/>
  <c r="M104" i="68"/>
  <c r="I104" i="68"/>
  <c r="K104" i="68" l="1"/>
  <c r="R104" i="68"/>
  <c r="O104" i="68"/>
  <c r="Q104" i="68"/>
  <c r="P104" i="68"/>
  <c r="G104" i="68"/>
  <c r="H104" i="68"/>
  <c r="N104" i="68"/>
  <c r="L104" i="68"/>
  <c r="J100" i="57"/>
  <c r="G123" i="68" l="1" a="1"/>
  <c r="N123" i="68" s="1"/>
  <c r="J105" i="57" a="1"/>
  <c r="J107" i="57" s="1"/>
  <c r="G123" i="68" l="1"/>
  <c r="P123" i="68"/>
  <c r="O123" i="68"/>
  <c r="L123" i="68"/>
  <c r="H123" i="68"/>
  <c r="R123" i="68"/>
  <c r="J123" i="68"/>
  <c r="I123" i="68"/>
  <c r="E44" i="67" s="1" a="1"/>
  <c r="K123" i="68"/>
  <c r="M123" i="68"/>
  <c r="Q123" i="68"/>
  <c r="J108" i="57"/>
  <c r="J106" i="57"/>
  <c r="J105" i="57"/>
  <c r="E45" i="67" l="1"/>
  <c r="E52" i="67"/>
  <c r="E51" i="67"/>
  <c r="E46" i="67"/>
  <c r="E48" i="67"/>
  <c r="E47" i="67"/>
  <c r="E53" i="67"/>
  <c r="E55" i="67"/>
  <c r="E50" i="67"/>
  <c r="E44" i="67"/>
  <c r="E54" i="67"/>
  <c r="E49" i="67"/>
  <c r="J32" i="55"/>
  <c r="J26" i="55"/>
  <c r="J109" i="57"/>
  <c r="J37" i="55"/>
  <c r="E173" i="54"/>
  <c r="E178" i="56"/>
  <c r="H125" i="66"/>
  <c r="E125" i="66"/>
  <c r="F124" i="66"/>
  <c r="G124" i="66" s="1"/>
  <c r="F123" i="66"/>
  <c r="F125" i="66" s="1"/>
  <c r="F122" i="66"/>
  <c r="G122" i="66" s="1"/>
  <c r="G123" i="66" l="1"/>
  <c r="G125" i="66" s="1"/>
  <c r="L67" i="51" l="1" a="1"/>
  <c r="E129" i="66" a="1"/>
  <c r="F131" i="66"/>
  <c r="F139" i="66" s="1"/>
  <c r="F130" i="66"/>
  <c r="F129" i="66"/>
  <c r="E131" i="66"/>
  <c r="E130" i="66"/>
  <c r="E129" i="66"/>
  <c r="H131" i="66"/>
  <c r="H130" i="66"/>
  <c r="H129" i="66"/>
  <c r="G131" i="66"/>
  <c r="G130" i="66"/>
  <c r="G129" i="66"/>
  <c r="G138" i="66" l="1"/>
  <c r="H139" i="66"/>
  <c r="L68" i="51"/>
  <c r="L78" i="51"/>
  <c r="L77" i="51"/>
  <c r="L75" i="51"/>
  <c r="L76" i="51"/>
  <c r="L73" i="51"/>
  <c r="L72" i="51"/>
  <c r="L70" i="51"/>
  <c r="L71" i="51"/>
  <c r="L74" i="51"/>
  <c r="L67" i="51"/>
  <c r="L69" i="51"/>
  <c r="H138" i="66"/>
  <c r="H132" i="66"/>
  <c r="H137" i="66"/>
  <c r="F132" i="66"/>
  <c r="F137" i="66"/>
  <c r="F140" i="66" s="1"/>
  <c r="G139" i="66"/>
  <c r="E132" i="66"/>
  <c r="F138" i="66"/>
  <c r="G137" i="66"/>
  <c r="G132" i="66"/>
  <c r="H140" i="66" l="1"/>
  <c r="K69" i="51"/>
  <c r="J69" i="51" s="1"/>
  <c r="I69" i="51" s="1"/>
  <c r="H69" i="51" s="1"/>
  <c r="G69" i="51" s="1"/>
  <c r="F69" i="51" s="1"/>
  <c r="K70" i="51"/>
  <c r="J70" i="51" s="1"/>
  <c r="I70" i="51" s="1"/>
  <c r="H70" i="51" s="1"/>
  <c r="G70" i="51" s="1"/>
  <c r="F70" i="51" s="1"/>
  <c r="K75" i="51"/>
  <c r="J75" i="51" s="1"/>
  <c r="I75" i="51" s="1"/>
  <c r="H75" i="51" s="1"/>
  <c r="G75" i="51" s="1"/>
  <c r="F75" i="51" s="1"/>
  <c r="K77" i="51"/>
  <c r="J77" i="51" s="1"/>
  <c r="I77" i="51" s="1"/>
  <c r="H77" i="51" s="1"/>
  <c r="G77" i="51" s="1"/>
  <c r="F77" i="51" s="1"/>
  <c r="K67" i="51"/>
  <c r="L79" i="51"/>
  <c r="K72" i="51"/>
  <c r="J72" i="51" s="1"/>
  <c r="I72" i="51" s="1"/>
  <c r="H72" i="51" s="1"/>
  <c r="G72" i="51" s="1"/>
  <c r="F72" i="51" s="1"/>
  <c r="K74" i="51"/>
  <c r="J74" i="51" s="1"/>
  <c r="I74" i="51" s="1"/>
  <c r="H74" i="51" s="1"/>
  <c r="G74" i="51" s="1"/>
  <c r="F74" i="51" s="1"/>
  <c r="K73" i="51"/>
  <c r="J73" i="51" s="1"/>
  <c r="I73" i="51" s="1"/>
  <c r="H73" i="51" s="1"/>
  <c r="G73" i="51" s="1"/>
  <c r="F73" i="51" s="1"/>
  <c r="K78" i="51"/>
  <c r="J78" i="51" s="1"/>
  <c r="I78" i="51" s="1"/>
  <c r="H78" i="51" s="1"/>
  <c r="G78" i="51" s="1"/>
  <c r="F78" i="51" s="1"/>
  <c r="K71" i="51"/>
  <c r="J71" i="51" s="1"/>
  <c r="I71" i="51" s="1"/>
  <c r="H71" i="51" s="1"/>
  <c r="G71" i="51" s="1"/>
  <c r="F71" i="51" s="1"/>
  <c r="K76" i="51"/>
  <c r="J76" i="51" s="1"/>
  <c r="I76" i="51" s="1"/>
  <c r="H76" i="51" s="1"/>
  <c r="G76" i="51" s="1"/>
  <c r="F76" i="51" s="1"/>
  <c r="K68" i="51"/>
  <c r="J68" i="51" s="1"/>
  <c r="I68" i="51" s="1"/>
  <c r="H68" i="51" s="1"/>
  <c r="G68" i="51" s="1"/>
  <c r="F68" i="51" s="1"/>
  <c r="G140" i="66"/>
  <c r="K79" i="51" l="1"/>
  <c r="J67" i="51"/>
  <c r="I67" i="51" s="1"/>
  <c r="H67" i="51" s="1"/>
  <c r="G67" i="51" s="1"/>
  <c r="F67" i="51" s="1"/>
  <c r="E85" i="52" l="1"/>
  <c r="I28" i="52"/>
  <c r="E49" i="54" l="1"/>
  <c r="E33" i="54"/>
  <c r="K27" i="51" l="1"/>
  <c r="F15" i="51" a="1"/>
  <c r="G15" i="51" s="1"/>
  <c r="F14" i="51" a="1"/>
  <c r="I14" i="51" s="1"/>
  <c r="F13" i="51" a="1"/>
  <c r="G13" i="51" s="1"/>
  <c r="F12" i="51" a="1"/>
  <c r="F12" i="51" s="1"/>
  <c r="J79" i="51" l="1"/>
  <c r="M79" i="51"/>
  <c r="I79" i="51"/>
  <c r="F13" i="51"/>
  <c r="J13" i="51"/>
  <c r="I15" i="51"/>
  <c r="I13" i="51"/>
  <c r="J15" i="51"/>
  <c r="F15" i="51"/>
  <c r="H15" i="51"/>
  <c r="K15" i="51"/>
  <c r="H14" i="51"/>
  <c r="K14" i="51"/>
  <c r="G14" i="51"/>
  <c r="J14" i="51"/>
  <c r="F14" i="51"/>
  <c r="H13" i="51"/>
  <c r="K13" i="51"/>
  <c r="K12" i="51"/>
  <c r="I12" i="51"/>
  <c r="H12" i="51"/>
  <c r="G12" i="51"/>
  <c r="J12" i="51"/>
  <c r="N79" i="51" l="1"/>
  <c r="H79" i="51"/>
  <c r="G16" i="51"/>
  <c r="F16" i="51"/>
  <c r="F20" i="51" s="1" a="1"/>
  <c r="F21" i="51" s="1"/>
  <c r="G79" i="51" l="1"/>
  <c r="O79" i="51"/>
  <c r="F23" i="51"/>
  <c r="F20" i="51"/>
  <c r="F27" i="51" s="1"/>
  <c r="F22" i="51"/>
  <c r="G20" i="51" a="1"/>
  <c r="P79" i="51" l="1"/>
  <c r="F79" i="51"/>
  <c r="G22" i="51"/>
  <c r="G20" i="51"/>
  <c r="G23" i="51"/>
  <c r="G21" i="51"/>
  <c r="Q79" i="51" l="1"/>
  <c r="E49" i="56"/>
  <c r="E33" i="56"/>
  <c r="Q88" i="51"/>
  <c r="F100" i="51"/>
  <c r="F88" i="51" a="1"/>
  <c r="F88" i="51" s="1"/>
  <c r="J47" i="57"/>
  <c r="K47" i="57"/>
  <c r="J48" i="57"/>
  <c r="K48" i="57"/>
  <c r="J49" i="57"/>
  <c r="K49" i="57"/>
  <c r="J50" i="57"/>
  <c r="K50" i="57"/>
  <c r="J51" i="57"/>
  <c r="K51" i="57"/>
  <c r="J52" i="57"/>
  <c r="K52" i="57"/>
  <c r="J53" i="57"/>
  <c r="K53" i="57"/>
  <c r="J54" i="57"/>
  <c r="K54" i="57"/>
  <c r="K46" i="57"/>
  <c r="J46" i="57"/>
  <c r="L54" i="57" l="1"/>
  <c r="F93" i="51" a="1"/>
  <c r="G93" i="51" s="1"/>
  <c r="L52" i="57"/>
  <c r="M52" i="57" s="1"/>
  <c r="L49" i="57"/>
  <c r="M49" i="57" s="1"/>
  <c r="L48" i="57"/>
  <c r="M48" i="57" s="1"/>
  <c r="L47" i="57"/>
  <c r="M47" i="57" s="1"/>
  <c r="L46" i="57"/>
  <c r="M46" i="57" s="1"/>
  <c r="L51" i="57"/>
  <c r="M51" i="57" s="1"/>
  <c r="L53" i="57"/>
  <c r="M53" i="57" s="1"/>
  <c r="L50" i="57"/>
  <c r="M50" i="57" s="1"/>
  <c r="M54" i="57"/>
  <c r="F98" i="51" a="1"/>
  <c r="F98" i="51" s="1"/>
  <c r="H88" i="51"/>
  <c r="H90" i="51" s="1"/>
  <c r="I88" i="51"/>
  <c r="K88" i="51"/>
  <c r="K90" i="51" s="1"/>
  <c r="G88" i="51"/>
  <c r="G90" i="51" s="1"/>
  <c r="J88" i="51"/>
  <c r="J90" i="51" s="1"/>
  <c r="I90" i="51" l="1"/>
  <c r="J93" i="51"/>
  <c r="J95" i="51" s="1"/>
  <c r="K93" i="51"/>
  <c r="H93" i="51"/>
  <c r="H95" i="51" s="1"/>
  <c r="F93" i="51"/>
  <c r="G95" i="51" s="1"/>
  <c r="I93" i="51"/>
  <c r="I95" i="51" s="1"/>
  <c r="H98" i="51"/>
  <c r="H100" i="51" s="1"/>
  <c r="J98" i="51"/>
  <c r="J100" i="51" s="1"/>
  <c r="I98" i="51"/>
  <c r="G98" i="51"/>
  <c r="G100" i="51" s="1"/>
  <c r="K98" i="51"/>
  <c r="L100" i="51" l="1"/>
  <c r="K100" i="51"/>
  <c r="I100" i="51"/>
  <c r="L95" i="51"/>
  <c r="K95" i="51"/>
  <c r="Q103" i="51"/>
  <c r="F103" i="51" a="1"/>
  <c r="F103" i="51" s="1"/>
  <c r="I103" i="51" l="1"/>
  <c r="H103" i="51"/>
  <c r="K103" i="51"/>
  <c r="S103" i="51" s="1"/>
  <c r="E9" i="56" s="1"/>
  <c r="G103" i="51"/>
  <c r="J103" i="51"/>
  <c r="T103" i="51" s="1"/>
  <c r="E11" i="56" s="1"/>
  <c r="F54" i="57"/>
  <c r="F53" i="57"/>
  <c r="F52" i="57"/>
  <c r="F95" i="51" s="1"/>
  <c r="F51" i="57"/>
  <c r="F50" i="57"/>
  <c r="F49" i="57"/>
  <c r="F90" i="51" s="1"/>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G105" i="51" l="1"/>
  <c r="J105" i="51"/>
  <c r="I105" i="51"/>
  <c r="K105" i="51"/>
  <c r="H105" i="51"/>
  <c r="F105" i="51"/>
  <c r="E150" i="54"/>
  <c r="E148" i="54"/>
  <c r="E146" i="54"/>
  <c r="M70" i="52" l="1"/>
  <c r="E138" i="56" s="1"/>
  <c r="E128" i="56"/>
  <c r="E126" i="56"/>
  <c r="E17" i="56"/>
  <c r="E171" i="56"/>
  <c r="E165" i="56"/>
  <c r="E163" i="56"/>
  <c r="E153" i="56"/>
  <c r="E140" i="56"/>
  <c r="E116" i="56"/>
  <c r="E106" i="56"/>
  <c r="E208" i="56" s="1"/>
  <c r="E136" i="54" l="1"/>
  <c r="E130" i="54"/>
  <c r="E128" i="54"/>
  <c r="E118" i="54"/>
  <c r="E105" i="54" l="1"/>
  <c r="E103" i="54"/>
  <c r="E93" i="54"/>
  <c r="E91" i="54"/>
  <c r="E81" i="54"/>
  <c r="E71" i="54"/>
  <c r="E160" i="54" l="1"/>
  <c r="E17" i="54"/>
  <c r="K16" i="51" l="1"/>
  <c r="J16" i="51"/>
  <c r="J20" i="51" s="1" a="1"/>
  <c r="J20" i="51" s="1"/>
  <c r="I16" i="51"/>
  <c r="I20" i="51" s="1" a="1"/>
  <c r="H16" i="51"/>
  <c r="H20" i="51" s="1" a="1"/>
  <c r="H20" i="51" s="1"/>
  <c r="D20" i="51" a="1"/>
  <c r="D20" i="51" s="1"/>
  <c r="I21" i="52"/>
  <c r="K20" i="51" l="1" a="1"/>
  <c r="K20" i="51" s="1"/>
  <c r="I23" i="51"/>
  <c r="I20" i="51"/>
  <c r="I21" i="51"/>
  <c r="I22" i="51"/>
  <c r="J21" i="51"/>
  <c r="J22" i="51"/>
  <c r="J23" i="51"/>
  <c r="H23" i="51"/>
  <c r="H22" i="51"/>
  <c r="H21" i="51"/>
  <c r="D23" i="51"/>
  <c r="D22" i="51"/>
  <c r="D21" i="51"/>
  <c r="K22" i="51" l="1"/>
  <c r="K23" i="51"/>
  <c r="K21" i="51"/>
  <c r="K30" i="51" s="1"/>
  <c r="B6" i="53" l="1"/>
  <c r="B7" i="53" l="1"/>
  <c r="B8" i="53"/>
  <c r="B9" i="53" s="1"/>
  <c r="B10" i="53" s="1"/>
  <c r="C1" i="50"/>
  <c r="B11" i="53" l="1"/>
  <c r="B12" i="53" l="1"/>
  <c r="B13" i="53" l="1"/>
  <c r="B14" i="53" l="1"/>
  <c r="B15" i="53" s="1"/>
  <c r="B16" i="53" s="1"/>
  <c r="D10" i="49" a="1"/>
  <c r="D91" i="57" a="1"/>
  <c r="D130" i="57" a="1"/>
  <c r="F86" i="51" a="1"/>
  <c r="H86" i="51" s="1"/>
  <c r="F40" i="51" a="1"/>
  <c r="I40" i="51" s="1"/>
  <c r="F11" i="51" a="1"/>
  <c r="G11" i="51" s="1"/>
  <c r="E143" i="56"/>
  <c r="E10" i="49" l="1"/>
  <c r="O10" i="49"/>
  <c r="H10" i="49"/>
  <c r="M10" i="49"/>
  <c r="G10" i="49"/>
  <c r="N10" i="49"/>
  <c r="I10" i="49"/>
  <c r="L10" i="49"/>
  <c r="K10" i="49"/>
  <c r="J10" i="49"/>
  <c r="D10" i="49"/>
  <c r="F10" i="49"/>
  <c r="E91" i="57"/>
  <c r="O91" i="57"/>
  <c r="J91" i="57"/>
  <c r="K91" i="57"/>
  <c r="F91" i="57"/>
  <c r="L91" i="57"/>
  <c r="I91" i="57"/>
  <c r="H91" i="57"/>
  <c r="G91" i="57"/>
  <c r="M91" i="57"/>
  <c r="D91" i="57"/>
  <c r="N91" i="57"/>
  <c r="D113" i="57" a="1"/>
  <c r="D28" i="49" a="1"/>
  <c r="O130" i="57"/>
  <c r="F130" i="57"/>
  <c r="D130" i="57"/>
  <c r="K130" i="57"/>
  <c r="M130" i="57"/>
  <c r="L130" i="57"/>
  <c r="I130" i="57"/>
  <c r="E130" i="57"/>
  <c r="H130" i="57"/>
  <c r="N130" i="57"/>
  <c r="J130" i="57"/>
  <c r="G130" i="57"/>
  <c r="D104" i="57" a="1"/>
  <c r="P40" i="51"/>
  <c r="H40" i="51"/>
  <c r="Q40" i="51"/>
  <c r="O40" i="51"/>
  <c r="N40" i="51"/>
  <c r="M40" i="51"/>
  <c r="K86" i="51"/>
  <c r="L86" i="51"/>
  <c r="N86" i="51"/>
  <c r="O86" i="51"/>
  <c r="G86" i="51"/>
  <c r="M86" i="51"/>
  <c r="J86" i="51"/>
  <c r="Q86" i="51"/>
  <c r="I86" i="51"/>
  <c r="P86" i="51"/>
  <c r="F86" i="51"/>
  <c r="J40" i="51"/>
  <c r="G40" i="51"/>
  <c r="L40" i="51"/>
  <c r="K40" i="51"/>
  <c r="F40" i="51"/>
  <c r="N11" i="51"/>
  <c r="F11" i="51"/>
  <c r="Q11" i="51"/>
  <c r="O11" i="51"/>
  <c r="I11" i="51"/>
  <c r="L11" i="51"/>
  <c r="M11" i="51"/>
  <c r="J11" i="51"/>
  <c r="P11" i="51"/>
  <c r="H11" i="51"/>
  <c r="K11" i="51"/>
  <c r="E150" i="56"/>
  <c r="E155" i="56" s="1"/>
  <c r="E158" i="56" s="1"/>
  <c r="E168" i="56" s="1"/>
  <c r="E14" i="56"/>
  <c r="E20" i="56" s="1"/>
  <c r="N104" i="57" l="1"/>
  <c r="I104" i="57"/>
  <c r="G104" i="57"/>
  <c r="H104" i="57"/>
  <c r="M104" i="57"/>
  <c r="K104" i="57"/>
  <c r="L104" i="57"/>
  <c r="D104" i="57"/>
  <c r="F104" i="57"/>
  <c r="O104" i="57"/>
  <c r="E104" i="57"/>
  <c r="J104" i="57"/>
  <c r="L28" i="49"/>
  <c r="E28" i="49"/>
  <c r="J28" i="49"/>
  <c r="O28" i="49"/>
  <c r="I28" i="49"/>
  <c r="D28" i="49"/>
  <c r="F28" i="49"/>
  <c r="N28" i="49"/>
  <c r="M28" i="49"/>
  <c r="G28" i="49"/>
  <c r="H28" i="49"/>
  <c r="K28" i="49"/>
  <c r="O113" i="57"/>
  <c r="H113" i="57"/>
  <c r="D113" i="57"/>
  <c r="M113" i="57"/>
  <c r="G113" i="57"/>
  <c r="E113" i="57"/>
  <c r="F113" i="57"/>
  <c r="I113" i="57"/>
  <c r="L113" i="57"/>
  <c r="N113" i="57"/>
  <c r="K113" i="57"/>
  <c r="J113" i="57"/>
  <c r="G30" i="51"/>
  <c r="G27" i="51" s="1"/>
  <c r="J30" i="51"/>
  <c r="J27" i="51" s="1"/>
  <c r="H30" i="51"/>
  <c r="H27" i="51" s="1"/>
  <c r="I30" i="51"/>
  <c r="I27" i="51" s="1"/>
  <c r="F108" i="51" l="1" a="1"/>
  <c r="M108" i="51" s="1"/>
  <c r="M88" i="51"/>
  <c r="P88" i="51"/>
  <c r="L88" i="51"/>
  <c r="L90" i="51" s="1"/>
  <c r="N88" i="51"/>
  <c r="N90" i="51" s="1"/>
  <c r="O88" i="51"/>
  <c r="P90" i="51" l="1"/>
  <c r="Q90" i="51"/>
  <c r="O90" i="51"/>
  <c r="M103" i="51"/>
  <c r="M90" i="51"/>
  <c r="P108" i="51"/>
  <c r="I108" i="51"/>
  <c r="J108" i="51"/>
  <c r="H108" i="51"/>
  <c r="O108" i="51"/>
  <c r="K108" i="51"/>
  <c r="F108" i="51"/>
  <c r="N108" i="51"/>
  <c r="Q108" i="51"/>
  <c r="L108" i="51"/>
  <c r="G108" i="51"/>
  <c r="L103" i="51"/>
  <c r="N103" i="51"/>
  <c r="P103" i="51"/>
  <c r="O103" i="51"/>
  <c r="F131" i="51" l="1" a="1"/>
  <c r="F110" i="51" a="1"/>
  <c r="K110" i="51" s="1"/>
  <c r="I131" i="51" l="1"/>
  <c r="P131" i="51"/>
  <c r="K131" i="51"/>
  <c r="F131" i="51"/>
  <c r="L131" i="51"/>
  <c r="G131" i="51"/>
  <c r="Q131" i="51"/>
  <c r="H131" i="51"/>
  <c r="N131" i="51"/>
  <c r="M131" i="51"/>
  <c r="O131" i="51"/>
  <c r="J131" i="51"/>
  <c r="F33" i="51" a="1"/>
  <c r="H33" i="51" s="1"/>
  <c r="H41" i="51" s="1" a="1"/>
  <c r="I110" i="51"/>
  <c r="P110" i="51"/>
  <c r="J110" i="51"/>
  <c r="F110" i="51"/>
  <c r="H110" i="51"/>
  <c r="M110" i="51"/>
  <c r="O110" i="51"/>
  <c r="G110" i="51"/>
  <c r="Q110" i="51"/>
  <c r="L110" i="51"/>
  <c r="N110" i="51"/>
  <c r="H42" i="51" l="1"/>
  <c r="H45" i="51"/>
  <c r="H41" i="51"/>
  <c r="H43" i="51"/>
  <c r="H50" i="51"/>
  <c r="H46" i="51"/>
  <c r="H49" i="51"/>
  <c r="H44" i="51"/>
  <c r="H47" i="51"/>
  <c r="H51" i="51"/>
  <c r="H52" i="51"/>
  <c r="H48" i="51"/>
  <c r="P33" i="51"/>
  <c r="P41" i="51" s="1" a="1"/>
  <c r="N33" i="51"/>
  <c r="N41" i="51" s="1" a="1"/>
  <c r="G33" i="51"/>
  <c r="G41" i="51" s="1" a="1"/>
  <c r="Q33" i="51"/>
  <c r="Q41" i="51" s="1" a="1"/>
  <c r="M33" i="51"/>
  <c r="M41" i="51" s="1" a="1"/>
  <c r="L33" i="51"/>
  <c r="L41" i="51" s="1" a="1"/>
  <c r="K33" i="51"/>
  <c r="S33" i="51" s="1"/>
  <c r="E9" i="54" s="1"/>
  <c r="F33" i="51"/>
  <c r="J33" i="51"/>
  <c r="T33" i="51" s="1"/>
  <c r="E11" i="54" s="1"/>
  <c r="I33" i="51"/>
  <c r="I41" i="51" s="1" a="1"/>
  <c r="O33" i="51"/>
  <c r="O41" i="51" s="1" a="1"/>
  <c r="J41" i="51" l="1" a="1"/>
  <c r="F41" i="51" a="1"/>
  <c r="F51" i="51" s="1"/>
  <c r="F128" i="51" a="1"/>
  <c r="K41" i="51" a="1"/>
  <c r="K49" i="51" s="1"/>
  <c r="H62" i="51"/>
  <c r="H58" i="51"/>
  <c r="H60" i="51"/>
  <c r="Q47" i="51"/>
  <c r="Q50" i="51"/>
  <c r="Q45" i="51"/>
  <c r="Q48" i="51"/>
  <c r="Q52" i="51"/>
  <c r="Q51" i="51"/>
  <c r="Q41" i="51"/>
  <c r="Q49" i="51"/>
  <c r="Q43" i="51"/>
  <c r="Q46" i="51"/>
  <c r="Q44" i="51"/>
  <c r="Q42" i="51"/>
  <c r="I52" i="51"/>
  <c r="I42" i="51"/>
  <c r="I50" i="51"/>
  <c r="I48" i="51"/>
  <c r="I43" i="51"/>
  <c r="I41" i="51"/>
  <c r="I46" i="51"/>
  <c r="I44" i="51"/>
  <c r="I51" i="51"/>
  <c r="I49" i="51"/>
  <c r="I47" i="51"/>
  <c r="I45" i="51"/>
  <c r="L46" i="51"/>
  <c r="L49" i="51"/>
  <c r="L44" i="51"/>
  <c r="L47" i="51"/>
  <c r="L51" i="51"/>
  <c r="L52" i="51"/>
  <c r="L50" i="51"/>
  <c r="L48" i="51"/>
  <c r="L42" i="51"/>
  <c r="L45" i="51"/>
  <c r="L43" i="51"/>
  <c r="L41" i="51"/>
  <c r="N43" i="51"/>
  <c r="N48" i="51"/>
  <c r="N46" i="51"/>
  <c r="N44" i="51"/>
  <c r="N47" i="51"/>
  <c r="N42" i="51"/>
  <c r="N41" i="51"/>
  <c r="N45" i="51"/>
  <c r="N49" i="51"/>
  <c r="N52" i="51"/>
  <c r="N50" i="51"/>
  <c r="N51" i="51"/>
  <c r="O50" i="51"/>
  <c r="O51" i="51"/>
  <c r="O45" i="51"/>
  <c r="O41" i="51"/>
  <c r="O43" i="51"/>
  <c r="O44" i="51"/>
  <c r="O42" i="51"/>
  <c r="O49" i="51"/>
  <c r="O52" i="51"/>
  <c r="O47" i="51"/>
  <c r="O48" i="51"/>
  <c r="O46" i="51"/>
  <c r="G45" i="51"/>
  <c r="G48" i="51"/>
  <c r="G43" i="51"/>
  <c r="G46" i="51"/>
  <c r="G50" i="51"/>
  <c r="G41" i="51"/>
  <c r="G49" i="51"/>
  <c r="G52" i="51"/>
  <c r="G47" i="51"/>
  <c r="G44" i="51"/>
  <c r="G42" i="51"/>
  <c r="G51" i="51"/>
  <c r="J49" i="51"/>
  <c r="S49" i="51" s="1"/>
  <c r="J52" i="51"/>
  <c r="J50" i="51"/>
  <c r="J44" i="51"/>
  <c r="J47" i="51"/>
  <c r="J45" i="51"/>
  <c r="J43" i="51"/>
  <c r="J48" i="51"/>
  <c r="J51" i="51"/>
  <c r="J46" i="51"/>
  <c r="J41" i="51"/>
  <c r="J42" i="51"/>
  <c r="M43" i="51"/>
  <c r="M46" i="51"/>
  <c r="M44" i="51"/>
  <c r="M49" i="51"/>
  <c r="M47" i="51"/>
  <c r="M50" i="51"/>
  <c r="M45" i="51"/>
  <c r="M48" i="51"/>
  <c r="M52" i="51"/>
  <c r="M41" i="51"/>
  <c r="M42" i="51"/>
  <c r="M51" i="51"/>
  <c r="P50" i="51"/>
  <c r="P48" i="51"/>
  <c r="P41" i="51"/>
  <c r="P42" i="51"/>
  <c r="P51" i="51"/>
  <c r="P52" i="51"/>
  <c r="P46" i="51"/>
  <c r="P49" i="51"/>
  <c r="P44" i="51"/>
  <c r="P47" i="51"/>
  <c r="P45" i="51"/>
  <c r="P43" i="51"/>
  <c r="E163" i="54"/>
  <c r="F52" i="51" l="1"/>
  <c r="F44" i="51"/>
  <c r="F49" i="51"/>
  <c r="F46" i="51"/>
  <c r="F47" i="51"/>
  <c r="F48" i="51"/>
  <c r="F41" i="51"/>
  <c r="F43" i="51"/>
  <c r="F45" i="51"/>
  <c r="K46" i="51"/>
  <c r="S46" i="51" s="1"/>
  <c r="K51" i="51"/>
  <c r="S51" i="51" s="1"/>
  <c r="K47" i="51"/>
  <c r="S47" i="51" s="1"/>
  <c r="K43" i="51"/>
  <c r="S43" i="51" s="1"/>
  <c r="K50" i="51"/>
  <c r="S50" i="51" s="1"/>
  <c r="K52" i="51"/>
  <c r="S52" i="51" s="1"/>
  <c r="F128" i="51"/>
  <c r="I128" i="51"/>
  <c r="M128" i="51"/>
  <c r="Q128" i="51"/>
  <c r="L128" i="51"/>
  <c r="G128" i="51"/>
  <c r="H128" i="51"/>
  <c r="N128" i="51"/>
  <c r="O128" i="51"/>
  <c r="J128" i="51"/>
  <c r="P128" i="51"/>
  <c r="K128" i="51"/>
  <c r="K48" i="51"/>
  <c r="S48" i="51" s="1"/>
  <c r="K42" i="51"/>
  <c r="S42" i="51" s="1"/>
  <c r="K41" i="51"/>
  <c r="S41" i="51" s="1"/>
  <c r="K45" i="51"/>
  <c r="S45" i="51" s="1"/>
  <c r="K44" i="51"/>
  <c r="S44" i="51" s="1"/>
  <c r="F42" i="51"/>
  <c r="F50" i="51"/>
  <c r="Q62" i="51"/>
  <c r="M58" i="51"/>
  <c r="M60" i="51"/>
  <c r="G62" i="51"/>
  <c r="G58" i="51"/>
  <c r="G60" i="51"/>
  <c r="O62" i="51"/>
  <c r="I60" i="51"/>
  <c r="I58" i="51"/>
  <c r="P62" i="51"/>
  <c r="J62" i="51"/>
  <c r="T62" i="51" s="1"/>
  <c r="E43" i="54" s="1"/>
  <c r="O60" i="51"/>
  <c r="O58" i="51"/>
  <c r="N62" i="51"/>
  <c r="L60" i="51"/>
  <c r="L58" i="51"/>
  <c r="I62" i="51"/>
  <c r="P58" i="51"/>
  <c r="P60" i="51"/>
  <c r="M62" i="51"/>
  <c r="J60" i="51"/>
  <c r="T60" i="51" s="1"/>
  <c r="E27" i="54" s="1"/>
  <c r="J58" i="51"/>
  <c r="N58" i="51"/>
  <c r="N60" i="51"/>
  <c r="L62" i="51"/>
  <c r="Q58" i="51"/>
  <c r="Q60" i="51"/>
  <c r="E14" i="54"/>
  <c r="E20" i="54" s="1"/>
  <c r="E166" i="54" s="1"/>
  <c r="E169" i="54" s="1"/>
  <c r="E108" i="54"/>
  <c r="E115" i="54"/>
  <c r="E120" i="54" s="1"/>
  <c r="E123" i="54" s="1"/>
  <c r="E133" i="54" s="1"/>
  <c r="E153" i="54"/>
  <c r="F62" i="51" l="1"/>
  <c r="F134" i="51"/>
  <c r="Q134" i="51"/>
  <c r="Q140" i="51" s="1"/>
  <c r="K129" i="51"/>
  <c r="F60" i="51"/>
  <c r="F58" i="51"/>
  <c r="K60" i="51"/>
  <c r="S60" i="51" s="1"/>
  <c r="E25" i="54" s="1"/>
  <c r="K62" i="51"/>
  <c r="S62" i="51" s="1"/>
  <c r="E41" i="54" s="1"/>
  <c r="K58" i="51"/>
  <c r="E30" i="54" l="1"/>
  <c r="E36" i="54" s="1"/>
  <c r="E71" i="56" s="1"/>
  <c r="E46" i="54"/>
  <c r="Q115" i="51"/>
  <c r="F140" i="51"/>
  <c r="K140" i="51"/>
  <c r="E52" i="54" l="1"/>
  <c r="E73" i="56" s="1"/>
  <c r="K134" i="51"/>
  <c r="K137" i="51" s="1"/>
  <c r="J137" i="51" s="1"/>
  <c r="J134" i="51" s="1"/>
  <c r="J140" i="51" s="1"/>
  <c r="K115" i="51"/>
  <c r="S115" i="51" s="1"/>
  <c r="E41" i="56" s="1"/>
  <c r="F115" i="51"/>
  <c r="P134" i="51" l="1"/>
  <c r="P140" i="51" s="1"/>
  <c r="P115" i="51" s="1"/>
  <c r="M134" i="51"/>
  <c r="M140" i="51" s="1"/>
  <c r="M115" i="51" s="1"/>
  <c r="I137" i="51"/>
  <c r="I134" i="51" s="1"/>
  <c r="I140" i="51" s="1"/>
  <c r="I115" i="51" s="1"/>
  <c r="N134" i="51"/>
  <c r="N140" i="51" s="1"/>
  <c r="N115" i="51" s="1"/>
  <c r="G137" i="51"/>
  <c r="G134" i="51" s="1"/>
  <c r="G140" i="51" s="1"/>
  <c r="O134" i="51"/>
  <c r="O140" i="51" s="1"/>
  <c r="O115" i="51" s="1"/>
  <c r="L134" i="51"/>
  <c r="J22" i="55" s="1"/>
  <c r="H137" i="51"/>
  <c r="H134" i="51" s="1"/>
  <c r="H140" i="51" s="1"/>
  <c r="H115" i="51" s="1"/>
  <c r="J115" i="51"/>
  <c r="T115" i="51" s="1"/>
  <c r="E43" i="56" s="1"/>
  <c r="L140" i="51" l="1"/>
  <c r="L115" i="51" s="1"/>
  <c r="G115" i="51"/>
  <c r="F113" i="51" s="1" a="1"/>
  <c r="N113" i="51" s="1"/>
  <c r="Q113" i="51" l="1"/>
  <c r="F113" i="51"/>
  <c r="K113" i="51"/>
  <c r="J113" i="51"/>
  <c r="T113" i="51" s="1"/>
  <c r="E27" i="56" s="1"/>
  <c r="M113" i="51"/>
  <c r="O113" i="51"/>
  <c r="L113" i="51"/>
  <c r="H113" i="51"/>
  <c r="G113" i="51"/>
  <c r="I113" i="51"/>
  <c r="P113" i="51"/>
  <c r="E46" i="56"/>
  <c r="E52" i="56" s="1"/>
  <c r="E59" i="56" s="1"/>
  <c r="E79" i="56" s="1"/>
  <c r="E65" i="56"/>
  <c r="G81" i="68" a="1"/>
  <c r="I81" i="68" s="1"/>
  <c r="G82" i="68" a="1"/>
  <c r="Q82" i="68" s="1"/>
  <c r="S113" i="51" l="1"/>
  <c r="E25" i="56" s="1"/>
  <c r="E64" i="56" s="1"/>
  <c r="N81" i="68"/>
  <c r="Q81" i="68"/>
  <c r="R81" i="68"/>
  <c r="P81" i="68"/>
  <c r="G81" i="68"/>
  <c r="H81" i="68"/>
  <c r="J81" i="68"/>
  <c r="L81" i="68"/>
  <c r="M81" i="68"/>
  <c r="O81" i="68"/>
  <c r="K81" i="68"/>
  <c r="P82" i="68"/>
  <c r="G82" i="68"/>
  <c r="H82" i="68"/>
  <c r="L82" i="68"/>
  <c r="M82" i="68"/>
  <c r="J82" i="68"/>
  <c r="N82" i="68"/>
  <c r="O82" i="68"/>
  <c r="R82" i="68"/>
  <c r="K82" i="68"/>
  <c r="I82" i="68"/>
  <c r="E91" i="56" l="1" a="1"/>
  <c r="E91" i="56" s="1"/>
  <c r="G101" i="68" a="1"/>
  <c r="I102" i="68" s="1"/>
  <c r="E30" i="56"/>
  <c r="E36" i="56" s="1"/>
  <c r="E57" i="56" s="1"/>
  <c r="E78" i="56" s="1"/>
  <c r="E86" i="56" s="1"/>
  <c r="N102" i="68" l="1"/>
  <c r="G102" i="68"/>
  <c r="N101" i="68"/>
  <c r="Q101" i="68"/>
  <c r="K101" i="68"/>
  <c r="Q122" i="68" s="1"/>
  <c r="Q120" i="68" s="1"/>
  <c r="P101" i="68"/>
  <c r="E193" i="56"/>
  <c r="G143" i="56" s="1"/>
  <c r="E88" i="56"/>
  <c r="O122" i="68"/>
  <c r="O120" i="68" s="1"/>
  <c r="K122" i="68"/>
  <c r="K120" i="68" s="1"/>
  <c r="P122" i="68"/>
  <c r="P120" i="68" s="1"/>
  <c r="R122" i="68"/>
  <c r="R120" i="68" s="1"/>
  <c r="H101" i="68"/>
  <c r="K102" i="68"/>
  <c r="L102" i="68"/>
  <c r="H102" i="68"/>
  <c r="J101" i="68"/>
  <c r="O102" i="68"/>
  <c r="M101" i="68"/>
  <c r="Q102" i="68"/>
  <c r="I101" i="68"/>
  <c r="J102" i="68"/>
  <c r="P102" i="68"/>
  <c r="O101" i="68"/>
  <c r="R101" i="68"/>
  <c r="L101" i="68"/>
  <c r="G101" i="68"/>
  <c r="R102" i="68"/>
  <c r="M102" i="68"/>
  <c r="E154" i="57"/>
  <c r="E156" i="57" s="1"/>
  <c r="G127" i="68" l="1" a="1"/>
  <c r="M127" i="68" s="1"/>
  <c r="L122" i="68"/>
  <c r="L120" i="68" s="1"/>
  <c r="J122" i="68"/>
  <c r="J120" i="68" s="1"/>
  <c r="I122" i="68"/>
  <c r="I120" i="68" s="1"/>
  <c r="N122" i="68"/>
  <c r="N120" i="68" s="1"/>
  <c r="M122" i="68"/>
  <c r="M120" i="68" s="1"/>
  <c r="G122" i="68"/>
  <c r="H122" i="68"/>
  <c r="H120" i="68" s="1"/>
  <c r="I127" i="68"/>
  <c r="R127" i="68" l="1"/>
  <c r="G127" i="68"/>
  <c r="H127" i="68"/>
  <c r="J127" i="68"/>
  <c r="O127" i="68"/>
  <c r="D44" i="67" a="1"/>
  <c r="E59" i="54" a="1"/>
  <c r="E59" i="54" s="1"/>
  <c r="E188" i="54" s="1"/>
  <c r="G120" i="68"/>
  <c r="L127" i="68"/>
  <c r="K127" i="68"/>
  <c r="N127" i="68"/>
  <c r="Q127" i="68"/>
  <c r="P127" i="68"/>
  <c r="G108" i="54" l="1"/>
  <c r="G169" i="54"/>
  <c r="G153" i="54"/>
  <c r="D44" i="67"/>
  <c r="D51" i="67"/>
  <c r="D53" i="67"/>
  <c r="D52" i="67"/>
  <c r="D47" i="67"/>
  <c r="D49" i="67"/>
  <c r="D48" i="67"/>
  <c r="D45" i="67"/>
  <c r="D46" i="67"/>
  <c r="D54" i="67"/>
  <c r="D55" i="67"/>
  <c r="D50" i="67"/>
  <c r="G129" i="68" a="1"/>
  <c r="Q129" i="68" l="1"/>
  <c r="K129" i="68"/>
  <c r="K130" i="68" s="1"/>
  <c r="L129" i="68"/>
  <c r="L130" i="68" s="1"/>
  <c r="R129" i="68"/>
  <c r="R130" i="68" s="1"/>
  <c r="P129" i="68"/>
  <c r="O129" i="68"/>
  <c r="O130" i="68" s="1"/>
  <c r="M129" i="68"/>
  <c r="M130" i="68" s="1"/>
  <c r="H129" i="68"/>
  <c r="H130" i="68" s="1"/>
  <c r="I129" i="68"/>
  <c r="I130" i="68" s="1"/>
  <c r="J129" i="68"/>
  <c r="J130" i="68" s="1"/>
  <c r="N129" i="68"/>
  <c r="N130" i="68" s="1"/>
  <c r="G129" i="68"/>
  <c r="G130" i="68" s="1"/>
  <c r="Q130" i="68" l="1"/>
  <c r="P130" i="68"/>
  <c r="G134" i="68" s="1" a="1"/>
  <c r="G132" i="68" l="1" a="1"/>
  <c r="M132" i="68" s="1"/>
  <c r="F137" i="68"/>
  <c r="O134" i="68"/>
  <c r="Q134" i="68"/>
  <c r="P134" i="68"/>
  <c r="G134" i="68"/>
  <c r="L134" i="68"/>
  <c r="K134" i="68"/>
  <c r="I134" i="68"/>
  <c r="R134" i="68"/>
  <c r="N134" i="68"/>
  <c r="M134" i="68"/>
  <c r="J134" i="68"/>
  <c r="H134" i="68"/>
  <c r="N132" i="68"/>
  <c r="O132" i="68"/>
  <c r="J132" i="68"/>
  <c r="I132" i="68"/>
  <c r="L132" i="68"/>
  <c r="P132" i="68"/>
  <c r="K132" i="68" l="1"/>
  <c r="H132" i="68"/>
  <c r="R132" i="68"/>
  <c r="Q132" i="68"/>
  <c r="E61" i="54" s="1" a="1"/>
  <c r="E61" i="54" s="1"/>
  <c r="G132" i="68"/>
  <c r="E207" i="56"/>
  <c r="E206" i="56" s="1"/>
  <c r="E93" i="56" a="1"/>
  <c r="E93" i="56" s="1"/>
  <c r="E146" i="57" a="1"/>
  <c r="E146" i="57" s="1"/>
  <c r="E148" i="57" s="1"/>
  <c r="E18" i="67" l="1"/>
  <c r="E19" i="67" s="1"/>
  <c r="E11" i="67"/>
  <c r="E10" i="67"/>
  <c r="E99" i="56"/>
  <c r="E184" i="56"/>
  <c r="E203" i="56" s="1"/>
  <c r="E64" i="54"/>
  <c r="E179" i="54"/>
  <c r="E197" i="54" s="1"/>
  <c r="E139" i="54"/>
  <c r="G139" i="54" s="1"/>
  <c r="E96" i="54"/>
  <c r="G96" i="54" s="1"/>
  <c r="E84" i="54"/>
  <c r="G84" i="54" s="1"/>
  <c r="E74" i="54"/>
  <c r="G74" i="54" s="1"/>
  <c r="E158" i="57"/>
  <c r="E96" i="56"/>
  <c r="G173" i="54" l="1"/>
  <c r="G198" i="54" s="1"/>
  <c r="E182" i="54"/>
  <c r="E109" i="56"/>
  <c r="G109" i="56" s="1"/>
  <c r="E131" i="56"/>
  <c r="G131" i="56" s="1"/>
  <c r="E119" i="56"/>
  <c r="G119" i="56" s="1"/>
  <c r="E174" i="56"/>
  <c r="G174" i="56" s="1"/>
  <c r="E152" i="57"/>
  <c r="E160" i="57"/>
  <c r="G178" i="56" l="1"/>
  <c r="G204" i="56" s="1"/>
  <c r="E187" i="56"/>
  <c r="E195" i="56" s="1"/>
  <c r="E190" i="54"/>
  <c r="E196" i="54" s="1"/>
  <c r="E202" i="56" l="1"/>
  <c r="E17" i="67" s="1"/>
  <c r="E197" i="56"/>
  <c r="E199" i="56" s="1"/>
  <c r="E192" i="54"/>
  <c r="E194" i="54" s="1"/>
  <c r="E9" i="67" l="1"/>
  <c r="E14" i="67" s="1"/>
  <c r="D62" i="67"/>
  <c r="E204" i="56"/>
  <c r="E198" i="54"/>
  <c r="D60" i="67"/>
  <c r="E69" i="67" l="1" a="1"/>
  <c r="E74" i="67"/>
  <c r="E72" i="67"/>
  <c r="E75" i="67"/>
  <c r="E69" i="67"/>
  <c r="E70" i="67"/>
  <c r="E79" i="67"/>
  <c r="E73" i="67"/>
  <c r="E78" i="67"/>
  <c r="E71" i="67"/>
  <c r="E80" i="67"/>
  <c r="E77" i="67"/>
  <c r="E76" i="67"/>
  <c r="D69" i="67" a="1"/>
  <c r="D79" i="67" s="1"/>
  <c r="E12" i="67"/>
  <c r="D69" i="67" l="1"/>
  <c r="D78" i="67"/>
  <c r="D76" i="67"/>
  <c r="D70" i="67"/>
  <c r="D71" i="67"/>
  <c r="D75" i="67"/>
  <c r="D74" i="67"/>
  <c r="D77" i="67"/>
  <c r="D80" i="67"/>
  <c r="D72" i="67"/>
  <c r="D73" i="67"/>
  <c r="C88" i="67" a="1"/>
  <c r="F88" i="67" s="1"/>
  <c r="C89" i="67" a="1"/>
  <c r="D89" i="67" s="1"/>
  <c r="C94" i="67" a="1"/>
  <c r="D94" i="67" s="1"/>
  <c r="C101" i="67" a="1"/>
  <c r="E101" i="67" s="1"/>
  <c r="C96" i="67" a="1"/>
  <c r="D96" i="67" s="1"/>
  <c r="C95" i="67" a="1"/>
  <c r="E95" i="67" s="1"/>
  <c r="C91" i="67" a="1"/>
  <c r="C103" i="67" a="1"/>
  <c r="E94" i="67"/>
  <c r="C94" i="67"/>
  <c r="C100" i="67" a="1"/>
  <c r="C90" i="67" a="1"/>
  <c r="C99" i="67" a="1"/>
  <c r="C102" i="67" a="1"/>
  <c r="F94" i="67" l="1"/>
  <c r="E89" i="67"/>
  <c r="C88" i="67"/>
  <c r="F89" i="67"/>
  <c r="D88" i="67"/>
  <c r="C89" i="67"/>
  <c r="E88" i="67"/>
  <c r="D95" i="67"/>
  <c r="F95" i="67"/>
  <c r="C95" i="67"/>
  <c r="C96" i="67"/>
  <c r="D101" i="67"/>
  <c r="C101" i="67"/>
  <c r="F101" i="67"/>
  <c r="F96" i="67"/>
  <c r="E96" i="67"/>
  <c r="D102" i="67"/>
  <c r="F102" i="67"/>
  <c r="E102" i="67"/>
  <c r="C102" i="67"/>
  <c r="C103" i="67"/>
  <c r="F103" i="67"/>
  <c r="E103" i="67"/>
  <c r="D103" i="67"/>
  <c r="D90" i="67"/>
  <c r="F90" i="67"/>
  <c r="E90" i="67"/>
  <c r="C90" i="67"/>
  <c r="F100" i="67"/>
  <c r="C100" i="67"/>
  <c r="E100" i="67"/>
  <c r="D100" i="67"/>
  <c r="E99" i="67"/>
  <c r="D99" i="67"/>
  <c r="C99" i="67"/>
  <c r="F99" i="67"/>
  <c r="C91" i="67"/>
  <c r="D91" i="67"/>
  <c r="F91" i="67"/>
  <c r="E91" i="67"/>
  <c r="E23" i="67" l="1"/>
  <c r="E30" i="67"/>
  <c r="E32" i="67"/>
  <c r="E31" i="67"/>
  <c r="E25" i="67"/>
  <c r="E24" i="67"/>
</calcChain>
</file>

<file path=xl/sharedStrings.xml><?xml version="1.0" encoding="utf-8"?>
<sst xmlns="http://schemas.openxmlformats.org/spreadsheetml/2006/main" count="1871" uniqueCount="800">
  <si>
    <t>Status</t>
  </si>
  <si>
    <t>H1</t>
  </si>
  <si>
    <t>H2</t>
  </si>
  <si>
    <t>H3</t>
  </si>
  <si>
    <t>H4</t>
  </si>
  <si>
    <t>Acceptable values</t>
  </si>
  <si>
    <t>Minimum</t>
  </si>
  <si>
    <t>Maximum</t>
  </si>
  <si>
    <t>ADSL</t>
  </si>
  <si>
    <t>Dial-up</t>
  </si>
  <si>
    <t>Total</t>
  </si>
  <si>
    <t>Version</t>
  </si>
  <si>
    <t>Objective</t>
  </si>
  <si>
    <t xml:space="preserve">Title </t>
  </si>
  <si>
    <t>Author</t>
  </si>
  <si>
    <t>Information</t>
  </si>
  <si>
    <t>Work in progress</t>
  </si>
  <si>
    <t>Under construction</t>
  </si>
  <si>
    <t>Approved for release</t>
  </si>
  <si>
    <t>Email</t>
  </si>
  <si>
    <t xml:space="preserve"> </t>
  </si>
  <si>
    <t>Subscribers</t>
  </si>
  <si>
    <t>Ready for review</t>
  </si>
  <si>
    <t>Bitstream</t>
  </si>
  <si>
    <t>DSL</t>
  </si>
  <si>
    <t>Cable</t>
  </si>
  <si>
    <t>One-Time Fee</t>
  </si>
  <si>
    <t>Monthly Cost</t>
  </si>
  <si>
    <t>Services included with the retail line rental</t>
  </si>
  <si>
    <t>Line rental</t>
  </si>
  <si>
    <t>Market</t>
  </si>
  <si>
    <t>Retail minus inputs</t>
  </si>
  <si>
    <t>Connections inputs</t>
  </si>
  <si>
    <t>Lists</t>
  </si>
  <si>
    <t>Years</t>
  </si>
  <si>
    <t>Connections</t>
  </si>
  <si>
    <t>Broadband</t>
  </si>
  <si>
    <t>Broadband.plans</t>
  </si>
  <si>
    <t>Items of the retail minus</t>
  </si>
  <si>
    <t>Subscribers acquisition costs</t>
  </si>
  <si>
    <t>CPE cost (if provided by the operator)</t>
  </si>
  <si>
    <t>Cost borne by the operator</t>
  </si>
  <si>
    <t>Amount/proportion paid upfront by the subscriber</t>
  </si>
  <si>
    <t>CPE acquisition</t>
  </si>
  <si>
    <t>CPE handling/despatch to the subscribers</t>
  </si>
  <si>
    <t>CPE replacement</t>
  </si>
  <si>
    <t>CPE lifetime</t>
  </si>
  <si>
    <t>Churn</t>
  </si>
  <si>
    <t>Product development/management costs</t>
  </si>
  <si>
    <t>Commercial expenses</t>
  </si>
  <si>
    <t>Own sales network</t>
  </si>
  <si>
    <t>Commissions paid to third party retailers</t>
  </si>
  <si>
    <t>Billing costs (including retail billing system)</t>
  </si>
  <si>
    <t>Bad debt</t>
  </si>
  <si>
    <t>Marketing and advertising</t>
  </si>
  <si>
    <t>Marketing and sales costs per gross add</t>
  </si>
  <si>
    <t>Retail customer care (including first line technical support)</t>
  </si>
  <si>
    <t>General and administrative costs</t>
  </si>
  <si>
    <t>Office rental costs</t>
  </si>
  <si>
    <t>Floor space per employee</t>
  </si>
  <si>
    <t>Cost per square meter (per month)</t>
  </si>
  <si>
    <t>Total market connections</t>
  </si>
  <si>
    <t>Others</t>
  </si>
  <si>
    <t>Distribution of total market connections</t>
  </si>
  <si>
    <t>Broadband.technologies</t>
  </si>
  <si>
    <t>Telmex/Telnor DSL connections</t>
  </si>
  <si>
    <t>Connections by plan for Telmex/Telnor</t>
  </si>
  <si>
    <t>Distribution of connections by plan for Telmex/Telnor</t>
  </si>
  <si>
    <t>Broadband calculations</t>
  </si>
  <si>
    <t>All services</t>
  </si>
  <si>
    <t>Control</t>
  </si>
  <si>
    <t>Year selected</t>
  </si>
  <si>
    <t>Telmex.DSL.subs</t>
  </si>
  <si>
    <t>Telmex.DSL.subs.by.plan</t>
  </si>
  <si>
    <t>Revenues</t>
  </si>
  <si>
    <t>Previous year</t>
  </si>
  <si>
    <t>Net adds</t>
  </si>
  <si>
    <t>Broadband.churn</t>
  </si>
  <si>
    <t>CPE.lifetime</t>
  </si>
  <si>
    <t>Gross adds</t>
  </si>
  <si>
    <t>CPE replacements</t>
  </si>
  <si>
    <t>CPE issued</t>
  </si>
  <si>
    <t>CPE.cost.for.the.operator</t>
  </si>
  <si>
    <t>CPE costs</t>
  </si>
  <si>
    <t>Billing.cost</t>
  </si>
  <si>
    <t>Bad.debt.cost</t>
  </si>
  <si>
    <t>Minimum marketing and sales as % of revenues</t>
  </si>
  <si>
    <t>Subscriber per staff</t>
  </si>
  <si>
    <t>Monthly cost per staff</t>
  </si>
  <si>
    <t>Billing costs</t>
  </si>
  <si>
    <t>Bad debt cost as a proportion of revenues</t>
  </si>
  <si>
    <t>Billing cost as a proportion of revenues</t>
  </si>
  <si>
    <t>Marketing and advertising costs</t>
  </si>
  <si>
    <t>Monthly.cost.per.staff</t>
  </si>
  <si>
    <t>Retail customer care costs</t>
  </si>
  <si>
    <t>Administrative costs as a proportion of revenues</t>
  </si>
  <si>
    <t>Administrative costs as a proportion of revenues (includes office IT, HR, strategy, finance, etc.)</t>
  </si>
  <si>
    <t>Marketing and sales (including advertising)</t>
  </si>
  <si>
    <t>Administrative staff (including marketing and sales staff) per customer care staff</t>
  </si>
  <si>
    <t>Retail customer care staff</t>
  </si>
  <si>
    <t>Admin.staff.per.customer.care.staff</t>
  </si>
  <si>
    <t>Administrative staff</t>
  </si>
  <si>
    <t>Total staff</t>
  </si>
  <si>
    <t>Floorspace.per.staff</t>
  </si>
  <si>
    <t>Rent.per.sqm</t>
  </si>
  <si>
    <t>Admin.costs</t>
  </si>
  <si>
    <t>Source:</t>
  </si>
  <si>
    <t>Fixed.lines</t>
  </si>
  <si>
    <t>Line.rental.churn</t>
  </si>
  <si>
    <t>Marketing.and.sales.per.gross.add.broadband</t>
  </si>
  <si>
    <t>Marketing.and.sales.minimum.proportion.broadband</t>
  </si>
  <si>
    <t>Marketing.and.sales.per.gross.add.line.rental</t>
  </si>
  <si>
    <t>Marketing.and.sales.minimum.proportion.line.rental</t>
  </si>
  <si>
    <t>MXN per USD</t>
  </si>
  <si>
    <t>Average 2014</t>
  </si>
  <si>
    <t>Bid</t>
  </si>
  <si>
    <t>Ask</t>
  </si>
  <si>
    <t>Network costs (over the wholesale products bought from Telmex)</t>
  </si>
  <si>
    <t>Contention ratio</t>
  </si>
  <si>
    <t>Price per Mbps for transport</t>
  </si>
  <si>
    <t>Average (adverstised) broadband speed per line (in Mbps)</t>
  </si>
  <si>
    <t>Average.broadband.speed</t>
  </si>
  <si>
    <t>Broadband.contention.ratio</t>
  </si>
  <si>
    <t>Price.per.Mbps.for.transport</t>
  </si>
  <si>
    <t>Prices inputs</t>
  </si>
  <si>
    <t>PSTN lines</t>
  </si>
  <si>
    <t>Año</t>
  </si>
  <si>
    <t>Valor Absoluto</t>
  </si>
  <si>
    <t>Annual variation</t>
  </si>
  <si>
    <t>2011 p/</t>
  </si>
  <si>
    <t>2012 p/</t>
  </si>
  <si>
    <t>2013 p/</t>
  </si>
  <si>
    <t>p/: Cifras preliminares.</t>
  </si>
  <si>
    <t>FUENTE: Dirección de Información Estadística y de Mercado.</t>
  </si>
  <si>
    <t>Broadband connections</t>
  </si>
  <si>
    <t>XDSL</t>
  </si>
  <si>
    <t>Cable coaxial</t>
  </si>
  <si>
    <t>Otras</t>
  </si>
  <si>
    <t>Telmex market share</t>
  </si>
  <si>
    <t>Telmex PSTN lines</t>
  </si>
  <si>
    <t>Telmex.PSTN.lines</t>
  </si>
  <si>
    <t>Residential</t>
  </si>
  <si>
    <t>Business</t>
  </si>
  <si>
    <t>From installation</t>
  </si>
  <si>
    <t>From monthly rent</t>
  </si>
  <si>
    <t>Monthly totals</t>
  </si>
  <si>
    <t>ENERO</t>
  </si>
  <si>
    <t>FEBRERO</t>
  </si>
  <si>
    <t>MARZO</t>
  </si>
  <si>
    <t>ABRIL</t>
  </si>
  <si>
    <t>MAYO</t>
  </si>
  <si>
    <t>JUNIO</t>
  </si>
  <si>
    <t>JULIO</t>
  </si>
  <si>
    <t>AGOSTO</t>
  </si>
  <si>
    <t>SEPTIEMBRE</t>
  </si>
  <si>
    <t>OCTUBRE</t>
  </si>
  <si>
    <t>NOVIEMBRE</t>
  </si>
  <si>
    <t>DICIEMBRE</t>
  </si>
  <si>
    <t>Of which residential</t>
  </si>
  <si>
    <t>Of which non-residential</t>
  </si>
  <si>
    <t>Total market</t>
  </si>
  <si>
    <t>Non-residential</t>
  </si>
  <si>
    <t>Proportion residential</t>
  </si>
  <si>
    <t>Residential PSTN lines</t>
  </si>
  <si>
    <t>Non-residential PSTN lines</t>
  </si>
  <si>
    <t>PSTN.lines.2008.2013</t>
  </si>
  <si>
    <t>PSTN.residential.lines.2008.2013</t>
  </si>
  <si>
    <t>PSTN.non.residential.lines.2008.2013</t>
  </si>
  <si>
    <t>Telmex residential PSTN lines</t>
  </si>
  <si>
    <t>Telmex non-residential PSTN lines</t>
  </si>
  <si>
    <t>Telmex.PSTN.residential.lines</t>
  </si>
  <si>
    <t>Telmex.PSTN.non.residential.lines</t>
  </si>
  <si>
    <t>Average yearly subscribers</t>
  </si>
  <si>
    <t>Internet.xDSL.connections.2008.2013</t>
  </si>
  <si>
    <t>Internet.cable.connections.2008.2013</t>
  </si>
  <si>
    <t>Internet.dial.up.connections.2008.2013</t>
  </si>
  <si>
    <t>Internet.other.connections.2008.2013</t>
  </si>
  <si>
    <t>Internet.Telmex.market.share.2013</t>
  </si>
  <si>
    <t>Telmex/Telnor market share of internet services</t>
  </si>
  <si>
    <t>Telmex/Telnor market share of DSL + dial-up</t>
  </si>
  <si>
    <t>Source</t>
  </si>
  <si>
    <t>5 Mbps</t>
  </si>
  <si>
    <t>10 Mbps</t>
  </si>
  <si>
    <t>Claro video included</t>
  </si>
  <si>
    <t>Claro video after discount</t>
  </si>
  <si>
    <t>All plans</t>
  </si>
  <si>
    <t>Broadband.plans.prices</t>
  </si>
  <si>
    <t>Telmex.DSL.subs.by.plan.year.selected.average</t>
  </si>
  <si>
    <t>Retail minus</t>
  </si>
  <si>
    <t>Total revenues</t>
  </si>
  <si>
    <t>IVA.rate</t>
  </si>
  <si>
    <t>Before IVA</t>
  </si>
  <si>
    <t>With IVA</t>
  </si>
  <si>
    <t>Line.rental.one.time.fee.before.IVA</t>
  </si>
  <si>
    <t>Line.rental.monthly.fee.before.IVA</t>
  </si>
  <si>
    <t>Line.rental.one.time.fee.with.IVA</t>
  </si>
  <si>
    <t>Line.rental.monthly.fee.with.IVA</t>
  </si>
  <si>
    <t>Months.per.year</t>
  </si>
  <si>
    <t>Additional network costs</t>
  </si>
  <si>
    <t>Broadband.plans.line.rental.monthly.fee.before.IVA</t>
  </si>
  <si>
    <t>Telmex.DSL.subs.non.residential</t>
  </si>
  <si>
    <t>Gross adds from broadband</t>
  </si>
  <si>
    <t>Residential, excluding connectionss without line rental</t>
  </si>
  <si>
    <t>Telmex.DSL.subs.residential.with.line.rental</t>
  </si>
  <si>
    <t>Residential with line rental</t>
  </si>
  <si>
    <t>Broadband.gross.adds.residential.with.line.rental</t>
  </si>
  <si>
    <t>Broadband.gross.adds.non.residential</t>
  </si>
  <si>
    <t>Max of gross adds</t>
  </si>
  <si>
    <t>Total retail minus costs</t>
  </si>
  <si>
    <t>Other costs (and profit)</t>
  </si>
  <si>
    <t>Customer.care.broadbandsubscriber.per.staff</t>
  </si>
  <si>
    <t>Customer.care.line.rental.per.staff</t>
  </si>
  <si>
    <t>Average (advertised) broadband speed per line (in Mbps)</t>
  </si>
  <si>
    <t>Telmex lines</t>
  </si>
  <si>
    <t>n/a</t>
  </si>
  <si>
    <t>Churn indicated in the America Movil Annual report 2013, in the table on page 28 of the pdf</t>
  </si>
  <si>
    <t>Comment/Source</t>
  </si>
  <si>
    <t>Named range</t>
  </si>
  <si>
    <t>unused</t>
  </si>
  <si>
    <t>unused data points from Telmex</t>
  </si>
  <si>
    <t>Monthly cost per staff (MXN)</t>
  </si>
  <si>
    <t>Cost per square meter (per month) USD</t>
  </si>
  <si>
    <t>Cost per square meter (per month) MXN</t>
  </si>
  <si>
    <t>Price per Mbps for transport (MXN)</t>
  </si>
  <si>
    <t>revenue reconciliation</t>
  </si>
  <si>
    <t>Wholesale line rental calculations</t>
  </si>
  <si>
    <t>VAT</t>
  </si>
  <si>
    <t>Años</t>
  </si>
  <si>
    <t>IVA</t>
  </si>
  <si>
    <t>Año seleccionado</t>
  </si>
  <si>
    <t>Fuente</t>
  </si>
  <si>
    <t>Clarovideo incluido</t>
  </si>
  <si>
    <t>Clarovideo después del descuento</t>
  </si>
  <si>
    <t>Notas</t>
  </si>
  <si>
    <t>12 meses gratis</t>
  </si>
  <si>
    <t>Costo mensual</t>
  </si>
  <si>
    <t>Sin renta de línea, sin servicio de voz</t>
  </si>
  <si>
    <t>Otros</t>
  </si>
  <si>
    <t>Tarifa única</t>
  </si>
  <si>
    <t>Tarifa mensual</t>
  </si>
  <si>
    <t xml:space="preserve">Servicios incluidos con la renta de línea minorista </t>
  </si>
  <si>
    <t>Antes del IVA</t>
  </si>
  <si>
    <t>Con IVA</t>
  </si>
  <si>
    <t>Servicio de acceso indirecto al bucle (SAIB)</t>
  </si>
  <si>
    <t>Reventa de líneas</t>
  </si>
  <si>
    <r>
      <t xml:space="preserve">Datos de entrada </t>
    </r>
    <r>
      <rPr>
        <b/>
        <sz val="22"/>
        <rFont val="Arial"/>
        <family val="2"/>
      </rPr>
      <t>de precios</t>
    </r>
  </si>
  <si>
    <r>
      <t xml:space="preserve">Datos de entrada </t>
    </r>
    <r>
      <rPr>
        <b/>
        <sz val="22"/>
        <rFont val="Arial"/>
        <family val="2"/>
      </rPr>
      <t>de conexiones</t>
    </r>
  </si>
  <si>
    <t>Líneas PSTN</t>
  </si>
  <si>
    <t xml:space="preserve">Conexiones de banda ancha </t>
  </si>
  <si>
    <t>Mercado total</t>
  </si>
  <si>
    <t>Líneas Telmex</t>
  </si>
  <si>
    <t>Fuente:</t>
  </si>
  <si>
    <t>Variación anual</t>
  </si>
  <si>
    <t>Suscripciones Totales</t>
  </si>
  <si>
    <t>Residenciales</t>
  </si>
  <si>
    <t>No residenciales</t>
  </si>
  <si>
    <t>Residenciales proporción</t>
  </si>
  <si>
    <t>Cuota de mercado de Telmex</t>
  </si>
  <si>
    <t>Conexiones</t>
  </si>
  <si>
    <t>Mercado</t>
  </si>
  <si>
    <t>Banda ancha</t>
  </si>
  <si>
    <t>Total de conexiones en el mercado</t>
  </si>
  <si>
    <t>Porcentaje sobre el total de conexiones, por tipo de tecnología</t>
  </si>
  <si>
    <t xml:space="preserve">Cuota de mercado de servicios de Internet de Telmex/Telnor </t>
  </si>
  <si>
    <t xml:space="preserve">Cuota de mercado de DSL + dial-up de Telmex/Telnor </t>
  </si>
  <si>
    <t xml:space="preserve">Número de conexiones DSL de Telmex/Telnor </t>
  </si>
  <si>
    <t>Número de conexiones por plan de banda ancha ofrecido por Telmex/Telnor</t>
  </si>
  <si>
    <t xml:space="preserve">Número de conexiones de Telmex/Telnor </t>
  </si>
  <si>
    <t xml:space="preserve">Residenciales, excluyendo conexiones sin renta de línea </t>
  </si>
  <si>
    <t xml:space="preserve">No-residenciales </t>
  </si>
  <si>
    <t>Porcentaje de conexiones por plan de banda ancha ofrecido por Telmex/Telnor</t>
  </si>
  <si>
    <t>Renta de línea</t>
  </si>
  <si>
    <t xml:space="preserve">Número de conexiones </t>
  </si>
  <si>
    <t>Líneas PSTN residenciales</t>
  </si>
  <si>
    <t>Líneas PSTN no-residenciales</t>
  </si>
  <si>
    <t>Líneas PSTN de Telmex</t>
  </si>
  <si>
    <t xml:space="preserve">Líneas PSTN residenciales de Telmex </t>
  </si>
  <si>
    <t xml:space="preserve">Líneas PSTN no-residenciales de Telmex </t>
  </si>
  <si>
    <r>
      <t>Datos de entrada</t>
    </r>
    <r>
      <rPr>
        <b/>
        <sz val="22"/>
        <rFont val="Arial"/>
        <family val="2"/>
      </rPr>
      <t xml:space="preserve"> de costos evitados</t>
    </r>
  </si>
  <si>
    <r>
      <t xml:space="preserve">Elementos del </t>
    </r>
    <r>
      <rPr>
        <b/>
        <i/>
        <sz val="15"/>
        <color theme="3"/>
        <rFont val="Arial"/>
        <family val="2"/>
        <scheme val="minor"/>
      </rPr>
      <t>retail-minus</t>
    </r>
    <r>
      <rPr>
        <b/>
        <sz val="15"/>
        <color theme="3"/>
        <rFont val="Arial"/>
        <family val="2"/>
        <scheme val="minor"/>
      </rPr>
      <t xml:space="preserve"> (costos evitados)</t>
    </r>
  </si>
  <si>
    <t xml:space="preserve">Todos los servicios </t>
  </si>
  <si>
    <t>Comentario/fuente</t>
  </si>
  <si>
    <t>Acceso indirecto (SAIB)</t>
  </si>
  <si>
    <t>Costos de captación de usuarios</t>
  </si>
  <si>
    <t>Nombre de celda</t>
  </si>
  <si>
    <t>Costo del equipo de usuario o CPE (si lo provee el operador)</t>
  </si>
  <si>
    <t>Compra del CPE</t>
  </si>
  <si>
    <t>Entrega del CPE al usuario final</t>
  </si>
  <si>
    <t>Cantidad/proporción del costo pagada por adelantdo por el usuario</t>
  </si>
  <si>
    <t xml:space="preserve">Costo absorvido por el operador </t>
  </si>
  <si>
    <t xml:space="preserve">Reemplazo del CPE </t>
  </si>
  <si>
    <t xml:space="preserve">Vida útil del CPE </t>
  </si>
  <si>
    <r>
      <t xml:space="preserve">Índice de rotación o </t>
    </r>
    <r>
      <rPr>
        <i/>
        <sz val="9"/>
        <rFont val="Arial"/>
        <family val="2"/>
      </rPr>
      <t>churn</t>
    </r>
  </si>
  <si>
    <t>Desarrollo de producto/costos de gestión</t>
  </si>
  <si>
    <t>Gastos de comercialización</t>
  </si>
  <si>
    <t xml:space="preserve">A través de la propia red de ventas del operador </t>
  </si>
  <si>
    <t>Comisiones pagadas a terceros</t>
  </si>
  <si>
    <t>Costos de facturación (incluyendo el sistema de facturación a clientes minoristas)</t>
  </si>
  <si>
    <t>Deuda incobrable</t>
  </si>
  <si>
    <t>Márquetin y ventas (incluyendo publicidad)</t>
  </si>
  <si>
    <t>Datos de Telmex no utilizados</t>
  </si>
  <si>
    <t>no utilizado</t>
  </si>
  <si>
    <t>Costos de ventas y márketing por suscriptor bruto adicional</t>
  </si>
  <si>
    <t xml:space="preserve">Gasto mínimo en márketin in ventas sobre el total de intresos </t>
  </si>
  <si>
    <t>Número de suscriptores por empleado</t>
  </si>
  <si>
    <t>Costo mensual por empleado (MXN)</t>
  </si>
  <si>
    <t>Atención al cliente minorista (incluyendo asistencia técnica de primera línea)</t>
  </si>
  <si>
    <t>Superficio de suelo por empleado</t>
  </si>
  <si>
    <t>Costo por metro cuadrado (por mes) USD</t>
  </si>
  <si>
    <t>Costo por metro cuadrado (por mes) MXN</t>
  </si>
  <si>
    <t xml:space="preserve">Personal administrativo (incluyendo personal de márketing y ventas) por empleado de atención al cliente </t>
  </si>
  <si>
    <t>Costos administrativos sobre el total de ingresos (incluye personal de soporte IT, recursos humanos, estrategia, finanzas, etc.)</t>
  </si>
  <si>
    <t xml:space="preserve">Costos de red (sobre los productos mayoristas adquiridos por Telmex) </t>
  </si>
  <si>
    <t>Velocidad promedio de banda ancha (publicitada) por línea (en Mbps)</t>
  </si>
  <si>
    <t>Ratio de contención</t>
  </si>
  <si>
    <t>Precio por Mbps por transporte (MXN)</t>
  </si>
  <si>
    <t>MXN por USD</t>
  </si>
  <si>
    <t>Promedio 2014</t>
  </si>
  <si>
    <t xml:space="preserve">Compra de pesos </t>
  </si>
  <si>
    <t>Venta de pesos</t>
  </si>
  <si>
    <t>Número de suscriptores</t>
  </si>
  <si>
    <t>Año anterior</t>
  </si>
  <si>
    <t>Suscriptores adicionales netos</t>
  </si>
  <si>
    <t>Suscriptores adicionales brutos</t>
  </si>
  <si>
    <t>Ingresos</t>
  </si>
  <si>
    <t>Reconciliación de ingresos</t>
  </si>
  <si>
    <t>Costos de facturación (incluyendo el sistema de facturación de clientes minoristas)</t>
  </si>
  <si>
    <t>Costos de facturación sobre el total de ingresos</t>
  </si>
  <si>
    <t>Costos de facturación</t>
  </si>
  <si>
    <t xml:space="preserve">Costo de la deuda incobrable sobre el total de ingresos </t>
  </si>
  <si>
    <t>Márquetin y publicidad</t>
  </si>
  <si>
    <t>Costo mensual por empleado</t>
  </si>
  <si>
    <t>Costos minoristas de atención al cliente</t>
  </si>
  <si>
    <t>Costos generales y administrativos</t>
  </si>
  <si>
    <t>Personal de atención al cliente minorista</t>
  </si>
  <si>
    <t>Personal administrativo</t>
  </si>
  <si>
    <t>Total empleados</t>
  </si>
  <si>
    <t>Costos de alquiler de oficinas</t>
  </si>
  <si>
    <t>Superficie de suelo por empleado</t>
  </si>
  <si>
    <t>Costos por metro cuadrado</t>
  </si>
  <si>
    <t>Costos administrativos sobre el total de ingresos</t>
  </si>
  <si>
    <t xml:space="preserve">Total costos retail minus </t>
  </si>
  <si>
    <t>Costos evitados</t>
  </si>
  <si>
    <t>Total ingresos</t>
  </si>
  <si>
    <t>Total costos retail minus</t>
  </si>
  <si>
    <t>Otros costos (y ganancias)</t>
  </si>
  <si>
    <t>Reconciliación de costos mayoristas</t>
  </si>
  <si>
    <t>Wholesale cost reconciliation</t>
  </si>
  <si>
    <t>Cálculos banda ancha</t>
  </si>
  <si>
    <t>Residenciales con renta de línea</t>
  </si>
  <si>
    <t>No-residenciales</t>
  </si>
  <si>
    <t xml:space="preserve">Índice de rotación </t>
  </si>
  <si>
    <t>Costos de red (sobre los productos mayoristas comprados a Telmex)</t>
  </si>
  <si>
    <t>Velocidad promedio (publicitada) de banda ancha por línea (en Mbps)</t>
  </si>
  <si>
    <t>Precio por Mbps por transporte</t>
  </si>
  <si>
    <t>Costos de red adicionales</t>
  </si>
  <si>
    <t>Costos del CPE</t>
  </si>
  <si>
    <t>Vida útil CPE</t>
  </si>
  <si>
    <t>Reemplazo de CPEs</t>
  </si>
  <si>
    <t>CPEs otorgados</t>
  </si>
  <si>
    <t>Costos de CPE</t>
  </si>
  <si>
    <t xml:space="preserve">Promedio anual de suscriptores </t>
  </si>
  <si>
    <t>Suscriptores adicionales brutos de banda ancha</t>
  </si>
  <si>
    <t>Número máximo de suscriptores adicionales brutos</t>
  </si>
  <si>
    <t>Desde instalación</t>
  </si>
  <si>
    <t>Desde renta mensual</t>
  </si>
  <si>
    <t>Costos de márquetin y publicidad</t>
  </si>
  <si>
    <t xml:space="preserve">Costos de márquetin y ventas por suscriptor bruto adicional </t>
  </si>
  <si>
    <t xml:space="preserve">Gasto mínimo en márquetin y ventas sobre el total de ingresos </t>
  </si>
  <si>
    <t>Wholesale prices</t>
  </si>
  <si>
    <t>Bistream</t>
  </si>
  <si>
    <t>Retail.minus.bitstream</t>
  </si>
  <si>
    <t>Retail.minus.line.rental</t>
  </si>
  <si>
    <t>Wholesale prices (without VAT)</t>
  </si>
  <si>
    <t>Guía de estilos en Excel</t>
  </si>
  <si>
    <t xml:space="preserve">Nota: Utilizar la opción 'Congelar los paneles' (para cada hoja de cálculo) para mantener la cabecera de la columna y de la fila a la vista cuando se navega por la hoja de cálculo </t>
  </si>
  <si>
    <t xml:space="preserve">Nota: Si una hoja de cálculo abarca más de una página, se sugiere repetir la primera fila de encabezados de columna en todas las páginas (Diseño de página_Repetir filas en extremo superior_Indique la referencia $1:$1, tal y como se hace en esta hoja de cálculo) </t>
  </si>
  <si>
    <r>
      <t xml:space="preserve">Estilos de celda (datos de entrada o </t>
    </r>
    <r>
      <rPr>
        <b/>
        <i/>
        <sz val="14"/>
        <rFont val="Arial"/>
        <family val="2"/>
      </rPr>
      <t>inputs</t>
    </r>
    <r>
      <rPr>
        <b/>
        <sz val="14"/>
        <rFont val="Arial"/>
        <family val="2"/>
      </rPr>
      <t>)</t>
    </r>
  </si>
  <si>
    <r>
      <t>Utilizar estos estilos para identificar los datos de entrada (</t>
    </r>
    <r>
      <rPr>
        <b/>
        <i/>
        <sz val="9"/>
        <rFont val="Arial"/>
        <family val="2"/>
      </rPr>
      <t>inputs</t>
    </r>
    <r>
      <rPr>
        <b/>
        <sz val="9"/>
        <rFont val="Arial"/>
        <family val="2"/>
      </rPr>
      <t>) al modelo</t>
    </r>
  </si>
  <si>
    <t>Nota: Estos estilos cambian prácticamente todo el formato de una celda (excepto los números y la alineación)</t>
  </si>
  <si>
    <t>Parámetro de entrada</t>
  </si>
  <si>
    <t>Desbloqueada</t>
  </si>
  <si>
    <t>Un input (dato de entrada) que puede ser modificado por el usuario (siempre que quiera)</t>
  </si>
  <si>
    <t>Se sugiere configurar el tipo de datos o los valores que los usuarios pueden escribir en una celda. La validación de datos se configura en el cuadro de diálogo 'Validación de datos'</t>
  </si>
  <si>
    <t>Si un parámetro puede tomar sólo uno de entre un rango reducido de valores, para controlar el tipo de datos o los valores que los usuarios pueden entrar en una celda, se sugiere configurar la lista en el cuadro de diálogo Validación de Datos_Permitir_Lista, asegurándose de que esté activada la casilla Celda con lista desplegable</t>
  </si>
  <si>
    <t>Dato de entrada</t>
  </si>
  <si>
    <t>Datos reales (modificar únicamente si se dispone de mejores datos)</t>
  </si>
  <si>
    <t>Estimación de valores de entrada</t>
  </si>
  <si>
    <t>Una estimación utilizada ante la falta de datos reales (cambiar únicamente si se dispone de una mejor estimación, o de datos)</t>
  </si>
  <si>
    <t>Cálculo de valores de entrada</t>
  </si>
  <si>
    <t>Bloqueada</t>
  </si>
  <si>
    <t>Datos de entrada del modelo calculados a partir de otros datos de entrada (e.g. valores de entrada interpolados)</t>
  </si>
  <si>
    <t>Enlace (dentro del mismo libro)</t>
  </si>
  <si>
    <t xml:space="preserve">Celda vinculada a una fuente ubicada en otra hoja de cálculo dentro del mismo libro </t>
  </si>
  <si>
    <t>Enlace (a otro libro)</t>
  </si>
  <si>
    <t xml:space="preserve">Celda vinculada a una fuente ubicada en una hoja de cálculo en otro libro </t>
  </si>
  <si>
    <t>Otros estilos de celda</t>
  </si>
  <si>
    <t xml:space="preserve">Utilizar estos estilos para identificar el papel de otras celdas en el modelo </t>
  </si>
  <si>
    <t xml:space="preserve">Nota: Estos estilos cambian sólo el tipo de letra utilizada en una celda </t>
  </si>
  <si>
    <t>Cálculo</t>
  </si>
  <si>
    <t>Un cálculo del modelo</t>
  </si>
  <si>
    <t>Total (utilizar si no forma parte de un 'Sub-total de fila' o un 'Total de fila' en una tabla - ver más abajo)</t>
  </si>
  <si>
    <t>Suma de verificación</t>
  </si>
  <si>
    <t>Cálculo secundario cuyo objetivo principal es verificar un resultado (al que por tanto no debería hacerse referencia en ninguna otra parte del modelo)</t>
  </si>
  <si>
    <t>Utilizar este formato condicional para resaltar los valores de error obtenidos a través de la suma de verificación  (ej. valores diferentes a cero)</t>
  </si>
  <si>
    <t>Valor de salida</t>
  </si>
  <si>
    <t>Un resultado clave de esta parte del modelo (en particular uno que será utilizado en otra parte del modelo)</t>
  </si>
  <si>
    <t>Nombre</t>
  </si>
  <si>
    <r>
      <t>Un nombre en Excel aplicable a una o más celdas adjuntas (</t>
    </r>
    <r>
      <rPr>
        <u/>
        <sz val="9"/>
        <rFont val="Arial"/>
        <family val="2"/>
      </rPr>
      <t>Insertar Nombre_Crear)</t>
    </r>
  </si>
  <si>
    <t>Nota</t>
  </si>
  <si>
    <t>Una nota (cuyo tamaño de texto es menor de lo normal)</t>
  </si>
  <si>
    <t>Resaltar una celda con un formato especial</t>
  </si>
  <si>
    <t>Una celda que contiene valores especiales</t>
  </si>
  <si>
    <t xml:space="preserve">Eliminar el resaltado de una celda </t>
  </si>
  <si>
    <t>Una celda que deja de contener valores especiales</t>
  </si>
  <si>
    <t>Formatos de número</t>
  </si>
  <si>
    <t xml:space="preserve">Utilizar estos estilos para formatear números (y fechas) de manera consistente </t>
  </si>
  <si>
    <t>Nota: Todos los formatos de número utilizan un símbolo de separador decimal y de agrupamiento de dígitos (separador de miles), ambos definidos en las Opciones Regionales en el cuadro de diálogo 'Propriedades de Control'. Si desea cambiar los formatos de número, no lo haga aquí, sino en Excel!</t>
  </si>
  <si>
    <t xml:space="preserve">Nota: Casi todos los formatos de número dejan espacio para un ')' a la derecha del número, pero sólo los formatos de moneda utilizan '(…)' para los números negativos </t>
  </si>
  <si>
    <t>Número</t>
  </si>
  <si>
    <t>Número (2pd)</t>
  </si>
  <si>
    <t>Porcentaje</t>
  </si>
  <si>
    <t>Porcentaje (2pd)</t>
  </si>
  <si>
    <t>Moneda</t>
  </si>
  <si>
    <t>Moneda (2pd)</t>
  </si>
  <si>
    <t>Coma</t>
  </si>
  <si>
    <t>Positivo</t>
  </si>
  <si>
    <t>Negativo</t>
  </si>
  <si>
    <t>Cero</t>
  </si>
  <si>
    <t>Texto</t>
  </si>
  <si>
    <t>Moneda
EUR</t>
  </si>
  <si>
    <t>Moneda
EUR (2pd)</t>
  </si>
  <si>
    <t>Moneda Euro</t>
  </si>
  <si>
    <t>Moneda Euro (2pd)</t>
  </si>
  <si>
    <t>Moneda
USD</t>
  </si>
  <si>
    <t>Moneda
USD (2pd)</t>
  </si>
  <si>
    <t xml:space="preserve">Moneda Dólar </t>
  </si>
  <si>
    <t>Modena Dólar (2pd)</t>
  </si>
  <si>
    <t>Moneda
GBP</t>
  </si>
  <si>
    <t>Moneda
GBP (2dp)</t>
  </si>
  <si>
    <t>Moneda Libra Esterlina</t>
  </si>
  <si>
    <t>Moneda Libra Esterlina (2dp)</t>
  </si>
  <si>
    <t>Fecha</t>
  </si>
  <si>
    <t>Fecha (mes)</t>
  </si>
  <si>
    <t>Fecha (año)</t>
  </si>
  <si>
    <t>Estilos de títulos</t>
  </si>
  <si>
    <t>Utilizar estos estilos para formatear los títulos</t>
  </si>
  <si>
    <t>Título</t>
  </si>
  <si>
    <t xml:space="preserve">Nivel 1 </t>
  </si>
  <si>
    <t>Nivel 2</t>
  </si>
  <si>
    <t>Nivel 3</t>
  </si>
  <si>
    <t>Nivel 4</t>
  </si>
  <si>
    <t>Estilos de tablas</t>
  </si>
  <si>
    <t xml:space="preserve">Utilizar estos estilos para formatear las tablas de manera consistente </t>
  </si>
  <si>
    <t xml:space="preserve">Nota: Estos estilos cambian el formato de celda (según se desee en función del contexto) </t>
  </si>
  <si>
    <t>Una tabla simple</t>
  </si>
  <si>
    <t>Encabezado de la columna (texto alineado a la izquierda)</t>
  </si>
  <si>
    <t>Encabezado de la columna</t>
  </si>
  <si>
    <t>Encabezado de la fila</t>
  </si>
  <si>
    <t>(Última fila)</t>
  </si>
  <si>
    <t>Ejemplo de una tabla más compleja</t>
  </si>
  <si>
    <t>Encabezado de la columa (sin ajustar el texto)</t>
  </si>
  <si>
    <t>Encabezado de la columna (sin ajustar el texto)</t>
  </si>
  <si>
    <t>Encabezado de la columna (no en negrita)</t>
  </si>
  <si>
    <t>(tabla sin sombreado)</t>
  </si>
  <si>
    <t>(tabla con sombreado)</t>
  </si>
  <si>
    <t>Encabezado de la fila (sangría)</t>
  </si>
  <si>
    <t xml:space="preserve">Sub-total de fila </t>
  </si>
  <si>
    <t>Total de fila</t>
  </si>
  <si>
    <t xml:space="preserve">Ejemplos de uso </t>
  </si>
  <si>
    <t xml:space="preserve">Nota: Para evitar posibles confusiones y errores en esta plantilla, no se han creado los nombres falsos que se muestran a continuación </t>
  </si>
  <si>
    <t>Número de suscriptores (fin de año)</t>
  </si>
  <si>
    <t>Servicio</t>
  </si>
  <si>
    <t>Unidad</t>
  </si>
  <si>
    <t>Suscriptores.Por servicio.Fin de año</t>
  </si>
  <si>
    <t>Suscriptores</t>
  </si>
  <si>
    <t>Interpolación lineal</t>
  </si>
  <si>
    <t>Cable módem</t>
  </si>
  <si>
    <t>Datos tomados de la tabla anterior</t>
  </si>
  <si>
    <t>Datos tomados del fichero Cable_modem.xls</t>
  </si>
  <si>
    <t>Número de suscriptores (promedio simple)</t>
  </si>
  <si>
    <t>Suscriptores.Promedio.Anual.Total</t>
  </si>
  <si>
    <t>Retail profit</t>
  </si>
  <si>
    <t>Beneficio minorista</t>
  </si>
  <si>
    <t>Retail.profit</t>
  </si>
  <si>
    <t>Llamadas</t>
  </si>
  <si>
    <t>Calls</t>
  </si>
  <si>
    <t>Llamadas Locales</t>
  </si>
  <si>
    <t>Local calls</t>
  </si>
  <si>
    <t>Minutos a celular 044</t>
  </si>
  <si>
    <t>Minutes to mobile 044</t>
  </si>
  <si>
    <t>Lada Internacional (minutos para llamar a Estados unidos y Canadá)</t>
  </si>
  <si>
    <t>Minutes to the US and Canada</t>
  </si>
  <si>
    <t>Lada Mundial (minutes to cualquier parte del mundo excepto Estados Unidos, Canadá y Cuba)</t>
  </si>
  <si>
    <t>Monthly cost</t>
  </si>
  <si>
    <t>Minutos</t>
  </si>
  <si>
    <t>Minutes</t>
  </si>
  <si>
    <t>Worldwide minutes (except to the US, Canada and Cuba)</t>
  </si>
  <si>
    <t>Retail minus prices</t>
  </si>
  <si>
    <t>Servicios</t>
  </si>
  <si>
    <t>Services</t>
  </si>
  <si>
    <t>Reventa de línea (incluye 100 llamadas locales)</t>
  </si>
  <si>
    <t>Line rental (including 100 local calls)</t>
  </si>
  <si>
    <t>Top-up: 50 local calls</t>
  </si>
  <si>
    <t>100 llamadas locales</t>
  </si>
  <si>
    <t>Top-up: 100 local calls</t>
  </si>
  <si>
    <t>Retail.price.100.minutes.international</t>
  </si>
  <si>
    <t>This is the standalone retail price of the calls included with residential line rental</t>
  </si>
  <si>
    <t>Diferencia</t>
  </si>
  <si>
    <t>Illimitadas llamadas locales</t>
  </si>
  <si>
    <t>Precio mayorista, excluyendo IVA</t>
  </si>
  <si>
    <t>Wholesale price, excluding VAT</t>
  </si>
  <si>
    <t>Line.rental.monthly.fee.residential.before.IVA</t>
  </si>
  <si>
    <t>Top-up: unlimited local calls</t>
  </si>
  <si>
    <t>Precios mayoristas</t>
  </si>
  <si>
    <t>Calculaciones por el SAIB</t>
  </si>
  <si>
    <t>Caculations for bitstream</t>
  </si>
  <si>
    <t>Precios minoristas</t>
  </si>
  <si>
    <t>Precios mayoristas (sin IVA)</t>
  </si>
  <si>
    <t>Distribution.broadband.plans</t>
  </si>
  <si>
    <t>Of which discount on retail prices</t>
  </si>
  <si>
    <t>Of which retail minus items</t>
  </si>
  <si>
    <t>Ingresos antes de los descuentos minoristas</t>
  </si>
  <si>
    <t>Adicional 50 llamadas locales</t>
  </si>
  <si>
    <t>Adicional 100 llamadas locales</t>
  </si>
  <si>
    <t>Velocidad</t>
  </si>
  <si>
    <t>Paquete Conectes (3 Mbps)</t>
  </si>
  <si>
    <t>Paquete Conectes Negocio (3 Mbps)</t>
  </si>
  <si>
    <t>Infinitum 10 Mb</t>
  </si>
  <si>
    <t>Infinitum 5 Mb</t>
  </si>
  <si>
    <t>Paquete Mi Negocio (3 Mbps)</t>
  </si>
  <si>
    <t>Paquete SuperNegocio (5 Mbps)</t>
  </si>
  <si>
    <t>Paquete Telmex Negocio Sin Límites 1 (10 Mbps)</t>
  </si>
  <si>
    <t>Paquete Telmex Negocio Sin Límites 2 (10 Mbps)</t>
  </si>
  <si>
    <t>Paquete Telmex Negocio Sin Límites 3 (10 Mbps)</t>
  </si>
  <si>
    <t>Paquete Telmex Todo México Sin Límites (10 Mbps)</t>
  </si>
  <si>
    <t>Renta mensual</t>
  </si>
  <si>
    <t>Monthly price</t>
  </si>
  <si>
    <t>Precio de la instalación</t>
  </si>
  <si>
    <t>Installation price</t>
  </si>
  <si>
    <t>Número de suscriptores - minoristas</t>
  </si>
  <si>
    <t>Hasta 3 Mbps</t>
  </si>
  <si>
    <t>Hasta 5 Mbps</t>
  </si>
  <si>
    <t>Hasta 10 Mbps</t>
  </si>
  <si>
    <t>Hasta 20 Mbps</t>
  </si>
  <si>
    <t>otro, especifique</t>
  </si>
  <si>
    <t>Nota: Incluye suscriptores activos.</t>
  </si>
  <si>
    <t>Septiembre</t>
  </si>
  <si>
    <t>Number of retail subscribers</t>
  </si>
  <si>
    <t>SAIB sin renta de línea 3 Mbps</t>
  </si>
  <si>
    <t>SAIB sin renta de línea 5 Mbps</t>
  </si>
  <si>
    <t>SAIB sin renta de línea 10 Mbps</t>
  </si>
  <si>
    <t>Bitstream without line rental 3 Mbps</t>
  </si>
  <si>
    <t>Bitstream without line rental 5 Mbps</t>
  </si>
  <si>
    <t>Bitstream without line rental 10 Mbps</t>
  </si>
  <si>
    <t>Summary of prices and services included</t>
  </si>
  <si>
    <t>Resumen de los precios y servicios incluidos</t>
  </si>
  <si>
    <t>Illimitadas</t>
  </si>
  <si>
    <t>Illimitados</t>
  </si>
  <si>
    <t>LADA a Estados Unidos, Canadá y Sudamérica $1.19 el minuto. Centroamérica (excepto Cuba) $2.39 Europa $9.56 y resto del mundo $11.95.</t>
  </si>
  <si>
    <t>No</t>
  </si>
  <si>
    <t>NA</t>
  </si>
  <si>
    <t>LADA Mundial $1.19 el minuto (excepto Cuba).</t>
  </si>
  <si>
    <t>Lada Mundial (minutos hasta cualquier parte del mundo excepto Estados Unidos, Canadá y Cuba)</t>
  </si>
  <si>
    <t>Minutos a celular 044 y 045</t>
  </si>
  <si>
    <t>Minutes to mobile 044 and 045</t>
  </si>
  <si>
    <t>Prices.and.services.by.plan</t>
  </si>
  <si>
    <t>Paquetes de banda ancha</t>
  </si>
  <si>
    <t>Broadband plans</t>
  </si>
  <si>
    <t>Precios individuales</t>
  </si>
  <si>
    <t>Individual prices</t>
  </si>
  <si>
    <t>Servicios de voz</t>
  </si>
  <si>
    <t>Voice services</t>
  </si>
  <si>
    <t>Servicios de video</t>
  </si>
  <si>
    <t>Video services</t>
  </si>
  <si>
    <t>Clarovideo</t>
  </si>
  <si>
    <t>Subscription</t>
  </si>
  <si>
    <t>Suscripción</t>
  </si>
  <si>
    <t>Precios individuales dentro de paquetes</t>
  </si>
  <si>
    <t>Individual prices within plans</t>
  </si>
  <si>
    <t>No encontrado</t>
  </si>
  <si>
    <t>Llamadas locales</t>
  </si>
  <si>
    <t>Fuentes</t>
  </si>
  <si>
    <t>Sources</t>
  </si>
  <si>
    <t>Costo mensual hogar</t>
  </si>
  <si>
    <t>Residential monthly cost</t>
  </si>
  <si>
    <t>Costo mensual negocio</t>
  </si>
  <si>
    <t>Business monthly cost</t>
  </si>
  <si>
    <t>Definitions of "unlimited"</t>
  </si>
  <si>
    <t>Definiciones de "illimitados/as"</t>
  </si>
  <si>
    <t>Volúmenes en planes de llamadas</t>
  </si>
  <si>
    <t>Volumes in call plans</t>
  </si>
  <si>
    <t>Average use of "unlimited"</t>
  </si>
  <si>
    <t>Uso promedio de "illimitados"</t>
  </si>
  <si>
    <t>Precio por "illimitados"</t>
  </si>
  <si>
    <t>Price for "unlimited"</t>
  </si>
  <si>
    <t>Precio</t>
  </si>
  <si>
    <t>Price</t>
  </si>
  <si>
    <t>Hogar</t>
  </si>
  <si>
    <t>Negocio</t>
  </si>
  <si>
    <t>Sum of individual prices within plans</t>
  </si>
  <si>
    <t>Suma de precios individuales dentro de paquetes</t>
  </si>
  <si>
    <t>Paquete Acerques (5 Mbps)</t>
  </si>
  <si>
    <t>Paquete Conectes Frontera (3 Mbps)</t>
  </si>
  <si>
    <t>Implied discount</t>
  </si>
  <si>
    <t>Descuento implícita</t>
  </si>
  <si>
    <t>Renta mensual solamente por banda ancha</t>
  </si>
  <si>
    <t>Monthly price for broadband only</t>
  </si>
  <si>
    <t>En las hojas a la derecha</t>
  </si>
  <si>
    <t>Cargos adicionales</t>
  </si>
  <si>
    <t>Paquete Acerques (5Mbps)</t>
  </si>
  <si>
    <t>Paquete Conectes Frontera (3Mbps)</t>
  </si>
  <si>
    <t>Precio de desinstalación</t>
  </si>
  <si>
    <t>Por favor, inserte filas adicionales , en el caso de que sean necesarias, para cubrir todas las posibilidades</t>
  </si>
  <si>
    <t xml:space="preserve">Cuentas de pérdidas y ganancias </t>
  </si>
  <si>
    <t>Cifras en millones de pesos</t>
  </si>
  <si>
    <t>Nombre del produto:</t>
  </si>
  <si>
    <t>Servicio de Acceso a Internet de Banda Ancha</t>
  </si>
  <si>
    <t>Hasta 5Mbps</t>
  </si>
  <si>
    <t>Hasta 10Mbps</t>
  </si>
  <si>
    <t>Hasta 20Mbps</t>
  </si>
  <si>
    <t>&gt;Inserte el nombre del producto aquí&lt;</t>
  </si>
  <si>
    <t>De otros concesionarios</t>
  </si>
  <si>
    <t>subcategoría, especificar</t>
  </si>
  <si>
    <t>lmputaciones</t>
  </si>
  <si>
    <t>Acceso a Internet de Banda Ancha</t>
  </si>
  <si>
    <t>Total de lngresos e imputaciones</t>
  </si>
  <si>
    <t>Costos y Gastos Operativos</t>
  </si>
  <si>
    <t>Red</t>
  </si>
  <si>
    <t>Materiales</t>
  </si>
  <si>
    <t>Personal</t>
  </si>
  <si>
    <t>Operación, mantenimiento, rentas y servicios recibidos</t>
  </si>
  <si>
    <t>Depreciaclón</t>
  </si>
  <si>
    <t>Pagos a otras Redes</t>
  </si>
  <si>
    <t>Gastos comunes</t>
  </si>
  <si>
    <t>Gastos coumes</t>
  </si>
  <si>
    <t>Comunes</t>
  </si>
  <si>
    <t>Dirección, administración, financias y recursos humanos</t>
  </si>
  <si>
    <t>Depreciación</t>
  </si>
  <si>
    <t>Total de Costos y Gastos de Operación</t>
  </si>
  <si>
    <t>Utilidad de Operación</t>
  </si>
  <si>
    <t>Costo de capital</t>
  </si>
  <si>
    <t>Capital empleado</t>
  </si>
  <si>
    <t>Utilidad después de Costo de Capital</t>
  </si>
  <si>
    <t>2014/Sep</t>
  </si>
  <si>
    <t>Número de suscriptores - mayoristas</t>
  </si>
  <si>
    <t>TELÉFONOS DE MÉXICO - Consolidado Parcial</t>
  </si>
  <si>
    <t>Cifras en miles de pesos</t>
  </si>
  <si>
    <t>V.1 Estado de Resultados - Servicios Fijos Minoristas</t>
  </si>
  <si>
    <t>1) Acceso a la Red Telefónica Pública</t>
  </si>
  <si>
    <t>2) Servicios Telefónicos Locales</t>
  </si>
  <si>
    <t>3) Larga Distancia Nacional</t>
  </si>
  <si>
    <t>4) Larga Distancia Internacional</t>
  </si>
  <si>
    <t>5) Servicios de Telefonía Pública</t>
  </si>
  <si>
    <t>6) Servicio de Rural</t>
  </si>
  <si>
    <t>7) Líneas Dedicadas</t>
  </si>
  <si>
    <t>8) Comercialización y Mantenimiento de Cableado y Equipo Terminal</t>
  </si>
  <si>
    <t>9) Servicio de Internet (dial-up y banda ancha)</t>
  </si>
  <si>
    <t>10) Otros Servicios Fijos Minoristas</t>
  </si>
  <si>
    <t>V.4 Estado de Resultados - Servicios Fijos Mayoristas</t>
  </si>
  <si>
    <t>18) Originación de Llamadas</t>
  </si>
  <si>
    <t>19)Terminación de Llamadas</t>
  </si>
  <si>
    <t>20) Servicios de Tránsito</t>
  </si>
  <si>
    <t>21) Servicio de Acceso a la Red Telefónica Pública Conmutada</t>
  </si>
  <si>
    <t>22) Servicio de Acceso a Internet de Banda Ancha</t>
  </si>
  <si>
    <t>23) Líneas Dedicadas</t>
  </si>
  <si>
    <t>24) Otros Servicos Fijos Mayoristas</t>
  </si>
  <si>
    <t>Precios dentro de paquetes</t>
  </si>
  <si>
    <t>Services included within plans</t>
  </si>
  <si>
    <t>Servicios incluidos dentro de paquetes</t>
  </si>
  <si>
    <t>MXN</t>
  </si>
  <si>
    <t>Meses</t>
  </si>
  <si>
    <t>Renta mensual solamente por la línea</t>
  </si>
  <si>
    <t>Monthly price for the line only</t>
  </si>
  <si>
    <t>Line.rental.prices.within.plans</t>
  </si>
  <si>
    <t>Broadband.prices.within.plans</t>
  </si>
  <si>
    <t>Multiplicador por el uso promedio de servicios de voz "ilimitados" comparado con opción de voz individual</t>
  </si>
  <si>
    <t>Multiplier for the average use of “unlimited” voice services compared to individual voice options</t>
  </si>
  <si>
    <t>Unlimited.voice.multiplier</t>
  </si>
  <si>
    <t>Suscriptores - Sólo voz (PSTN)</t>
  </si>
  <si>
    <t>Subscriptions - voice only (PSTN)</t>
  </si>
  <si>
    <t>Líneas PSTN residenciales de Telmex - sólo voz</t>
  </si>
  <si>
    <t>Telmex residential PSTN lines - voice only</t>
  </si>
  <si>
    <t>Líneas PSTN no-residenciales de Telmex - sólo voz</t>
  </si>
  <si>
    <t>Telmex non-residential PSTN lines - voice only</t>
  </si>
  <si>
    <t>Número de conexiones DSL de Telmex/Telnor sin renta de línea</t>
  </si>
  <si>
    <t>Telmex/Telnor DSL connections without line rental</t>
  </si>
  <si>
    <t>Proporción de conexiones DSL de Telmex/Telnor sin renta de línea</t>
  </si>
  <si>
    <t>Proportion of Telmex/Telnor DSL connections without line rental</t>
  </si>
  <si>
    <t>Número de líneas total de Telmex/Telnor</t>
  </si>
  <si>
    <t xml:space="preserve">Total number of lines of Telmex/Telnor </t>
  </si>
  <si>
    <t>Telmex.PSTN.residential.lines.voice.only</t>
  </si>
  <si>
    <t>Telmex.PSTN.non.residential.lines.voice.only</t>
  </si>
  <si>
    <t>Residenciales con renta de línea - sólo voz</t>
  </si>
  <si>
    <t>Residential with line rental - voice only</t>
  </si>
  <si>
    <t>No-residenciales con renta de línea - sólo voz</t>
  </si>
  <si>
    <t>Non-residential with line rental - voice only</t>
  </si>
  <si>
    <t>Distribución de suscriptores - minoristas</t>
  </si>
  <si>
    <t>Distribution of retail subscribers</t>
  </si>
  <si>
    <t>Definición de "ilimitados/as" por servicios de voz</t>
  </si>
  <si>
    <t>Definition of "unlimited" for voice services</t>
  </si>
  <si>
    <t>Broadband.subscribers.selected</t>
  </si>
  <si>
    <t>Broadband.subscribers.Telmex</t>
  </si>
  <si>
    <t>Broadband.subscribers.Telmex.option</t>
  </si>
  <si>
    <t>Broadband.subscribers.supuesto.option</t>
  </si>
  <si>
    <t>Paquetes sin renta de línea</t>
  </si>
  <si>
    <t>Paquetes con velocidad de 3 Mbps</t>
  </si>
  <si>
    <t>Paquetes con velocidad de 5 Mbps</t>
  </si>
  <si>
    <t>Paquetes con velocidad de 10 Mbps</t>
  </si>
  <si>
    <t>Suscriptores - banda ancha (ADSL)</t>
  </si>
  <si>
    <t>Suscriptores - sólo voz (PSTN)</t>
  </si>
  <si>
    <t>Ingresos de banda ancha</t>
  </si>
  <si>
    <t>Broadband revenues</t>
  </si>
  <si>
    <t>Valor calculado aquí</t>
  </si>
  <si>
    <t>Ingresos de renta de línea</t>
  </si>
  <si>
    <t>Line rental revenues</t>
  </si>
  <si>
    <t>Proporción de líneas sólo voz que son o-residenciales</t>
  </si>
  <si>
    <t>Proportion of voice only lines which are non-residential</t>
  </si>
  <si>
    <t>Proportion.of.non.residential.voice.only.lines</t>
  </si>
  <si>
    <t>Broadband.subscribers.supuesto</t>
  </si>
  <si>
    <t>Renta de línea dentro de paquetes, sin IVA</t>
  </si>
  <si>
    <t>Line rental within plans, without IVA</t>
  </si>
  <si>
    <t>Adicional llamadas</t>
  </si>
  <si>
    <t>Top-up calls</t>
  </si>
  <si>
    <t>Banda ancha dentro de paquetes, sin IVA</t>
  </si>
  <si>
    <t>Broadband within plans, without VAT</t>
  </si>
  <si>
    <t>Banda ancha dentro de paquetes</t>
  </si>
  <si>
    <t>Broadband within plans</t>
  </si>
  <si>
    <t>Line rental within plans</t>
  </si>
  <si>
    <t>Renta de línea dentro de paquetes</t>
  </si>
  <si>
    <t>Precios minoristas (sin IVA)</t>
  </si>
  <si>
    <t>Retail prices (without VAT)</t>
  </si>
  <si>
    <t>Precios mayoristas por velocidad</t>
  </si>
  <si>
    <t>Wholesale prices by speed</t>
  </si>
  <si>
    <t>3 Mbps</t>
  </si>
  <si>
    <t>Distribución de paquetes</t>
  </si>
  <si>
    <t>Distributions of plans</t>
  </si>
  <si>
    <t>Promedio en el año seleccionado (2013)</t>
  </si>
  <si>
    <t>Year selected average (2013)</t>
  </si>
  <si>
    <t>Distribución de suscriptores minoristas de banda ancha</t>
  </si>
  <si>
    <t>Distribution of broadband retail subscribers</t>
  </si>
  <si>
    <t>Calcular los costos de los servicios de reventa de líneas (del inglés wholesale line rental o WLR) y de acceso indirecto al bucle local (SAIB, o bitstream)</t>
  </si>
  <si>
    <t>Year selected (2013)</t>
  </si>
  <si>
    <t>Year before year selected (2012)</t>
  </si>
  <si>
    <t>Telmex.DSL.subs.year.selected</t>
  </si>
  <si>
    <t>Telmex.DSL.subs.year.selected.minus.1</t>
  </si>
  <si>
    <t>Telmex.PSTN.residential.lines.voice.only.year.selected</t>
  </si>
  <si>
    <t>Telmex.PSTN.residential.lines.voice.only.year.selected.minus.1</t>
  </si>
  <si>
    <t>Telmex.PSTN.non.residential.lines.voice.only..year.selected</t>
  </si>
  <si>
    <t>Telmex.PSTN.non.residential.lines.voice.only..year.selected.minus.1</t>
  </si>
  <si>
    <t>Telmex.PSTN.lines.year.selected</t>
  </si>
  <si>
    <t>Telmex.PSTN.lines.year.selected.minus.1</t>
  </si>
  <si>
    <t>Telmex.DSL.subs.non.residential.year.selected</t>
  </si>
  <si>
    <t>Telmex.DSL.subs.non.residential.year.selected.minus.1</t>
  </si>
  <si>
    <t>Telmex.DSL.subs.residential.with.line.rental.year.selected</t>
  </si>
  <si>
    <t>Telmex.DSL.subs.residential.with.line.rental.year.selected.minus.1</t>
  </si>
  <si>
    <t>%</t>
  </si>
  <si>
    <t>Promedio descuento implícita</t>
  </si>
  <si>
    <t>Average implied discount</t>
  </si>
  <si>
    <t>Antes del descuento</t>
  </si>
  <si>
    <t>Before discount</t>
  </si>
  <si>
    <t>Después del descuento</t>
  </si>
  <si>
    <t>After discount</t>
  </si>
  <si>
    <t>Broadband.prices.within.plans.before.discount</t>
  </si>
  <si>
    <t>Descuento sobre precios minoristas</t>
  </si>
  <si>
    <t>Discount on retail prices</t>
  </si>
  <si>
    <t>Costo del descuento</t>
  </si>
  <si>
    <t>Cost of the discount</t>
  </si>
  <si>
    <t>Line.rental.prices.within.plans.before.discount</t>
  </si>
  <si>
    <t>Retail minus on line rental</t>
  </si>
  <si>
    <t>Retail minus on calls</t>
  </si>
  <si>
    <t>Retail.minus.additional.calls</t>
  </si>
  <si>
    <t>Telmex valor</t>
  </si>
  <si>
    <t>‘Reventa de línea (incluye 100 llamadas locales)’ minus ‘Adicional 100 llamadas locales’</t>
  </si>
  <si>
    <t>Modelo de costos de costos evitados WLR y bitsream</t>
  </si>
  <si>
    <t>Reventa de línea (no incluye ninguna llamada)</t>
  </si>
  <si>
    <t>Line rental (without any call)</t>
  </si>
  <si>
    <t>Line.rental.monthly.fee.business.before.IVA</t>
  </si>
  <si>
    <t>Retail.price.50.local.calls.residential</t>
  </si>
  <si>
    <t>Retail.price.100.local.calls.residential</t>
  </si>
  <si>
    <t>Retail.price.100.local.calls.business</t>
  </si>
  <si>
    <t>Hogar y negocio combinados</t>
  </si>
  <si>
    <t>Residential and business combined</t>
  </si>
  <si>
    <t>SAIB sin renta de línea 20 Mbps</t>
  </si>
  <si>
    <t>Bitstream without line rental 20 Mbps</t>
  </si>
  <si>
    <t>Reventa de línea con banda ancha 3 Mbps = SAIB con renta de línea 3 Mbps</t>
  </si>
  <si>
    <t>Reventa de línea con banda ancha 5 Mbps = SAIB con renta de línea 5 Mbps</t>
  </si>
  <si>
    <t>Reventa de línea con banda ancha 10 Mbps = SAIB con renta de línea 10 Mbps</t>
  </si>
  <si>
    <t>Reventa de línea con banda ancha 20 Mbps = SAIB con renta de línea 20 Mbps</t>
  </si>
  <si>
    <t>WLR with broadband 3 Mbps = Bitstream with line rental 3 Mbps</t>
  </si>
  <si>
    <t>WLR with broadband 5 Mbps = Bitstream with line rental 5 Mbps</t>
  </si>
  <si>
    <t>WLR with broadband 10 Mbps = Bitstream with line rental 10 Mbps</t>
  </si>
  <si>
    <t>WLR with broadband 20 Mbps = Bitstream with line rental 20 Mbps</t>
  </si>
  <si>
    <t>Modelo anonimizado - 30 Septiembre 2015</t>
  </si>
  <si>
    <t>Datos del AEP</t>
  </si>
  <si>
    <t>Caso base</t>
  </si>
  <si>
    <t>Distribución de suscriptores minoristas de banda ancha - supuesto</t>
  </si>
  <si>
    <t>Distribution of retail brodband subscribers subscribers - estimate</t>
  </si>
  <si>
    <t>Fuente: supuesto</t>
  </si>
  <si>
    <t>Fuente: Estimaciones basadas en la calibración del total de ingresos de banda ancha (excluyendo la renta de línea)</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</si>
</sst>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0%;[Red]\-#,##0.0%;0.0%;@_)"/>
    <numFmt numFmtId="188" formatCode="#,##0.000_);[Red]\-#,##0.000_);0.000_);@_)"/>
    <numFmt numFmtId="189" formatCode="#,##0_);[Red]\-#,##0_);\-_);@_)"/>
    <numFmt numFmtId="190" formatCode="_-[$€-2]* #,##0.00_-;\-[$€-2]* #,##0.00_-;_-[$€-2]* &quot;-&quot;??_-"/>
    <numFmt numFmtId="191" formatCode="_-* #,##0_-;\-* #,##0_-;_-* &quot;-&quot;??_-;_-@_-"/>
    <numFmt numFmtId="192" formatCode="#,##0.00000_ ;[Red]\-#,##0.00000\ "/>
    <numFmt numFmtId="193" formatCode="&quot;$&quot;#,##0"/>
    <numFmt numFmtId="194" formatCode="0.00\ &quot;años&quot;"/>
    <numFmt numFmtId="195" formatCode="_ * #,##0_ ;_ * \-#,##0_ ;_ * &quot;-&quot;_ ;_ @_ "/>
    <numFmt numFmtId="196" formatCode="_ * #,##0.00_ ;_ * \-#,##0.00_ ;_ * &quot;-&quot;??_ ;_ @_ "/>
    <numFmt numFmtId="197" formatCode="#,##0_);[Red]\(&quot;$&quot;#,##0\)"/>
    <numFmt numFmtId="198" formatCode="_(* #,##0.00_);_(* \(#,##0.00\);_(* &quot;-&quot;??_);_(@_)"/>
    <numFmt numFmtId="199" formatCode="&quot;$&quot;#,##0.00;[Red]&quot;$&quot;\-#,##0.00"/>
    <numFmt numFmtId="200" formatCode="&quot;$&quot;#,##0\ ;\(&quot;$&quot;#,##0\)"/>
    <numFmt numFmtId="201" formatCode="&quot;$&quot;#,##0.00_);\(&quot;$&quot;#,##0.00\)"/>
    <numFmt numFmtId="202" formatCode="_-* #,##0.00\ _F_-;\-* #,##0.00\ _F_-;_-* &quot;-&quot;??\ _F_-;_-@_-"/>
    <numFmt numFmtId="203" formatCode="#."/>
    <numFmt numFmtId="204" formatCode="0.00_);[Red]\(0.00\)"/>
    <numFmt numFmtId="205" formatCode="_([$€-2]* #,##0.00_);_([$€-2]* \(#,##0.00\);_([$€-2]* &quot;-&quot;??_)"/>
    <numFmt numFmtId="206" formatCode="_(* #,##0_);_(* \(#,##0\);_(* &quot;-&quot;_);_(@_)"/>
    <numFmt numFmtId="207" formatCode="#,##0.00\ &quot;Pts&quot;;[Red]\-#,##0.00\ &quot;Pts&quot;"/>
    <numFmt numFmtId="208" formatCode="General_)"/>
    <numFmt numFmtId="209" formatCode="#,###"/>
    <numFmt numFmtId="210" formatCode="_-* #,##0\ _D_M_-;\-* #,##0\ _D_M_-;_-* &quot;-&quot;\ _D_M_-;_-@_-"/>
    <numFmt numFmtId="211" formatCode="_-* #,##0.00\ _D_M_-;\-* #,##0.00\ _D_M_-;_-* &quot;-&quot;??\ _D_M_-;_-@_-"/>
    <numFmt numFmtId="212" formatCode="_-* #,##0.00\ _€_-;\-* #,##0.00\ _€_-;_-* &quot;-&quot;??\ _€_-;_-@_-"/>
    <numFmt numFmtId="213" formatCode="000\-000\-0000"/>
    <numFmt numFmtId="214" formatCode="_(&quot;$&quot;* #,##0_);_(&quot;$&quot;* \(#,##0\);_(&quot;$&quot;* &quot;-&quot;_);_(@_)"/>
    <numFmt numFmtId="215" formatCode="_(&quot;$&quot;* #,##0.00_);_(&quot;$&quot;* \(#,##0.00\);_(&quot;$&quot;* &quot;-&quot;??_);_(@_)"/>
    <numFmt numFmtId="216" formatCode="&quot;$&quot;#,##0_);[Red]\(&quot;$&quot;#,##0\)"/>
    <numFmt numFmtId="217" formatCode="&quot;$&quot;#,##0.00_);[Red]\(&quot;$&quot;#,##0.00\)"/>
    <numFmt numFmtId="218" formatCode="#,##0\ &quot;Pts&quot;;[Red]\-#,##0\ &quot;Pts&quot;"/>
    <numFmt numFmtId="219" formatCode="_-* #,##0\ _P_t_s_-;\-* #,##0\ _P_t_s_-;_-* &quot;-&quot;\ _P_t_s_-;_-@_-"/>
    <numFmt numFmtId="220" formatCode="0.00_)"/>
    <numFmt numFmtId="221" formatCode="&quot;L.&quot;\ #,##0.00;[Red]\-&quot;L.&quot;\ #,##0.00"/>
    <numFmt numFmtId="222" formatCode="0.0000"/>
    <numFmt numFmtId="223" formatCode="0.0%"/>
    <numFmt numFmtId="224" formatCode="#,##0.00\ &quot;Pts&quot;;\-#,##0.00\ &quot;Pts&quot;"/>
    <numFmt numFmtId="225" formatCode="#\ ##0.00"/>
    <numFmt numFmtId="226" formatCode="#,##0\ &quot;Pts&quot;;\-#,##0\ &quot;Pts&quot;"/>
    <numFmt numFmtId="227" formatCode="_-* #,##0\ &quot;Pts&quot;_-;\-* #,##0\ &quot;Pts&quot;_-;_-* &quot;-&quot;\ &quot;Pts&quot;_-;_-@_-"/>
    <numFmt numFmtId="228" formatCode="_-* #,##0\ _F_-;\-* #,##0\ _F_-;_-* &quot;-&quot;\ _F_-;_-@_-"/>
    <numFmt numFmtId="229" formatCode="#,###,;\(#,###,\)"/>
    <numFmt numFmtId="230" formatCode="yy"/>
    <numFmt numFmtId="231" formatCode="#,##0\ &quot;DM&quot;;[Red]\-#,##0\ &quot;DM&quot;"/>
    <numFmt numFmtId="232" formatCode="_-* #,##0.00\ &quot;F&quot;_-;\-* #,##0.00\ &quot;F&quot;_-;_-* &quot;-&quot;??\ &quot;F&quot;_-;_-@_-"/>
    <numFmt numFmtId="233" formatCode="#,##0.00;\(#,##0.00\)"/>
    <numFmt numFmtId="234" formatCode="_-* #,##0.0000_-;\-* #,##0.0000_-;_-* &quot;-&quot;??_-;_-@_-"/>
  </numFmts>
  <fonts count="132">
    <font>
      <sz val="9"/>
      <name val="Arial"/>
      <family val="2"/>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indexed="16"/>
      <name val="Arial"/>
      <family val="2"/>
    </font>
    <font>
      <i/>
      <sz val="9"/>
      <name val="Arial"/>
      <family val="2"/>
    </font>
    <font>
      <b/>
      <sz val="15"/>
      <color theme="3"/>
      <name val="Arial"/>
      <family val="2"/>
      <scheme val="minor"/>
    </font>
    <font>
      <b/>
      <sz val="13"/>
      <color theme="3"/>
      <name val="Arial"/>
      <family val="2"/>
      <scheme val="minor"/>
    </font>
    <font>
      <sz val="9"/>
      <color rgb="FFFF0000"/>
      <name val="Arial"/>
      <family val="2"/>
    </font>
    <font>
      <sz val="10"/>
      <name val="Arial"/>
      <family val="2"/>
    </font>
    <font>
      <u/>
      <sz val="9"/>
      <color theme="10"/>
      <name val="Arial"/>
      <family val="2"/>
    </font>
    <font>
      <sz val="12"/>
      <name val="Arial"/>
      <family val="2"/>
    </font>
    <font>
      <sz val="8"/>
      <color theme="1"/>
      <name val="Arial"/>
      <family val="2"/>
    </font>
    <font>
      <b/>
      <sz val="10"/>
      <name val="Times New Roman"/>
      <family val="1"/>
    </font>
    <font>
      <b/>
      <i/>
      <sz val="15"/>
      <color theme="3"/>
      <name val="Arial"/>
      <family val="2"/>
      <scheme val="minor"/>
    </font>
    <font>
      <sz val="9"/>
      <color indexed="16"/>
      <name val="Arial"/>
      <family val="2"/>
    </font>
    <font>
      <b/>
      <i/>
      <sz val="9"/>
      <name val="Arial"/>
      <family val="2"/>
    </font>
    <font>
      <b/>
      <i/>
      <sz val="14"/>
      <name val="Arial"/>
      <family val="2"/>
    </font>
    <font>
      <b/>
      <sz val="11"/>
      <color theme="3"/>
      <name val="Arial"/>
      <family val="2"/>
      <scheme val="minor"/>
    </font>
    <font>
      <sz val="10"/>
      <color theme="1"/>
      <name val="Arial"/>
      <family val="2"/>
    </font>
    <font>
      <b/>
      <sz val="11"/>
      <color theme="1"/>
      <name val="Arial"/>
      <family val="2"/>
      <scheme val="minor"/>
    </font>
    <font>
      <b/>
      <sz val="12"/>
      <color theme="1"/>
      <name val="Arial"/>
      <family val="2"/>
      <scheme val="minor"/>
    </font>
    <font>
      <b/>
      <sz val="14"/>
      <color theme="1"/>
      <name val="Arial"/>
      <family val="2"/>
      <scheme val="minor"/>
    </font>
    <font>
      <sz val="14"/>
      <name val="System"/>
      <family val="2"/>
    </font>
    <font>
      <sz val="10"/>
      <name val="Helv"/>
    </font>
    <font>
      <sz val="10"/>
      <name val="Helv"/>
      <charset val="204"/>
    </font>
    <font>
      <sz val="12"/>
      <name val="Times New Roman"/>
      <family val="1"/>
    </font>
    <font>
      <sz val="10"/>
      <color indexed="8"/>
      <name val="Arial"/>
      <family val="2"/>
    </font>
    <font>
      <sz val="10"/>
      <color indexed="9"/>
      <name val="Arial"/>
      <family val="2"/>
    </font>
    <font>
      <i/>
      <sz val="10"/>
      <color indexed="13"/>
      <name val="Arial"/>
      <family val="2"/>
    </font>
    <font>
      <sz val="10"/>
      <color indexed="13"/>
      <name val="Arial"/>
      <family val="2"/>
    </font>
    <font>
      <i/>
      <sz val="10"/>
      <name val="Arial"/>
      <family val="2"/>
    </font>
    <font>
      <sz val="10"/>
      <name val="MS Sans Serif"/>
      <family val="2"/>
    </font>
    <font>
      <sz val="11"/>
      <color indexed="8"/>
      <name val="Calibri"/>
      <family val="2"/>
    </font>
    <font>
      <sz val="8"/>
      <color indexed="8"/>
      <name val="Arial"/>
      <family val="2"/>
    </font>
    <font>
      <sz val="11"/>
      <color indexed="9"/>
      <name val="Calibri"/>
      <family val="2"/>
    </font>
    <font>
      <sz val="8"/>
      <color indexed="9"/>
      <name val="Arial"/>
      <family val="2"/>
    </font>
    <font>
      <sz val="12"/>
      <name val="Helv"/>
    </font>
    <font>
      <sz val="8"/>
      <name val="Tahoma"/>
      <family val="2"/>
    </font>
    <font>
      <sz val="10"/>
      <name val="Courier"/>
      <family val="3"/>
    </font>
    <font>
      <sz val="12"/>
      <name val="¹ÙÅÁÃ¼"/>
      <family val="1"/>
      <charset val="129"/>
    </font>
    <font>
      <sz val="11"/>
      <color indexed="20"/>
      <name val="Calibri"/>
      <family val="2"/>
    </font>
    <font>
      <sz val="10"/>
      <color indexed="20"/>
      <name val="Arial"/>
      <family val="2"/>
    </font>
    <font>
      <sz val="8"/>
      <name val="Verdana"/>
      <family val="2"/>
    </font>
    <font>
      <sz val="8"/>
      <color indexed="17"/>
      <name val="Arial"/>
      <family val="2"/>
    </font>
    <font>
      <sz val="11"/>
      <color indexed="17"/>
      <name val="Calibri"/>
      <family val="2"/>
    </font>
    <font>
      <sz val="12"/>
      <name val="±¼¸²Ã¼"/>
      <family val="3"/>
      <charset val="129"/>
    </font>
    <font>
      <b/>
      <sz val="1"/>
      <color indexed="8"/>
      <name val="Courier"/>
      <family val="3"/>
    </font>
    <font>
      <b/>
      <sz val="11"/>
      <color indexed="52"/>
      <name val="Calibri"/>
      <family val="2"/>
    </font>
    <font>
      <b/>
      <sz val="10"/>
      <color indexed="52"/>
      <name val="Arial"/>
      <family val="2"/>
    </font>
    <font>
      <b/>
      <sz val="8"/>
      <color indexed="52"/>
      <name val="Arial"/>
      <family val="2"/>
    </font>
    <font>
      <b/>
      <sz val="8"/>
      <color indexed="9"/>
      <name val="Arial"/>
      <family val="2"/>
    </font>
    <font>
      <b/>
      <sz val="11"/>
      <color indexed="9"/>
      <name val="Calibri"/>
      <family val="2"/>
    </font>
    <font>
      <sz val="8"/>
      <color indexed="52"/>
      <name val="Arial"/>
      <family val="2"/>
    </font>
    <font>
      <sz val="11"/>
      <color indexed="52"/>
      <name val="Calibri"/>
      <family val="2"/>
    </font>
    <font>
      <sz val="10"/>
      <name val="Century Schoolbook"/>
      <family val="1"/>
    </font>
    <font>
      <sz val="10"/>
      <name val="Times New Roman"/>
      <family val="1"/>
    </font>
    <font>
      <sz val="9"/>
      <name val="Times New Roman"/>
      <family val="1"/>
    </font>
    <font>
      <sz val="12"/>
      <color indexed="24"/>
      <name val="Arial"/>
      <family val="2"/>
    </font>
    <font>
      <sz val="5"/>
      <name val="Times New Roman"/>
      <family val="1"/>
    </font>
    <font>
      <sz val="10"/>
      <name val="FuturaA Bk BT"/>
    </font>
    <font>
      <sz val="1"/>
      <color indexed="8"/>
      <name val="Courier"/>
      <family val="3"/>
    </font>
    <font>
      <b/>
      <sz val="11"/>
      <color indexed="56"/>
      <name val="Arial"/>
      <family val="2"/>
    </font>
    <font>
      <b/>
      <sz val="11"/>
      <color indexed="56"/>
      <name val="Calibri"/>
      <family val="2"/>
    </font>
    <font>
      <b/>
      <sz val="11"/>
      <color indexed="8"/>
      <name val="Calibri"/>
      <family val="2"/>
    </font>
    <font>
      <sz val="8"/>
      <color indexed="62"/>
      <name val="Arial"/>
      <family val="2"/>
    </font>
    <font>
      <sz val="11"/>
      <color indexed="62"/>
      <name val="Calibri"/>
      <family val="2"/>
    </font>
    <font>
      <b/>
      <sz val="10"/>
      <name val="Arial"/>
      <family val="2"/>
    </font>
    <font>
      <i/>
      <sz val="11"/>
      <color indexed="23"/>
      <name val="Calibri"/>
      <family val="2"/>
    </font>
    <font>
      <i/>
      <sz val="10"/>
      <color indexed="23"/>
      <name val="Arial"/>
      <family val="2"/>
    </font>
    <font>
      <sz val="12"/>
      <name val="MS Sans Serif"/>
      <family val="2"/>
    </font>
    <font>
      <sz val="12"/>
      <name val="Futura Md BT"/>
    </font>
    <font>
      <u/>
      <sz val="12"/>
      <color indexed="36"/>
      <name val="Times New Roman"/>
      <family val="1"/>
    </font>
    <font>
      <b/>
      <sz val="8"/>
      <color indexed="9"/>
      <name val="Tahoma"/>
      <family val="2"/>
    </font>
    <font>
      <b/>
      <sz val="8"/>
      <color indexed="8"/>
      <name val="Tahoma"/>
      <family val="2"/>
    </font>
    <font>
      <b/>
      <u/>
      <sz val="8"/>
      <color indexed="8"/>
      <name val="Tahoma"/>
      <family val="2"/>
    </font>
    <font>
      <b/>
      <sz val="10"/>
      <name val="Ottawa"/>
    </font>
    <font>
      <b/>
      <sz val="15"/>
      <color indexed="56"/>
      <name val="Calibri"/>
      <family val="2"/>
    </font>
    <font>
      <b/>
      <sz val="15"/>
      <color indexed="56"/>
      <name val="Arial"/>
      <family val="2"/>
    </font>
    <font>
      <b/>
      <sz val="13"/>
      <color indexed="56"/>
      <name val="Calibri"/>
      <family val="2"/>
    </font>
    <font>
      <b/>
      <sz val="13"/>
      <color indexed="56"/>
      <name val="Arial"/>
      <family val="2"/>
    </font>
    <font>
      <u/>
      <sz val="10"/>
      <color theme="10"/>
      <name val="Arial"/>
      <family val="2"/>
    </font>
    <font>
      <u/>
      <sz val="10"/>
      <color indexed="12"/>
      <name val="Arial"/>
      <family val="2"/>
    </font>
    <font>
      <u/>
      <sz val="8"/>
      <color indexed="12"/>
      <name val="Arial"/>
      <family val="2"/>
    </font>
    <font>
      <sz val="8"/>
      <color indexed="20"/>
      <name val="Arial"/>
      <family val="2"/>
    </font>
    <font>
      <sz val="10"/>
      <color indexed="11"/>
      <name val="Helv"/>
    </font>
    <font>
      <sz val="8"/>
      <color theme="1"/>
      <name val="Arial"/>
      <family val="2"/>
      <scheme val="minor"/>
    </font>
    <font>
      <sz val="10"/>
      <color indexed="60"/>
      <name val="Arial"/>
      <family val="2"/>
    </font>
    <font>
      <sz val="8"/>
      <color indexed="60"/>
      <name val="Arial"/>
      <family val="2"/>
    </font>
    <font>
      <sz val="7"/>
      <name val="Small Fonts"/>
      <family val="2"/>
    </font>
    <font>
      <b/>
      <sz val="8"/>
      <color indexed="23"/>
      <name val="Verdana"/>
      <family val="2"/>
    </font>
    <font>
      <b/>
      <i/>
      <sz val="16"/>
      <name val="Helv"/>
    </font>
    <font>
      <sz val="12"/>
      <color indexed="8"/>
      <name val="EYInterstate Light"/>
      <family val="2"/>
    </font>
    <font>
      <sz val="12"/>
      <name val="Courier"/>
      <family val="3"/>
    </font>
    <font>
      <sz val="10"/>
      <name val="Bookman Old Style"/>
      <family val="1"/>
    </font>
    <font>
      <sz val="8"/>
      <color indexed="8"/>
      <name val="Calibri"/>
      <family val="2"/>
    </font>
    <font>
      <b/>
      <sz val="11"/>
      <color indexed="63"/>
      <name val="Calibri"/>
      <family val="2"/>
    </font>
    <font>
      <b/>
      <sz val="10"/>
      <color indexed="63"/>
      <name val="Arial"/>
      <family val="2"/>
    </font>
    <font>
      <b/>
      <sz val="10"/>
      <name val="Century Gothic"/>
      <family val="2"/>
    </font>
    <font>
      <sz val="12"/>
      <name val="Futura Md BT"/>
      <family val="2"/>
    </font>
    <font>
      <b/>
      <sz val="8"/>
      <name val="Helv"/>
    </font>
    <font>
      <b/>
      <sz val="10"/>
      <color indexed="8"/>
      <name val="Arial Narrow"/>
      <family val="2"/>
    </font>
    <font>
      <sz val="16"/>
      <color indexed="9"/>
      <name val="Tahoma"/>
      <family val="2"/>
    </font>
    <font>
      <b/>
      <sz val="10"/>
      <name val="MS Sans Serif"/>
      <family val="2"/>
    </font>
    <font>
      <b/>
      <sz val="8"/>
      <color indexed="63"/>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8"/>
      <name val="Arial Narrow"/>
      <family val="2"/>
    </font>
    <font>
      <sz val="9"/>
      <color indexed="8"/>
      <name val="Times New Roman"/>
      <family val="1"/>
    </font>
    <font>
      <sz val="11"/>
      <name val="Arial"/>
      <family val="2"/>
    </font>
    <font>
      <b/>
      <sz val="10"/>
      <color indexed="10"/>
      <name val="Helv"/>
    </font>
    <font>
      <sz val="8"/>
      <name val="Century Gothic"/>
      <family val="2"/>
    </font>
    <font>
      <sz val="8"/>
      <color indexed="10"/>
      <name val="Arial"/>
      <family val="2"/>
    </font>
    <font>
      <sz val="11"/>
      <color indexed="10"/>
      <name val="Calibri"/>
      <family val="2"/>
    </font>
    <font>
      <i/>
      <sz val="8"/>
      <color indexed="23"/>
      <name val="Arial"/>
      <family val="2"/>
    </font>
    <font>
      <sz val="10"/>
      <name val="Ottawa"/>
    </font>
    <font>
      <b/>
      <sz val="16"/>
      <color indexed="9"/>
      <name val="Tahoma"/>
      <family val="2"/>
    </font>
    <font>
      <b/>
      <sz val="18"/>
      <color indexed="56"/>
      <name val="Cambria"/>
      <family val="2"/>
    </font>
    <font>
      <b/>
      <sz val="18"/>
      <color indexed="62"/>
      <name val="Cambria"/>
      <family val="2"/>
    </font>
    <font>
      <b/>
      <sz val="8"/>
      <color indexed="8"/>
      <name val="Arial"/>
      <family val="2"/>
    </font>
    <font>
      <sz val="12"/>
      <color theme="1"/>
      <name val="Arial"/>
      <family val="2"/>
    </font>
    <font>
      <sz val="12"/>
      <color theme="1"/>
      <name val="Arial"/>
      <family val="2"/>
      <scheme val="minor"/>
    </font>
  </fonts>
  <fills count="73">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gray0625">
        <fgColor indexed="15"/>
      </patternFill>
    </fill>
    <fill>
      <patternFill patternType="solid">
        <fgColor rgb="FFFFFF00"/>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indexed="43"/>
        <bgColor indexed="4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9"/>
      </patternFill>
    </fill>
    <fill>
      <patternFill patternType="solid">
        <fgColor theme="9"/>
        <bgColor indexed="64"/>
      </patternFill>
    </fill>
    <fill>
      <patternFill patternType="solid">
        <fgColor theme="7" tint="0.59999389629810485"/>
        <bgColor indexed="15"/>
      </patternFill>
    </fill>
    <fill>
      <patternFill patternType="solid">
        <fgColor theme="3" tint="0.89999084444715716"/>
        <bgColor indexed="64"/>
      </patternFill>
    </fill>
  </fills>
  <borders count="59">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right/>
      <top/>
      <bottom style="thick">
        <color theme="4"/>
      </bottom>
      <diagonal/>
    </border>
    <border>
      <left/>
      <right/>
      <top/>
      <bottom style="thick">
        <color theme="4" tint="0.499984740745262"/>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style="medium">
        <color indexed="64"/>
      </bottom>
      <diagonal/>
    </border>
    <border>
      <left/>
      <right style="medium">
        <color indexed="64"/>
      </right>
      <top/>
      <bottom/>
      <diagonal/>
    </border>
    <border>
      <left style="thin">
        <color indexed="57"/>
      </left>
      <right style="thin">
        <color indexed="57"/>
      </right>
      <top/>
      <bottom/>
      <diagonal/>
    </border>
    <border>
      <left/>
      <right/>
      <top/>
      <bottom style="medium">
        <color theme="4" tint="0.39997558519241921"/>
      </bottom>
      <diagonal/>
    </border>
    <border>
      <left style="medium">
        <color auto="1"/>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auto="1"/>
      </left>
      <right style="thin">
        <color auto="1"/>
      </right>
      <top style="medium">
        <color auto="1"/>
      </top>
      <bottom/>
      <diagonal/>
    </border>
    <border>
      <left style="medium">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55"/>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hair">
        <color indexed="64"/>
      </top>
      <bottom style="hair">
        <color indexed="64"/>
      </bottom>
      <diagonal/>
    </border>
    <border>
      <left/>
      <right/>
      <top style="thin">
        <color indexed="62"/>
      </top>
      <bottom style="double">
        <color indexed="62"/>
      </bottom>
      <diagonal/>
    </border>
    <border>
      <left style="thin">
        <color auto="1"/>
      </left>
      <right style="medium">
        <color auto="1"/>
      </right>
      <top style="medium">
        <color auto="1"/>
      </top>
      <bottom/>
      <diagonal/>
    </border>
    <border>
      <left style="medium">
        <color indexed="64"/>
      </left>
      <right style="thin">
        <color indexed="64"/>
      </right>
      <top/>
      <bottom style="medium">
        <color indexed="64"/>
      </bottom>
      <diagonal/>
    </border>
    <border>
      <left style="dotted">
        <color indexed="57"/>
      </left>
      <right style="dotted">
        <color indexed="57"/>
      </right>
      <top style="dotted">
        <color indexed="57"/>
      </top>
      <bottom/>
      <diagonal/>
    </border>
    <border>
      <left style="dotted">
        <color indexed="57"/>
      </left>
      <right style="dotted">
        <color indexed="57"/>
      </right>
      <top/>
      <bottom style="dotted">
        <color indexed="57"/>
      </bottom>
      <diagonal/>
    </border>
    <border>
      <left/>
      <right style="thin">
        <color rgb="FF000000"/>
      </right>
      <top style="thin">
        <color rgb="FF000000"/>
      </top>
      <bottom style="thin">
        <color rgb="FF000000"/>
      </bottom>
      <diagonal/>
    </border>
  </borders>
  <cellStyleXfs count="2118">
    <xf numFmtId="0" fontId="0" fillId="0" borderId="0">
      <alignment vertical="center"/>
    </xf>
    <xf numFmtId="0" fontId="3" fillId="0" borderId="0" applyNumberFormat="0" applyAlignment="0">
      <alignment vertical="center"/>
    </xf>
    <xf numFmtId="167" fontId="9" fillId="0" borderId="0" applyNumberFormat="0" applyAlignment="0">
      <alignment vertical="center"/>
    </xf>
    <xf numFmtId="0" fontId="6" fillId="2" borderId="0" applyNumberFormat="0">
      <alignment horizontal="center" vertical="top" wrapText="1"/>
    </xf>
    <xf numFmtId="0" fontId="6" fillId="2" borderId="0" applyNumberFormat="0">
      <alignment horizontal="left" vertical="top" wrapText="1"/>
    </xf>
    <xf numFmtId="0" fontId="6" fillId="2" borderId="0" applyNumberFormat="0">
      <alignment horizontal="centerContinuous" vertical="top"/>
    </xf>
    <xf numFmtId="0" fontId="3" fillId="2" borderId="0" applyNumberFormat="0">
      <alignment horizontal="center" vertical="top" wrapText="1"/>
    </xf>
    <xf numFmtId="171" fontId="3" fillId="0" borderId="0" applyFont="0" applyFill="0" applyBorder="0" applyAlignment="0" applyProtection="0">
      <alignment vertical="center"/>
    </xf>
    <xf numFmtId="171" fontId="3" fillId="0" borderId="0">
      <alignment vertical="center"/>
    </xf>
    <xf numFmtId="172" fontId="3" fillId="0" borderId="0" applyFont="0" applyFill="0" applyBorder="0" applyAlignment="0" applyProtection="0">
      <alignment vertical="center"/>
    </xf>
    <xf numFmtId="177" fontId="3" fillId="0" borderId="0" applyFont="0" applyFill="0" applyBorder="0" applyAlignment="0" applyProtection="0">
      <alignment vertical="center"/>
    </xf>
    <xf numFmtId="178" fontId="3" fillId="0" borderId="0" applyFont="0" applyFill="0" applyBorder="0" applyAlignment="0" applyProtection="0">
      <alignment vertical="center"/>
    </xf>
    <xf numFmtId="175" fontId="3" fillId="0" borderId="0" applyFont="0" applyFill="0" applyBorder="0" applyAlignment="0" applyProtection="0">
      <alignment vertical="center"/>
    </xf>
    <xf numFmtId="176" fontId="3" fillId="0" borderId="0" applyFont="0" applyFill="0" applyBorder="0" applyAlignment="0" applyProtection="0">
      <alignment vertical="center"/>
    </xf>
    <xf numFmtId="173" fontId="3" fillId="0" borderId="0" applyFont="0" applyFill="0" applyBorder="0" applyAlignment="0" applyProtection="0">
      <alignment vertical="center"/>
    </xf>
    <xf numFmtId="174" fontId="3" fillId="0" borderId="0" applyFont="0" applyFill="0" applyBorder="0" applyAlignment="0" applyProtection="0">
      <alignment vertical="center"/>
    </xf>
    <xf numFmtId="183" fontId="3" fillId="0" borderId="0" applyFont="0" applyFill="0" applyBorder="0" applyAlignment="0" applyProtection="0">
      <alignment vertical="center"/>
    </xf>
    <xf numFmtId="184" fontId="3" fillId="0" borderId="0" applyFont="0" applyFill="0" applyBorder="0" applyAlignment="0" applyProtection="0">
      <alignment vertical="center"/>
    </xf>
    <xf numFmtId="181" fontId="3" fillId="0" borderId="0" applyFont="0" applyFill="0" applyBorder="0" applyAlignment="0" applyProtection="0">
      <alignment vertical="center"/>
    </xf>
    <xf numFmtId="182" fontId="3" fillId="0" borderId="0" applyFont="0" applyFill="0" applyBorder="0" applyAlignment="0" applyProtection="0">
      <alignment vertical="center"/>
    </xf>
    <xf numFmtId="179" fontId="3" fillId="0" borderId="0" applyFont="0" applyFill="0" applyBorder="0" applyAlignment="0" applyProtection="0">
      <alignment vertical="center"/>
    </xf>
    <xf numFmtId="180" fontId="3" fillId="0" borderId="0" applyFont="0" applyFill="0" applyBorder="0" applyAlignment="0" applyProtection="0">
      <alignment vertical="center"/>
    </xf>
    <xf numFmtId="170" fontId="3" fillId="0" borderId="0" applyFont="0" applyFill="0" applyBorder="0" applyAlignment="0" applyProtection="0">
      <alignment vertical="center"/>
    </xf>
    <xf numFmtId="185" fontId="3" fillId="0" borderId="0" applyFont="0" applyFill="0" applyBorder="0" applyAlignment="0" applyProtection="0">
      <alignment vertical="center"/>
    </xf>
    <xf numFmtId="186" fontId="3" fillId="0" borderId="0" applyFont="0" applyFill="0" applyBorder="0" applyAlignment="0" applyProtection="0">
      <alignment vertical="center"/>
    </xf>
    <xf numFmtId="0" fontId="7" fillId="2" borderId="0" applyNumberFormat="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horizontal="left" vertical="center"/>
    </xf>
    <xf numFmtId="0" fontId="6" fillId="0" borderId="0" applyNumberFormat="0" applyFill="0" applyBorder="0" applyAlignment="0" applyProtection="0">
      <alignment vertical="center"/>
    </xf>
    <xf numFmtId="0" fontId="13" fillId="0" borderId="7" applyNumberFormat="0" applyFill="0" applyAlignment="0" applyProtection="0"/>
    <xf numFmtId="0" fontId="14" fillId="0" borderId="8" applyNumberFormat="0" applyFill="0" applyAlignment="0" applyProtection="0"/>
    <xf numFmtId="0" fontId="3" fillId="3" borderId="0" applyNumberFormat="0" applyFont="0" applyBorder="0" applyAlignment="0" applyProtection="0">
      <alignment vertical="center"/>
    </xf>
    <xf numFmtId="0" fontId="3" fillId="0" borderId="1" applyNumberFormat="0" applyAlignment="0">
      <alignment vertical="center"/>
    </xf>
    <xf numFmtId="0" fontId="3" fillId="0" borderId="2" applyNumberFormat="0" applyAlignment="0">
      <alignment vertical="center"/>
      <protection locked="0"/>
    </xf>
    <xf numFmtId="166" fontId="3" fillId="4" borderId="2" applyNumberFormat="0" applyAlignment="0">
      <alignment vertical="center"/>
      <protection locked="0"/>
    </xf>
    <xf numFmtId="0" fontId="3" fillId="5" borderId="0" applyNumberFormat="0" applyAlignment="0">
      <alignment vertical="center"/>
    </xf>
    <xf numFmtId="0" fontId="3" fillId="6" borderId="0" applyNumberFormat="0" applyAlignment="0">
      <alignment vertical="center"/>
    </xf>
    <xf numFmtId="0" fontId="3" fillId="0" borderId="3" applyNumberFormat="0" applyAlignment="0">
      <alignment vertical="center"/>
      <protection locked="0"/>
    </xf>
    <xf numFmtId="0" fontId="11" fillId="0" borderId="0" applyNumberFormat="0" applyAlignment="0">
      <alignment vertical="center"/>
    </xf>
    <xf numFmtId="0" fontId="8" fillId="0" borderId="0" applyNumberFormat="0" applyFill="0" applyBorder="0" applyAlignment="0" applyProtection="0">
      <alignment vertical="center"/>
    </xf>
    <xf numFmtId="166" fontId="3" fillId="0" borderId="0" applyFont="0" applyFill="0" applyBorder="0" applyAlignment="0" applyProtection="0">
      <alignment vertical="center"/>
    </xf>
    <xf numFmtId="167" fontId="3" fillId="0" borderId="0" applyFont="0" applyFill="0" applyBorder="0" applyAlignment="0" applyProtection="0">
      <alignment vertical="center"/>
    </xf>
    <xf numFmtId="0" fontId="3" fillId="7" borderId="0" applyNumberFormat="0" applyFont="0" applyBorder="0" applyAlignment="0" applyProtection="0">
      <alignment vertical="center"/>
    </xf>
    <xf numFmtId="168" fontId="3" fillId="0" borderId="0" applyFont="0" applyFill="0" applyBorder="0" applyAlignment="0" applyProtection="0">
      <alignment horizontal="right" vertical="center"/>
    </xf>
    <xf numFmtId="169" fontId="3" fillId="0" borderId="0" applyFont="0" applyFill="0" applyBorder="0" applyAlignment="0" applyProtection="0">
      <alignment vertical="center"/>
    </xf>
    <xf numFmtId="0" fontId="6" fillId="0" borderId="0" applyNumberFormat="0" applyFill="0" applyBorder="0">
      <alignment horizontal="left" vertical="center" wrapText="1"/>
    </xf>
    <xf numFmtId="0" fontId="3" fillId="0" borderId="0" applyNumberFormat="0" applyFill="0" applyBorder="0">
      <alignment horizontal="left" vertical="center" wrapText="1" indent="1"/>
    </xf>
    <xf numFmtId="166" fontId="6" fillId="0" borderId="4" applyNumberFormat="0" applyFill="0" applyAlignment="0" applyProtection="0">
      <alignment vertical="center"/>
    </xf>
    <xf numFmtId="166" fontId="3" fillId="0" borderId="5" applyNumberFormat="0" applyFont="0" applyFill="0" applyAlignment="0" applyProtection="0">
      <alignment vertical="center"/>
    </xf>
    <xf numFmtId="0" fontId="3" fillId="8" borderId="0" applyNumberFormat="0" applyFont="0" applyBorder="0" applyAlignment="0" applyProtection="0">
      <alignment vertical="center"/>
    </xf>
    <xf numFmtId="0" fontId="3" fillId="0" borderId="0" applyNumberFormat="0" applyFont="0" applyFill="0" applyAlignment="0" applyProtection="0">
      <alignment vertical="center"/>
    </xf>
    <xf numFmtId="166" fontId="3" fillId="0" borderId="0" applyNumberFormat="0" applyFont="0" applyBorder="0" applyAlignment="0" applyProtection="0">
      <alignment vertical="center"/>
    </xf>
    <xf numFmtId="49" fontId="3" fillId="0" borderId="0" applyFont="0" applyFill="0" applyBorder="0" applyAlignment="0" applyProtection="0">
      <alignment horizontal="center" vertical="center"/>
    </xf>
    <xf numFmtId="166" fontId="6" fillId="0" borderId="0" applyNumberFormat="0" applyFill="0" applyBorder="0" applyAlignment="0" applyProtection="0">
      <alignment vertical="center"/>
    </xf>
    <xf numFmtId="166" fontId="6" fillId="2" borderId="0" applyNumberFormat="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Alignment="0" applyProtection="0">
      <alignment vertical="center"/>
    </xf>
    <xf numFmtId="0" fontId="17" fillId="0" borderId="0" applyNumberFormat="0" applyFill="0" applyBorder="0" applyAlignment="0" applyProtection="0">
      <alignment vertical="center"/>
    </xf>
    <xf numFmtId="0" fontId="16" fillId="0" borderId="0"/>
    <xf numFmtId="9" fontId="16" fillId="0" borderId="0" applyFont="0" applyFill="0" applyBorder="0" applyAlignment="0" applyProtection="0"/>
    <xf numFmtId="0" fontId="3" fillId="0" borderId="0">
      <alignment vertical="center"/>
    </xf>
    <xf numFmtId="0" fontId="3" fillId="0" borderId="2" applyNumberFormat="0" applyAlignment="0">
      <alignment vertical="center"/>
      <protection locked="0"/>
    </xf>
    <xf numFmtId="0" fontId="3" fillId="0" borderId="0"/>
    <xf numFmtId="0" fontId="20" fillId="9" borderId="13" applyNumberFormat="0" applyProtection="0">
      <alignment horizontal="center" vertical="center" wrapText="1"/>
    </xf>
    <xf numFmtId="0" fontId="3" fillId="0" borderId="0">
      <alignment vertical="center"/>
    </xf>
    <xf numFmtId="0" fontId="3" fillId="0" borderId="0">
      <alignment vertical="center"/>
    </xf>
    <xf numFmtId="0" fontId="20" fillId="9" borderId="14" applyNumberFormat="0" applyBorder="0" applyProtection="0">
      <alignment horizontal="left" wrapText="1"/>
    </xf>
    <xf numFmtId="0" fontId="25" fillId="0" borderId="16" applyNumberFormat="0" applyFill="0" applyAlignment="0" applyProtection="0"/>
    <xf numFmtId="43" fontId="3" fillId="0" borderId="0" applyFont="0" applyFill="0" applyBorder="0" applyAlignment="0" applyProtection="0"/>
    <xf numFmtId="0" fontId="1" fillId="0" borderId="0"/>
    <xf numFmtId="166" fontId="3" fillId="0" borderId="0" applyFont="0" applyFill="0" applyBorder="0" applyAlignment="0" applyProtection="0">
      <alignment vertical="center"/>
    </xf>
    <xf numFmtId="190" fontId="1" fillId="0" borderId="0"/>
    <xf numFmtId="43" fontId="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9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19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16" fillId="0" borderId="0"/>
    <xf numFmtId="0" fontId="32" fillId="0" borderId="0"/>
    <xf numFmtId="0" fontId="32" fillId="0" borderId="0"/>
    <xf numFmtId="0" fontId="32" fillId="0" borderId="0"/>
    <xf numFmtId="0" fontId="31" fillId="0" borderId="0"/>
    <xf numFmtId="0" fontId="16" fillId="0" borderId="0"/>
    <xf numFmtId="0" fontId="33" fillId="0" borderId="0"/>
    <xf numFmtId="0" fontId="32" fillId="0" borderId="0"/>
    <xf numFmtId="0" fontId="32" fillId="0" borderId="0"/>
    <xf numFmtId="0" fontId="31" fillId="0" borderId="0"/>
    <xf numFmtId="0" fontId="32" fillId="0" borderId="0"/>
    <xf numFmtId="190" fontId="16" fillId="0" borderId="0"/>
    <xf numFmtId="190" fontId="16" fillId="0" borderId="0"/>
    <xf numFmtId="190"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4" fillId="0" borderId="0">
      <alignment vertical="top"/>
    </xf>
    <xf numFmtId="190" fontId="31"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0" fontId="16" fillId="8" borderId="0"/>
    <xf numFmtId="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0" fontId="16" fillId="8" borderId="0"/>
    <xf numFmtId="190" fontId="35" fillId="16" borderId="0"/>
    <xf numFmtId="190" fontId="36" fillId="17" borderId="0"/>
    <xf numFmtId="190" fontId="37" fillId="18" borderId="0"/>
    <xf numFmtId="190" fontId="23" fillId="0" borderId="0"/>
    <xf numFmtId="190" fontId="6"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32" fillId="0" borderId="0"/>
    <xf numFmtId="0" fontId="32" fillId="0" borderId="0"/>
    <xf numFmtId="0" fontId="16" fillId="0" borderId="0"/>
    <xf numFmtId="0" fontId="16" fillId="0" borderId="0"/>
    <xf numFmtId="0" fontId="16" fillId="0" borderId="0"/>
    <xf numFmtId="0" fontId="16" fillId="0" borderId="0"/>
    <xf numFmtId="0" fontId="16" fillId="0" borderId="0"/>
    <xf numFmtId="190" fontId="16" fillId="0" borderId="0">
      <alignment vertical="top"/>
    </xf>
    <xf numFmtId="190" fontId="16" fillId="0" borderId="0">
      <alignment vertical="top"/>
    </xf>
    <xf numFmtId="0" fontId="32" fillId="0" borderId="0"/>
    <xf numFmtId="0" fontId="16" fillId="0" borderId="0"/>
    <xf numFmtId="0" fontId="16" fillId="0" borderId="0"/>
    <xf numFmtId="0" fontId="16" fillId="0" borderId="0"/>
    <xf numFmtId="0" fontId="16" fillId="0" borderId="0"/>
    <xf numFmtId="0" fontId="34" fillId="0" borderId="0">
      <alignment vertical="top"/>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4" fontId="16" fillId="19" borderId="0"/>
    <xf numFmtId="0" fontId="16" fillId="0" borderId="0"/>
    <xf numFmtId="0" fontId="16" fillId="0" borderId="0"/>
    <xf numFmtId="0" fontId="31" fillId="0" borderId="0"/>
    <xf numFmtId="0" fontId="16" fillId="0" borderId="0"/>
    <xf numFmtId="0" fontId="32" fillId="0" borderId="0"/>
    <xf numFmtId="0" fontId="34" fillId="0" borderId="0">
      <alignment vertical="top"/>
    </xf>
    <xf numFmtId="0" fontId="34" fillId="0" borderId="0">
      <alignment vertical="top"/>
    </xf>
    <xf numFmtId="0" fontId="34" fillId="0" borderId="0">
      <alignment vertical="top"/>
    </xf>
    <xf numFmtId="190" fontId="16" fillId="0" borderId="0"/>
    <xf numFmtId="190" fontId="16" fillId="0" borderId="0"/>
    <xf numFmtId="190" fontId="16" fillId="0" borderId="0"/>
    <xf numFmtId="0" fontId="34" fillId="0" borderId="0">
      <alignment vertical="top"/>
    </xf>
    <xf numFmtId="0" fontId="34" fillId="0" borderId="0">
      <alignment vertical="top"/>
    </xf>
    <xf numFmtId="0" fontId="16" fillId="0" borderId="0"/>
    <xf numFmtId="0" fontId="31" fillId="0" borderId="0"/>
    <xf numFmtId="0" fontId="34" fillId="0" borderId="0">
      <alignment vertical="top"/>
    </xf>
    <xf numFmtId="190" fontId="38" fillId="20" borderId="0"/>
    <xf numFmtId="0" fontId="16" fillId="0" borderId="0"/>
    <xf numFmtId="0" fontId="16" fillId="0" borderId="0"/>
    <xf numFmtId="0" fontId="16" fillId="0" borderId="0"/>
    <xf numFmtId="0" fontId="3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32"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applyNumberFormat="0" applyFill="0" applyBorder="0" applyAlignment="0" applyProtection="0"/>
    <xf numFmtId="0" fontId="16" fillId="0" borderId="0"/>
    <xf numFmtId="0" fontId="31" fillId="0" borderId="0"/>
    <xf numFmtId="0" fontId="34" fillId="0" borderId="0">
      <alignment vertical="top"/>
    </xf>
    <xf numFmtId="0" fontId="16" fillId="0" borderId="0"/>
    <xf numFmtId="0" fontId="16" fillId="0" borderId="0"/>
    <xf numFmtId="0" fontId="16" fillId="0" borderId="0"/>
    <xf numFmtId="0" fontId="16" fillId="0" borderId="0"/>
    <xf numFmtId="0" fontId="3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16" fillId="0" borderId="0"/>
    <xf numFmtId="190" fontId="31" fillId="0" borderId="0"/>
    <xf numFmtId="190" fontId="31" fillId="0" borderId="0"/>
    <xf numFmtId="0" fontId="34" fillId="0" borderId="0">
      <alignment vertical="top"/>
    </xf>
    <xf numFmtId="190" fontId="31" fillId="0" borderId="0"/>
    <xf numFmtId="0" fontId="31" fillId="0" borderId="0"/>
    <xf numFmtId="0" fontId="16" fillId="0" borderId="0"/>
    <xf numFmtId="0" fontId="16" fillId="0" borderId="0"/>
    <xf numFmtId="0" fontId="31" fillId="0" borderId="0"/>
    <xf numFmtId="0" fontId="16" fillId="0"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0" fontId="16" fillId="8" borderId="0"/>
    <xf numFmtId="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190" fontId="16" fillId="8" borderId="0"/>
    <xf numFmtId="0" fontId="16" fillId="8" borderId="0"/>
    <xf numFmtId="190" fontId="35" fillId="16" borderId="0"/>
    <xf numFmtId="190" fontId="36" fillId="17" borderId="0"/>
    <xf numFmtId="190" fontId="37" fillId="18" borderId="0"/>
    <xf numFmtId="190" fontId="23" fillId="0" borderId="0"/>
    <xf numFmtId="190" fontId="6"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32" fillId="0" borderId="0"/>
    <xf numFmtId="190" fontId="31" fillId="0" borderId="0"/>
    <xf numFmtId="190" fontId="31" fillId="0" borderId="0"/>
    <xf numFmtId="190" fontId="31" fillId="0" borderId="0"/>
    <xf numFmtId="0" fontId="31"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33" fillId="0" borderId="0" applyNumberFormat="0" applyFill="0" applyBorder="0" applyAlignment="0" applyProtection="0"/>
    <xf numFmtId="2" fontId="39" fillId="0" borderId="0"/>
    <xf numFmtId="2" fontId="39" fillId="0" borderId="0"/>
    <xf numFmtId="0" fontId="40" fillId="21" borderId="0" applyNumberFormat="0" applyBorder="0" applyAlignment="0" applyProtection="0"/>
    <xf numFmtId="0" fontId="34" fillId="21" borderId="0" applyNumberFormat="0" applyBorder="0" applyAlignment="0" applyProtection="0"/>
    <xf numFmtId="0" fontId="40" fillId="22" borderId="0" applyNumberFormat="0" applyBorder="0" applyAlignment="0" applyProtection="0"/>
    <xf numFmtId="0" fontId="34" fillId="22" borderId="0" applyNumberFormat="0" applyBorder="0" applyAlignment="0" applyProtection="0"/>
    <xf numFmtId="0" fontId="40" fillId="23" borderId="0" applyNumberFormat="0" applyBorder="0" applyAlignment="0" applyProtection="0"/>
    <xf numFmtId="0" fontId="34" fillId="23" borderId="0" applyNumberFormat="0" applyBorder="0" applyAlignment="0" applyProtection="0"/>
    <xf numFmtId="0" fontId="40" fillId="24" borderId="0" applyNumberFormat="0" applyBorder="0" applyAlignment="0" applyProtection="0"/>
    <xf numFmtId="0" fontId="34" fillId="24" borderId="0" applyNumberFormat="0" applyBorder="0" applyAlignment="0" applyProtection="0"/>
    <xf numFmtId="0" fontId="40" fillId="25" borderId="0" applyNumberFormat="0" applyBorder="0" applyAlignment="0" applyProtection="0"/>
    <xf numFmtId="0" fontId="34" fillId="25" borderId="0" applyNumberFormat="0" applyBorder="0" applyAlignment="0" applyProtection="0"/>
    <xf numFmtId="0" fontId="40" fillId="26" borderId="0" applyNumberFormat="0" applyBorder="0" applyAlignment="0" applyProtection="0"/>
    <xf numFmtId="0" fontId="34" fillId="26" borderId="0" applyNumberFormat="0" applyBorder="0" applyAlignment="0" applyProtection="0"/>
    <xf numFmtId="190" fontId="41" fillId="21" borderId="0" applyNumberFormat="0" applyBorder="0" applyAlignment="0" applyProtection="0"/>
    <xf numFmtId="0" fontId="40" fillId="21" borderId="0" applyNumberFormat="0" applyBorder="0" applyAlignment="0" applyProtection="0"/>
    <xf numFmtId="190" fontId="41" fillId="22" borderId="0" applyNumberFormat="0" applyBorder="0" applyAlignment="0" applyProtection="0"/>
    <xf numFmtId="0" fontId="40" fillId="22" borderId="0" applyNumberFormat="0" applyBorder="0" applyAlignment="0" applyProtection="0"/>
    <xf numFmtId="190" fontId="41" fillId="23" borderId="0" applyNumberFormat="0" applyBorder="0" applyAlignment="0" applyProtection="0"/>
    <xf numFmtId="0" fontId="40" fillId="23" borderId="0" applyNumberFormat="0" applyBorder="0" applyAlignment="0" applyProtection="0"/>
    <xf numFmtId="190" fontId="41" fillId="24" borderId="0" applyNumberFormat="0" applyBorder="0" applyAlignment="0" applyProtection="0"/>
    <xf numFmtId="0" fontId="40" fillId="24" borderId="0" applyNumberFormat="0" applyBorder="0" applyAlignment="0" applyProtection="0"/>
    <xf numFmtId="190" fontId="41" fillId="25" borderId="0" applyNumberFormat="0" applyBorder="0" applyAlignment="0" applyProtection="0"/>
    <xf numFmtId="0" fontId="40" fillId="25" borderId="0" applyNumberFormat="0" applyBorder="0" applyAlignment="0" applyProtection="0"/>
    <xf numFmtId="190" fontId="41"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34" fillId="27" borderId="0" applyNumberFormat="0" applyBorder="0" applyAlignment="0" applyProtection="0"/>
    <xf numFmtId="0" fontId="40" fillId="28" borderId="0" applyNumberFormat="0" applyBorder="0" applyAlignment="0" applyProtection="0"/>
    <xf numFmtId="0" fontId="34" fillId="28" borderId="0" applyNumberFormat="0" applyBorder="0" applyAlignment="0" applyProtection="0"/>
    <xf numFmtId="0" fontId="40" fillId="29" borderId="0" applyNumberFormat="0" applyBorder="0" applyAlignment="0" applyProtection="0"/>
    <xf numFmtId="0" fontId="34" fillId="29" borderId="0" applyNumberFormat="0" applyBorder="0" applyAlignment="0" applyProtection="0"/>
    <xf numFmtId="0" fontId="40" fillId="24" borderId="0" applyNumberFormat="0" applyBorder="0" applyAlignment="0" applyProtection="0"/>
    <xf numFmtId="0" fontId="34" fillId="24" borderId="0" applyNumberFormat="0" applyBorder="0" applyAlignment="0" applyProtection="0"/>
    <xf numFmtId="0" fontId="40" fillId="27" borderId="0" applyNumberFormat="0" applyBorder="0" applyAlignment="0" applyProtection="0"/>
    <xf numFmtId="0" fontId="34" fillId="27" borderId="0" applyNumberFormat="0" applyBorder="0" applyAlignment="0" applyProtection="0"/>
    <xf numFmtId="0" fontId="40" fillId="30" borderId="0" applyNumberFormat="0" applyBorder="0" applyAlignment="0" applyProtection="0"/>
    <xf numFmtId="0" fontId="34" fillId="30" borderId="0" applyNumberFormat="0" applyBorder="0" applyAlignment="0" applyProtection="0"/>
    <xf numFmtId="190" fontId="41" fillId="27" borderId="0" applyNumberFormat="0" applyBorder="0" applyAlignment="0" applyProtection="0"/>
    <xf numFmtId="0" fontId="40" fillId="27" borderId="0" applyNumberFormat="0" applyBorder="0" applyAlignment="0" applyProtection="0"/>
    <xf numFmtId="190" fontId="41" fillId="28" borderId="0" applyNumberFormat="0" applyBorder="0" applyAlignment="0" applyProtection="0"/>
    <xf numFmtId="0" fontId="40" fillId="28" borderId="0" applyNumberFormat="0" applyBorder="0" applyAlignment="0" applyProtection="0"/>
    <xf numFmtId="190" fontId="41" fillId="29" borderId="0" applyNumberFormat="0" applyBorder="0" applyAlignment="0" applyProtection="0"/>
    <xf numFmtId="0" fontId="40" fillId="29" borderId="0" applyNumberFormat="0" applyBorder="0" applyAlignment="0" applyProtection="0"/>
    <xf numFmtId="190" fontId="41" fillId="24" borderId="0" applyNumberFormat="0" applyBorder="0" applyAlignment="0" applyProtection="0"/>
    <xf numFmtId="0" fontId="40" fillId="24" borderId="0" applyNumberFormat="0" applyBorder="0" applyAlignment="0" applyProtection="0"/>
    <xf numFmtId="190" fontId="41" fillId="27" borderId="0" applyNumberFormat="0" applyBorder="0" applyAlignment="0" applyProtection="0"/>
    <xf numFmtId="0" fontId="40" fillId="27" borderId="0" applyNumberFormat="0" applyBorder="0" applyAlignment="0" applyProtection="0"/>
    <xf numFmtId="190" fontId="41" fillId="30" borderId="0" applyNumberFormat="0" applyBorder="0" applyAlignment="0" applyProtection="0"/>
    <xf numFmtId="0" fontId="40" fillId="30" borderId="0" applyNumberFormat="0" applyBorder="0" applyAlignment="0" applyProtection="0"/>
    <xf numFmtId="0" fontId="42" fillId="31" borderId="0" applyNumberFormat="0" applyBorder="0" applyAlignment="0" applyProtection="0"/>
    <xf numFmtId="0" fontId="35" fillId="31" borderId="0" applyNumberFormat="0" applyBorder="0" applyAlignment="0" applyProtection="0"/>
    <xf numFmtId="0" fontId="42" fillId="28" borderId="0" applyNumberFormat="0" applyBorder="0" applyAlignment="0" applyProtection="0"/>
    <xf numFmtId="0" fontId="35" fillId="28" borderId="0" applyNumberFormat="0" applyBorder="0" applyAlignment="0" applyProtection="0"/>
    <xf numFmtId="0" fontId="42" fillId="29" borderId="0" applyNumberFormat="0" applyBorder="0" applyAlignment="0" applyProtection="0"/>
    <xf numFmtId="0" fontId="35" fillId="29" borderId="0" applyNumberFormat="0" applyBorder="0" applyAlignment="0" applyProtection="0"/>
    <xf numFmtId="0" fontId="42" fillId="32" borderId="0" applyNumberFormat="0" applyBorder="0" applyAlignment="0" applyProtection="0"/>
    <xf numFmtId="0" fontId="35" fillId="32" borderId="0" applyNumberFormat="0" applyBorder="0" applyAlignment="0" applyProtection="0"/>
    <xf numFmtId="0" fontId="42" fillId="33" borderId="0" applyNumberFormat="0" applyBorder="0" applyAlignment="0" applyProtection="0"/>
    <xf numFmtId="0" fontId="35" fillId="33" borderId="0" applyNumberFormat="0" applyBorder="0" applyAlignment="0" applyProtection="0"/>
    <xf numFmtId="0" fontId="42" fillId="34" borderId="0" applyNumberFormat="0" applyBorder="0" applyAlignment="0" applyProtection="0"/>
    <xf numFmtId="0" fontId="35" fillId="34" borderId="0" applyNumberFormat="0" applyBorder="0" applyAlignment="0" applyProtection="0"/>
    <xf numFmtId="190" fontId="43" fillId="31" borderId="0" applyNumberFormat="0" applyBorder="0" applyAlignment="0" applyProtection="0"/>
    <xf numFmtId="0" fontId="42" fillId="31" borderId="0" applyNumberFormat="0" applyBorder="0" applyAlignment="0" applyProtection="0"/>
    <xf numFmtId="190" fontId="43" fillId="28" borderId="0" applyNumberFormat="0" applyBorder="0" applyAlignment="0" applyProtection="0"/>
    <xf numFmtId="0" fontId="42" fillId="28" borderId="0" applyNumberFormat="0" applyBorder="0" applyAlignment="0" applyProtection="0"/>
    <xf numFmtId="190" fontId="43" fillId="29" borderId="0" applyNumberFormat="0" applyBorder="0" applyAlignment="0" applyProtection="0"/>
    <xf numFmtId="0" fontId="42" fillId="29" borderId="0" applyNumberFormat="0" applyBorder="0" applyAlignment="0" applyProtection="0"/>
    <xf numFmtId="190" fontId="43" fillId="32" borderId="0" applyNumberFormat="0" applyBorder="0" applyAlignment="0" applyProtection="0"/>
    <xf numFmtId="0" fontId="42" fillId="32" borderId="0" applyNumberFormat="0" applyBorder="0" applyAlignment="0" applyProtection="0"/>
    <xf numFmtId="190" fontId="43" fillId="33" borderId="0" applyNumberFormat="0" applyBorder="0" applyAlignment="0" applyProtection="0"/>
    <xf numFmtId="0" fontId="42" fillId="33" borderId="0" applyNumberFormat="0" applyBorder="0" applyAlignment="0" applyProtection="0"/>
    <xf numFmtId="190" fontId="43" fillId="34" borderId="0" applyNumberFormat="0" applyBorder="0" applyAlignment="0" applyProtection="0"/>
    <xf numFmtId="0" fontId="42" fillId="34" borderId="0" applyNumberFormat="0" applyBorder="0" applyAlignment="0" applyProtection="0"/>
    <xf numFmtId="0" fontId="44" fillId="0" borderId="31" applyBorder="0"/>
    <xf numFmtId="0" fontId="42" fillId="35" borderId="0" applyNumberFormat="0" applyBorder="0" applyAlignment="0" applyProtection="0"/>
    <xf numFmtId="0" fontId="35" fillId="35" borderId="0" applyNumberFormat="0" applyBorder="0" applyAlignment="0" applyProtection="0"/>
    <xf numFmtId="0" fontId="42" fillId="36" borderId="0" applyNumberFormat="0" applyBorder="0" applyAlignment="0" applyProtection="0"/>
    <xf numFmtId="0" fontId="35" fillId="36" borderId="0" applyNumberFormat="0" applyBorder="0" applyAlignment="0" applyProtection="0"/>
    <xf numFmtId="0" fontId="42" fillId="37" borderId="0" applyNumberFormat="0" applyBorder="0" applyAlignment="0" applyProtection="0"/>
    <xf numFmtId="0" fontId="35" fillId="37" borderId="0" applyNumberFormat="0" applyBorder="0" applyAlignment="0" applyProtection="0"/>
    <xf numFmtId="0" fontId="42" fillId="32" borderId="0" applyNumberFormat="0" applyBorder="0" applyAlignment="0" applyProtection="0"/>
    <xf numFmtId="0" fontId="35" fillId="32" borderId="0" applyNumberFormat="0" applyBorder="0" applyAlignment="0" applyProtection="0"/>
    <xf numFmtId="0" fontId="42" fillId="33" borderId="0" applyNumberFormat="0" applyBorder="0" applyAlignment="0" applyProtection="0"/>
    <xf numFmtId="0" fontId="35" fillId="33" borderId="0" applyNumberFormat="0" applyBorder="0" applyAlignment="0" applyProtection="0"/>
    <xf numFmtId="0" fontId="42" fillId="38" borderId="0" applyNumberFormat="0" applyBorder="0" applyAlignment="0" applyProtection="0"/>
    <xf numFmtId="0" fontId="35" fillId="38" borderId="0" applyNumberFormat="0" applyBorder="0" applyAlignment="0" applyProtection="0"/>
    <xf numFmtId="190" fontId="8" fillId="0" borderId="0" applyNumberFormat="0" applyAlignment="0"/>
    <xf numFmtId="190" fontId="8" fillId="0" borderId="0" applyNumberFormat="0" applyAlignment="0"/>
    <xf numFmtId="193" fontId="45" fillId="39" borderId="32" applyFont="0" applyFill="0" applyBorder="0" applyProtection="0">
      <alignment vertical="center"/>
    </xf>
    <xf numFmtId="194" fontId="46" fillId="0" borderId="0"/>
    <xf numFmtId="194" fontId="46" fillId="0" borderId="0"/>
    <xf numFmtId="0" fontId="47" fillId="0" borderId="0"/>
    <xf numFmtId="195" fontId="47" fillId="0" borderId="0" applyFont="0" applyFill="0" applyBorder="0" applyAlignment="0" applyProtection="0"/>
    <xf numFmtId="196" fontId="47" fillId="0" borderId="0" applyFont="0" applyFill="0" applyBorder="0" applyAlignment="0" applyProtection="0"/>
    <xf numFmtId="190" fontId="16" fillId="40" borderId="0"/>
    <xf numFmtId="0" fontId="48" fillId="22" borderId="0" applyNumberFormat="0" applyBorder="0" applyAlignment="0" applyProtection="0"/>
    <xf numFmtId="0" fontId="49" fillId="22" borderId="0" applyNumberFormat="0" applyBorder="0" applyAlignment="0" applyProtection="0"/>
    <xf numFmtId="0" fontId="50" fillId="16" borderId="0" applyBorder="0">
      <alignment horizontal="left" vertical="center" indent="1"/>
    </xf>
    <xf numFmtId="190" fontId="51" fillId="23" borderId="0" applyNumberFormat="0" applyBorder="0" applyAlignment="0" applyProtection="0"/>
    <xf numFmtId="0" fontId="52" fillId="23" borderId="0" applyNumberFormat="0" applyBorder="0" applyAlignment="0" applyProtection="0"/>
    <xf numFmtId="0" fontId="53" fillId="0" borderId="0"/>
    <xf numFmtId="190" fontId="54" fillId="0" borderId="0">
      <protection locked="0"/>
    </xf>
    <xf numFmtId="190" fontId="54" fillId="0" borderId="0">
      <protection locked="0"/>
    </xf>
    <xf numFmtId="0" fontId="3" fillId="0" borderId="0" applyFill="0" applyBorder="0" applyAlignment="0"/>
    <xf numFmtId="0" fontId="3" fillId="0" borderId="0" applyFill="0" applyBorder="0" applyAlignment="0"/>
    <xf numFmtId="0" fontId="39" fillId="0" borderId="0" applyFill="0" applyBorder="0" applyAlignment="0"/>
    <xf numFmtId="0" fontId="16" fillId="0" borderId="0" applyFill="0" applyBorder="0" applyAlignment="0"/>
    <xf numFmtId="0" fontId="39"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5" fillId="40" borderId="33" applyNumberFormat="0" applyAlignment="0" applyProtection="0"/>
    <xf numFmtId="0" fontId="56" fillId="40" borderId="33" applyNumberFormat="0" applyAlignment="0" applyProtection="0"/>
    <xf numFmtId="190" fontId="57" fillId="40" borderId="33" applyNumberFormat="0" applyAlignment="0" applyProtection="0"/>
    <xf numFmtId="0" fontId="55" fillId="40" borderId="33" applyNumberFormat="0" applyAlignment="0" applyProtection="0"/>
    <xf numFmtId="190" fontId="58" fillId="41" borderId="34" applyNumberFormat="0" applyAlignment="0" applyProtection="0"/>
    <xf numFmtId="0" fontId="59" fillId="41" borderId="34" applyNumberFormat="0" applyAlignment="0" applyProtection="0"/>
    <xf numFmtId="190" fontId="60" fillId="0" borderId="35" applyNumberFormat="0" applyFill="0" applyAlignment="0" applyProtection="0"/>
    <xf numFmtId="0" fontId="61" fillId="0" borderId="35" applyNumberFormat="0" applyFill="0" applyAlignment="0" applyProtection="0"/>
    <xf numFmtId="0" fontId="59" fillId="41" borderId="34" applyNumberFormat="0" applyAlignment="0" applyProtection="0"/>
    <xf numFmtId="197" fontId="62" fillId="0" borderId="0"/>
    <xf numFmtId="197" fontId="62" fillId="0" borderId="0"/>
    <xf numFmtId="197" fontId="62" fillId="0" borderId="0"/>
    <xf numFmtId="197" fontId="62" fillId="0" borderId="0"/>
    <xf numFmtId="197" fontId="62" fillId="0" borderId="0"/>
    <xf numFmtId="197" fontId="62" fillId="0" borderId="0"/>
    <xf numFmtId="197" fontId="62" fillId="0" borderId="0"/>
    <xf numFmtId="197" fontId="62" fillId="0" borderId="0"/>
    <xf numFmtId="0" fontId="3"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198" fontId="16" fillId="0" borderId="0" applyFont="0" applyFill="0" applyBorder="0" applyAlignment="0" applyProtection="0"/>
    <xf numFmtId="198" fontId="16" fillId="0" borderId="0" applyFont="0" applyFill="0" applyBorder="0" applyAlignment="0" applyProtection="0"/>
    <xf numFmtId="41" fontId="16" fillId="0" borderId="0" applyFont="0" applyFill="0" applyBorder="0" applyAlignment="0" applyProtection="0"/>
    <xf numFmtId="41" fontId="34"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196" fontId="63"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43" fontId="16" fillId="0" borderId="0" applyFont="0" applyFill="0" applyBorder="0" applyAlignment="0" applyProtection="0"/>
    <xf numFmtId="41" fontId="34"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39" fillId="0" borderId="0" applyFont="0" applyFill="0" applyBorder="0" applyAlignment="0" applyProtection="0"/>
    <xf numFmtId="198" fontId="16" fillId="0" borderId="0" applyFont="0" applyFill="0" applyBorder="0" applyAlignment="0" applyProtection="0"/>
    <xf numFmtId="43" fontId="16" fillId="0" borderId="0" applyFont="0" applyFill="0" applyBorder="0" applyAlignment="0" applyProtection="0"/>
    <xf numFmtId="40" fontId="39" fillId="0" borderId="0" applyFont="0" applyFill="0" applyBorder="0" applyAlignment="0" applyProtection="0"/>
    <xf numFmtId="43" fontId="40" fillId="0" borderId="0" applyFont="0" applyFill="0" applyBorder="0" applyAlignment="0" applyProtection="0"/>
    <xf numFmtId="198" fontId="40" fillId="0" borderId="0" applyFont="0" applyFill="0" applyBorder="0" applyAlignment="0" applyProtection="0"/>
    <xf numFmtId="43" fontId="40"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40" fontId="39" fillId="0" borderId="0" applyFont="0" applyFill="0" applyBorder="0" applyAlignment="0" applyProtection="0"/>
    <xf numFmtId="3" fontId="65" fillId="0" borderId="0" applyFont="0" applyFill="0" applyBorder="0" applyAlignment="0" applyProtection="0"/>
    <xf numFmtId="0" fontId="3"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200" fontId="65" fillId="0" borderId="0" applyFont="0" applyFill="0" applyBorder="0" applyAlignment="0" applyProtection="0"/>
    <xf numFmtId="14" fontId="34" fillId="0" borderId="0" applyFill="0" applyBorder="0" applyAlignment="0"/>
    <xf numFmtId="201" fontId="16" fillId="0" borderId="0">
      <protection locked="0"/>
    </xf>
    <xf numFmtId="37" fontId="66" fillId="0" borderId="0" applyNumberFormat="0" applyFill="0" applyBorder="0" applyProtection="0"/>
    <xf numFmtId="38" fontId="39" fillId="0" borderId="36">
      <alignment vertical="center"/>
    </xf>
    <xf numFmtId="38" fontId="39" fillId="0" borderId="0" applyFont="0" applyFill="0" applyBorder="0" applyAlignment="0" applyProtection="0"/>
    <xf numFmtId="202" fontId="67" fillId="0" borderId="0" applyFont="0" applyFill="0" applyBorder="0" applyAlignment="0" applyProtection="0"/>
    <xf numFmtId="0" fontId="68" fillId="0" borderId="0">
      <protection locked="0"/>
    </xf>
    <xf numFmtId="190" fontId="16" fillId="0" borderId="0"/>
    <xf numFmtId="0" fontId="16" fillId="0" borderId="0"/>
    <xf numFmtId="203" fontId="54" fillId="0" borderId="0">
      <protection locked="0"/>
    </xf>
    <xf numFmtId="203" fontId="54" fillId="0" borderId="0">
      <protection locked="0"/>
    </xf>
    <xf numFmtId="190" fontId="69" fillId="0" borderId="0" applyNumberFormat="0" applyFill="0" applyBorder="0" applyAlignment="0" applyProtection="0"/>
    <xf numFmtId="0" fontId="70" fillId="0" borderId="0" applyNumberFormat="0" applyFill="0" applyBorder="0" applyAlignment="0" applyProtection="0"/>
    <xf numFmtId="190" fontId="71" fillId="42" borderId="0" applyNumberFormat="0" applyBorder="0" applyAlignment="0" applyProtection="0"/>
    <xf numFmtId="190" fontId="71" fillId="43" borderId="0" applyNumberFormat="0" applyBorder="0" applyAlignment="0" applyProtection="0"/>
    <xf numFmtId="190" fontId="71" fillId="44" borderId="0" applyNumberFormat="0" applyBorder="0" applyAlignment="0" applyProtection="0"/>
    <xf numFmtId="190" fontId="40" fillId="45" borderId="0" applyNumberFormat="0" applyBorder="0" applyAlignment="0" applyProtection="0"/>
    <xf numFmtId="190" fontId="40" fillId="45" borderId="0" applyNumberFormat="0" applyBorder="0" applyAlignment="0" applyProtection="0"/>
    <xf numFmtId="190" fontId="42" fillId="46" borderId="0" applyNumberFormat="0" applyBorder="0" applyAlignment="0" applyProtection="0"/>
    <xf numFmtId="190" fontId="43" fillId="35" borderId="0" applyNumberFormat="0" applyBorder="0" applyAlignment="0" applyProtection="0"/>
    <xf numFmtId="0" fontId="42" fillId="35" borderId="0" applyNumberFormat="0" applyBorder="0" applyAlignment="0" applyProtection="0"/>
    <xf numFmtId="190" fontId="40" fillId="47" borderId="0" applyNumberFormat="0" applyBorder="0" applyAlignment="0" applyProtection="0"/>
    <xf numFmtId="190" fontId="40" fillId="48" borderId="0" applyNumberFormat="0" applyBorder="0" applyAlignment="0" applyProtection="0"/>
    <xf numFmtId="190" fontId="42" fillId="49" borderId="0" applyNumberFormat="0" applyBorder="0" applyAlignment="0" applyProtection="0"/>
    <xf numFmtId="190" fontId="43" fillId="36" borderId="0" applyNumberFormat="0" applyBorder="0" applyAlignment="0" applyProtection="0"/>
    <xf numFmtId="0" fontId="42" fillId="36" borderId="0" applyNumberFormat="0" applyBorder="0" applyAlignment="0" applyProtection="0"/>
    <xf numFmtId="190" fontId="40" fillId="47" borderId="0" applyNumberFormat="0" applyBorder="0" applyAlignment="0" applyProtection="0"/>
    <xf numFmtId="190" fontId="40" fillId="50" borderId="0" applyNumberFormat="0" applyBorder="0" applyAlignment="0" applyProtection="0"/>
    <xf numFmtId="190" fontId="42" fillId="48" borderId="0" applyNumberFormat="0" applyBorder="0" applyAlignment="0" applyProtection="0"/>
    <xf numFmtId="190" fontId="43" fillId="37" borderId="0" applyNumberFormat="0" applyBorder="0" applyAlignment="0" applyProtection="0"/>
    <xf numFmtId="0" fontId="42" fillId="37" borderId="0" applyNumberFormat="0" applyBorder="0" applyAlignment="0" applyProtection="0"/>
    <xf numFmtId="190" fontId="40" fillId="45" borderId="0" applyNumberFormat="0" applyBorder="0" applyAlignment="0" applyProtection="0"/>
    <xf numFmtId="190" fontId="40" fillId="48" borderId="0" applyNumberFormat="0" applyBorder="0" applyAlignment="0" applyProtection="0"/>
    <xf numFmtId="190" fontId="42" fillId="48" borderId="0" applyNumberFormat="0" applyBorder="0" applyAlignment="0" applyProtection="0"/>
    <xf numFmtId="190" fontId="43" fillId="32" borderId="0" applyNumberFormat="0" applyBorder="0" applyAlignment="0" applyProtection="0"/>
    <xf numFmtId="0" fontId="42" fillId="32" borderId="0" applyNumberFormat="0" applyBorder="0" applyAlignment="0" applyProtection="0"/>
    <xf numFmtId="190" fontId="40" fillId="51" borderId="0" applyNumberFormat="0" applyBorder="0" applyAlignment="0" applyProtection="0"/>
    <xf numFmtId="190" fontId="40" fillId="45" borderId="0" applyNumberFormat="0" applyBorder="0" applyAlignment="0" applyProtection="0"/>
    <xf numFmtId="190" fontId="42" fillId="46" borderId="0" applyNumberFormat="0" applyBorder="0" applyAlignment="0" applyProtection="0"/>
    <xf numFmtId="190" fontId="43" fillId="33" borderId="0" applyNumberFormat="0" applyBorder="0" applyAlignment="0" applyProtection="0"/>
    <xf numFmtId="0" fontId="42" fillId="33" borderId="0" applyNumberFormat="0" applyBorder="0" applyAlignment="0" applyProtection="0"/>
    <xf numFmtId="190" fontId="40" fillId="47" borderId="0" applyNumberFormat="0" applyBorder="0" applyAlignment="0" applyProtection="0"/>
    <xf numFmtId="190" fontId="40" fillId="52" borderId="0" applyNumberFormat="0" applyBorder="0" applyAlignment="0" applyProtection="0"/>
    <xf numFmtId="190" fontId="42" fillId="52" borderId="0" applyNumberFormat="0" applyBorder="0" applyAlignment="0" applyProtection="0"/>
    <xf numFmtId="190" fontId="43" fillId="38" borderId="0" applyNumberFormat="0" applyBorder="0" applyAlignment="0" applyProtection="0"/>
    <xf numFmtId="0" fontId="42" fillId="3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0" fontId="72" fillId="26" borderId="33" applyNumberFormat="0" applyAlignment="0" applyProtection="0"/>
    <xf numFmtId="0" fontId="73" fillId="26" borderId="33" applyNumberFormat="0" applyAlignment="0" applyProtection="0"/>
    <xf numFmtId="190" fontId="16" fillId="0" borderId="0"/>
    <xf numFmtId="0" fontId="16" fillId="0" borderId="0"/>
    <xf numFmtId="0" fontId="16" fillId="0" borderId="0"/>
    <xf numFmtId="0" fontId="16" fillId="0" borderId="0"/>
    <xf numFmtId="0" fontId="32" fillId="0" borderId="0"/>
    <xf numFmtId="0" fontId="39"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31" fillId="0" borderId="0"/>
    <xf numFmtId="0" fontId="32"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31"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xf numFmtId="190" fontId="16" fillId="0" borderId="0" applyFont="0" applyFill="0" applyBorder="0" applyAlignment="0" applyProtection="0"/>
    <xf numFmtId="204" fontId="16"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190" fontId="63" fillId="0" borderId="0" applyFont="0" applyFill="0" applyBorder="0" applyAlignment="0" applyProtection="0"/>
    <xf numFmtId="190" fontId="16" fillId="0" borderId="0" applyFont="0" applyFill="0" applyBorder="0" applyAlignment="0" applyProtection="0"/>
    <xf numFmtId="190" fontId="16" fillId="0" borderId="0" applyFont="0" applyFill="0" applyBorder="0" applyAlignment="0" applyProtection="0"/>
    <xf numFmtId="205" fontId="16" fillId="0" borderId="0" applyFont="0" applyFill="0" applyBorder="0" applyAlignment="0" applyProtection="0"/>
    <xf numFmtId="206" fontId="16"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90" fontId="68" fillId="0" borderId="0">
      <protection locked="0"/>
    </xf>
    <xf numFmtId="14" fontId="77" fillId="0" borderId="37" applyNumberFormat="0">
      <alignment horizontal="center" vertical="center"/>
    </xf>
    <xf numFmtId="207" fontId="78" fillId="0" borderId="0">
      <protection locked="0"/>
    </xf>
    <xf numFmtId="4" fontId="68" fillId="0" borderId="0">
      <protection locked="0"/>
    </xf>
    <xf numFmtId="2" fontId="65" fillId="0" borderId="0" applyFont="0" applyFill="0" applyBorder="0" applyAlignment="0" applyProtection="0"/>
    <xf numFmtId="0" fontId="79" fillId="0" borderId="0" applyNumberFormat="0" applyFill="0" applyBorder="0" applyAlignment="0" applyProtection="0">
      <alignment vertical="top"/>
      <protection locked="0"/>
    </xf>
    <xf numFmtId="0" fontId="52" fillId="23" borderId="0" applyNumberFormat="0" applyBorder="0" applyAlignment="0" applyProtection="0"/>
    <xf numFmtId="38" fontId="8" fillId="8" borderId="0" applyNumberFormat="0" applyBorder="0" applyAlignment="0" applyProtection="0"/>
    <xf numFmtId="38" fontId="8" fillId="8" borderId="0" applyNumberFormat="0" applyBorder="0" applyAlignment="0" applyProtection="0"/>
    <xf numFmtId="193" fontId="80" fillId="53" borderId="38" applyBorder="0" applyAlignment="0">
      <alignment horizontal="left" vertical="center" indent="1"/>
    </xf>
    <xf numFmtId="193" fontId="81" fillId="8" borderId="39" applyBorder="0">
      <alignment horizontal="left" vertical="center" indent="1"/>
    </xf>
    <xf numFmtId="37" fontId="80" fillId="53" borderId="38" applyBorder="0">
      <alignment horizontal="left" vertical="center" indent="1"/>
    </xf>
    <xf numFmtId="190" fontId="2" fillId="0" borderId="40" applyNumberFormat="0" applyAlignment="0" applyProtection="0">
      <alignment horizontal="left" vertical="center"/>
    </xf>
    <xf numFmtId="190" fontId="2" fillId="0" borderId="41">
      <alignment horizontal="left" vertical="center"/>
    </xf>
    <xf numFmtId="0" fontId="81" fillId="0" borderId="13" applyNumberFormat="0" applyFill="0">
      <alignment horizontal="centerContinuous" vertical="top"/>
    </xf>
    <xf numFmtId="0" fontId="82" fillId="39" borderId="42" applyNumberFormat="0" applyBorder="0">
      <alignment horizontal="left" vertical="center" indent="1"/>
    </xf>
    <xf numFmtId="0" fontId="83" fillId="0" borderId="43"/>
    <xf numFmtId="0" fontId="84" fillId="0" borderId="44" applyNumberFormat="0" applyFill="0" applyAlignment="0" applyProtection="0"/>
    <xf numFmtId="0" fontId="85" fillId="0" borderId="44" applyNumberFormat="0" applyFill="0" applyAlignment="0" applyProtection="0"/>
    <xf numFmtId="0" fontId="86" fillId="0" borderId="45" applyNumberFormat="0" applyFill="0" applyAlignment="0" applyProtection="0"/>
    <xf numFmtId="0" fontId="87" fillId="0" borderId="45" applyNumberFormat="0" applyFill="0" applyAlignment="0" applyProtection="0"/>
    <xf numFmtId="0" fontId="70" fillId="0" borderId="46" applyNumberFormat="0" applyFill="0" applyAlignment="0" applyProtection="0"/>
    <xf numFmtId="0" fontId="69" fillId="0" borderId="46" applyNumberFormat="0" applyFill="0" applyAlignment="0" applyProtection="0"/>
    <xf numFmtId="0" fontId="70" fillId="0" borderId="0" applyNumberFormat="0" applyFill="0" applyBorder="0" applyAlignment="0" applyProtection="0"/>
    <xf numFmtId="203" fontId="54" fillId="0" borderId="0">
      <protection locked="0"/>
    </xf>
    <xf numFmtId="203" fontId="54" fillId="0" borderId="0">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ont="0" applyFill="0" applyBorder="0" applyAlignment="0" applyProtection="0">
      <alignment vertical="top"/>
      <protection locked="0"/>
    </xf>
    <xf numFmtId="190" fontId="91" fillId="22" borderId="0" applyNumberFormat="0" applyBorder="0" applyAlignment="0" applyProtection="0"/>
    <xf numFmtId="0" fontId="48" fillId="22" borderId="0" applyNumberFormat="0" applyBorder="0" applyAlignment="0" applyProtection="0"/>
    <xf numFmtId="10" fontId="8" fillId="19" borderId="43" applyNumberFormat="0" applyBorder="0" applyAlignment="0" applyProtection="0"/>
    <xf numFmtId="10" fontId="8" fillId="19" borderId="43" applyNumberFormat="0" applyBorder="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0" fontId="73" fillId="26" borderId="33" applyNumberFormat="0" applyAlignment="0" applyProtection="0"/>
    <xf numFmtId="208" fontId="33" fillId="0" borderId="47"/>
    <xf numFmtId="208" fontId="33" fillId="0" borderId="47"/>
    <xf numFmtId="208" fontId="33" fillId="0" borderId="47"/>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1" fillId="0" borderId="35" applyNumberFormat="0" applyFill="0" applyAlignment="0" applyProtection="0"/>
    <xf numFmtId="0" fontId="77" fillId="0" borderId="37">
      <alignment horizontal="center" vertical="center"/>
    </xf>
    <xf numFmtId="209" fontId="92" fillId="0" borderId="48" applyNumberFormat="0" applyFill="0" applyBorder="0" applyAlignment="0" applyProtection="0">
      <alignment horizontal="center"/>
    </xf>
    <xf numFmtId="210" fontId="67" fillId="0" borderId="0" applyFont="0" applyFill="0" applyBorder="0" applyAlignment="0" applyProtection="0"/>
    <xf numFmtId="211" fontId="67" fillId="0" borderId="0" applyFont="0" applyFill="0" applyBorder="0" applyAlignment="0" applyProtection="0"/>
    <xf numFmtId="206" fontId="8" fillId="0" borderId="0" applyFont="0" applyFill="0" applyBorder="0" applyAlignment="0" applyProtection="0"/>
    <xf numFmtId="198"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98" fontId="8" fillId="0" borderId="0" applyFont="0" applyFill="0" applyBorder="0" applyAlignment="0" applyProtection="0"/>
    <xf numFmtId="198" fontId="16" fillId="0" borderId="0" applyFont="0" applyFill="0" applyBorder="0" applyAlignment="0" applyProtection="0"/>
    <xf numFmtId="40" fontId="39" fillId="0" borderId="0" applyFont="0" applyFill="0" applyBorder="0" applyAlignment="0" applyProtection="0"/>
    <xf numFmtId="212" fontId="1" fillId="0" borderId="0" applyFont="0" applyFill="0" applyBorder="0" applyAlignment="0" applyProtection="0"/>
    <xf numFmtId="198" fontId="16" fillId="0" borderId="0" applyFont="0" applyFill="0" applyBorder="0" applyAlignment="0" applyProtection="0"/>
    <xf numFmtId="43" fontId="93" fillId="0" borderId="0" applyFont="0" applyFill="0" applyBorder="0" applyAlignment="0" applyProtection="0"/>
    <xf numFmtId="38" fontId="39" fillId="0" borderId="0" applyFont="0" applyFill="0" applyBorder="0" applyAlignment="0" applyProtection="0"/>
    <xf numFmtId="40" fontId="39" fillId="0" borderId="0" applyFont="0" applyFill="0" applyBorder="0" applyAlignment="0" applyProtection="0"/>
    <xf numFmtId="213" fontId="77" fillId="0" borderId="37">
      <alignment horizontal="center" vertical="center"/>
    </xf>
    <xf numFmtId="214" fontId="16" fillId="0" borderId="0" applyFont="0" applyFill="0" applyBorder="0" applyAlignment="0" applyProtection="0"/>
    <xf numFmtId="215" fontId="16" fillId="0" borderId="0" applyFont="0" applyFill="0" applyBorder="0" applyAlignment="0" applyProtection="0"/>
    <xf numFmtId="215" fontId="8" fillId="0" borderId="0" applyFont="0" applyFill="0" applyBorder="0" applyAlignment="0" applyProtection="0"/>
    <xf numFmtId="44" fontId="16" fillId="0" borderId="0" applyFont="0" applyFill="0" applyBorder="0" applyAlignment="0" applyProtection="0"/>
    <xf numFmtId="216" fontId="39" fillId="0" borderId="0" applyFont="0" applyFill="0" applyBorder="0" applyAlignment="0" applyProtection="0"/>
    <xf numFmtId="217" fontId="39" fillId="0" borderId="0" applyFont="0" applyFill="0" applyBorder="0" applyAlignment="0" applyProtection="0"/>
    <xf numFmtId="218" fontId="78" fillId="0" borderId="0">
      <protection locked="0"/>
    </xf>
    <xf numFmtId="219" fontId="78" fillId="0" borderId="0">
      <protection locked="0"/>
    </xf>
    <xf numFmtId="6" fontId="39" fillId="0" borderId="0" applyFont="0" applyFill="0" applyBorder="0" applyAlignment="0" applyProtection="0"/>
    <xf numFmtId="8" fontId="39" fillId="0" borderId="0" applyFont="0" applyFill="0" applyBorder="0" applyAlignment="0" applyProtection="0"/>
    <xf numFmtId="190" fontId="94" fillId="54" borderId="0" applyNumberFormat="0" applyBorder="0" applyAlignment="0" applyProtection="0"/>
    <xf numFmtId="190" fontId="95" fillId="54" borderId="0" applyNumberFormat="0" applyBorder="0" applyAlignment="0" applyProtection="0"/>
    <xf numFmtId="37" fontId="96" fillId="0" borderId="0"/>
    <xf numFmtId="0" fontId="46" fillId="0" borderId="0"/>
    <xf numFmtId="0" fontId="97" fillId="8" borderId="0">
      <alignment horizontal="left" indent="1"/>
    </xf>
    <xf numFmtId="220" fontId="98" fillId="0" borderId="0"/>
    <xf numFmtId="220" fontId="98" fillId="0" borderId="0"/>
    <xf numFmtId="221" fontId="16" fillId="0" borderId="0"/>
    <xf numFmtId="221" fontId="16" fillId="0" borderId="0"/>
    <xf numFmtId="221" fontId="16" fillId="0" borderId="0"/>
    <xf numFmtId="190" fontId="1" fillId="0" borderId="0"/>
    <xf numFmtId="0" fontId="16" fillId="0" borderId="0"/>
    <xf numFmtId="0" fontId="1" fillId="0" borderId="0"/>
    <xf numFmtId="205" fontId="16" fillId="0" borderId="0"/>
    <xf numFmtId="190" fontId="1" fillId="0" borderId="0"/>
    <xf numFmtId="0" fontId="16" fillId="0" borderId="0"/>
    <xf numFmtId="0" fontId="39" fillId="0" borderId="0"/>
    <xf numFmtId="0" fontId="40" fillId="0" borderId="0"/>
    <xf numFmtId="190" fontId="1" fillId="0" borderId="0"/>
    <xf numFmtId="0" fontId="16" fillId="0" borderId="0"/>
    <xf numFmtId="0" fontId="40" fillId="0" borderId="0"/>
    <xf numFmtId="190" fontId="1" fillId="0" borderId="0"/>
    <xf numFmtId="0" fontId="16" fillId="0" borderId="0"/>
    <xf numFmtId="190" fontId="1" fillId="0" borderId="0"/>
    <xf numFmtId="0" fontId="16" fillId="0" borderId="0"/>
    <xf numFmtId="190" fontId="1" fillId="0" borderId="0"/>
    <xf numFmtId="0" fontId="16" fillId="0" borderId="0"/>
    <xf numFmtId="190" fontId="1" fillId="0" borderId="0"/>
    <xf numFmtId="0" fontId="16" fillId="0" borderId="0"/>
    <xf numFmtId="190" fontId="1" fillId="0" borderId="0"/>
    <xf numFmtId="0" fontId="16" fillId="0" borderId="0"/>
    <xf numFmtId="190" fontId="1" fillId="0" borderId="0"/>
    <xf numFmtId="0" fontId="40" fillId="0" borderId="0"/>
    <xf numFmtId="0" fontId="16" fillId="0" borderId="0"/>
    <xf numFmtId="190" fontId="1" fillId="0" borderId="0"/>
    <xf numFmtId="0" fontId="16" fillId="0" borderId="0"/>
    <xf numFmtId="190" fontId="16" fillId="0" borderId="0"/>
    <xf numFmtId="0" fontId="16" fillId="0" borderId="0"/>
    <xf numFmtId="190" fontId="1" fillId="0" borderId="0"/>
    <xf numFmtId="0" fontId="40" fillId="0" borderId="0"/>
    <xf numFmtId="19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40" fillId="0" borderId="0"/>
    <xf numFmtId="0" fontId="40" fillId="0" borderId="0"/>
    <xf numFmtId="0" fontId="40" fillId="0" borderId="0"/>
    <xf numFmtId="0" fontId="16" fillId="0" borderId="0"/>
    <xf numFmtId="0" fontId="16" fillId="0" borderId="0"/>
    <xf numFmtId="0" fontId="34" fillId="0" borderId="0"/>
    <xf numFmtId="0" fontId="34" fillId="0" borderId="0"/>
    <xf numFmtId="0" fontId="16" fillId="0" borderId="0"/>
    <xf numFmtId="0" fontId="34" fillId="0" borderId="0"/>
    <xf numFmtId="0" fontId="16" fillId="0" borderId="0"/>
    <xf numFmtId="0" fontId="34" fillId="0" borderId="0"/>
    <xf numFmtId="0" fontId="34" fillId="0" borderId="0"/>
    <xf numFmtId="0" fontId="16" fillId="0" borderId="0"/>
    <xf numFmtId="0" fontId="39"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0" fontId="34" fillId="0" borderId="0"/>
    <xf numFmtId="0" fontId="16" fillId="0" borderId="0"/>
    <xf numFmtId="0" fontId="16" fillId="0" borderId="0"/>
    <xf numFmtId="0" fontId="16" fillId="0" borderId="0"/>
    <xf numFmtId="190" fontId="1" fillId="0" borderId="0"/>
    <xf numFmtId="0" fontId="39" fillId="0" borderId="0"/>
    <xf numFmtId="0" fontId="16" fillId="0" borderId="0"/>
    <xf numFmtId="0" fontId="16" fillId="0" borderId="0"/>
    <xf numFmtId="0" fontId="34" fillId="0" borderId="0"/>
    <xf numFmtId="0" fontId="16" fillId="0" borderId="0"/>
    <xf numFmtId="0" fontId="9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xf numFmtId="0" fontId="100" fillId="0" borderId="0"/>
    <xf numFmtId="190" fontId="1" fillId="0" borderId="0"/>
    <xf numFmtId="0" fontId="39" fillId="0" borderId="0"/>
    <xf numFmtId="0" fontId="16" fillId="0" borderId="0"/>
    <xf numFmtId="0" fontId="16" fillId="0" borderId="0"/>
    <xf numFmtId="0" fontId="34"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190" fontId="40" fillId="0" borderId="0"/>
    <xf numFmtId="0" fontId="16" fillId="0" borderId="0"/>
    <xf numFmtId="0" fontId="39" fillId="0" borderId="0"/>
    <xf numFmtId="0" fontId="34" fillId="0" borderId="0"/>
    <xf numFmtId="0" fontId="34" fillId="0" borderId="0"/>
    <xf numFmtId="0" fontId="101" fillId="0" borderId="0"/>
    <xf numFmtId="37" fontId="39" fillId="0" borderId="0"/>
    <xf numFmtId="0" fontId="16" fillId="0" borderId="0"/>
    <xf numFmtId="190" fontId="1" fillId="0" borderId="0"/>
    <xf numFmtId="0" fontId="16" fillId="0" borderId="0"/>
    <xf numFmtId="0" fontId="39" fillId="0" borderId="0"/>
    <xf numFmtId="0" fontId="34" fillId="0" borderId="0"/>
    <xf numFmtId="0" fontId="16" fillId="0" borderId="0"/>
    <xf numFmtId="190" fontId="67" fillId="0" borderId="0"/>
    <xf numFmtId="190" fontId="16" fillId="55" borderId="49" applyNumberFormat="0" applyFont="0" applyAlignment="0" applyProtection="0"/>
    <xf numFmtId="0" fontId="16" fillId="55" borderId="49" applyNumberFormat="0" applyFont="0" applyAlignment="0" applyProtection="0"/>
    <xf numFmtId="0" fontId="16" fillId="55" borderId="49" applyNumberFormat="0" applyFont="0" applyAlignment="0" applyProtection="0"/>
    <xf numFmtId="0" fontId="16" fillId="55" borderId="49" applyNumberFormat="0" applyFont="0" applyAlignment="0" applyProtection="0"/>
    <xf numFmtId="0" fontId="16" fillId="55" borderId="49" applyNumberFormat="0" applyFont="0" applyAlignment="0" applyProtection="0"/>
    <xf numFmtId="0" fontId="16" fillId="55" borderId="49" applyNumberFormat="0" applyFont="0" applyAlignment="0" applyProtection="0"/>
    <xf numFmtId="0" fontId="16" fillId="55" borderId="49" applyNumberFormat="0" applyFont="0" applyAlignment="0" applyProtection="0"/>
    <xf numFmtId="0" fontId="102" fillId="55" borderId="49" applyNumberFormat="0" applyFont="0" applyAlignment="0" applyProtection="0"/>
    <xf numFmtId="213" fontId="77" fillId="0" borderId="37">
      <alignment horizontal="center" vertical="center"/>
    </xf>
    <xf numFmtId="0" fontId="103" fillId="40" borderId="50" applyNumberFormat="0" applyAlignment="0" applyProtection="0"/>
    <xf numFmtId="0" fontId="104" fillId="40" borderId="50" applyNumberFormat="0" applyAlignment="0" applyProtection="0"/>
    <xf numFmtId="222" fontId="105" fillId="56" borderId="0" applyNumberFormat="0" applyFont="0" applyBorder="0" applyAlignment="0" applyProtection="0"/>
    <xf numFmtId="190" fontId="106" fillId="0" borderId="0"/>
    <xf numFmtId="0" fontId="39" fillId="0" borderId="0" applyFont="0" applyFill="0" applyBorder="0" applyAlignment="0" applyProtection="0"/>
    <xf numFmtId="0" fontId="64"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3" fontId="34"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223" fontId="3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4" fontId="78" fillId="0" borderId="0">
      <protection locked="0"/>
    </xf>
    <xf numFmtId="9" fontId="16" fillId="0" borderId="0"/>
    <xf numFmtId="9" fontId="16" fillId="0" borderId="0"/>
    <xf numFmtId="9" fontId="16" fillId="0" borderId="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225" fontId="107"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08" fillId="8" borderId="0"/>
    <xf numFmtId="0" fontId="109" fillId="16" borderId="0">
      <alignment horizontal="left" indent="1"/>
    </xf>
    <xf numFmtId="190" fontId="16" fillId="0" borderId="0" applyFont="0" applyFill="0" applyBorder="0" applyAlignment="0" applyProtection="0"/>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110" fillId="0" borderId="13">
      <alignment horizontal="center"/>
    </xf>
    <xf numFmtId="3" fontId="39" fillId="0" borderId="0" applyFont="0" applyFill="0" applyBorder="0" applyAlignment="0" applyProtection="0"/>
    <xf numFmtId="0" fontId="39" fillId="57" borderId="0" applyNumberFormat="0" applyFont="0" applyBorder="0" applyAlignment="0" applyProtection="0"/>
    <xf numFmtId="226" fontId="78" fillId="0" borderId="0">
      <protection locked="0"/>
    </xf>
    <xf numFmtId="227" fontId="78" fillId="0" borderId="0">
      <protection locked="0"/>
    </xf>
    <xf numFmtId="38" fontId="16" fillId="0" borderId="0"/>
    <xf numFmtId="38" fontId="16" fillId="0" borderId="0"/>
    <xf numFmtId="38" fontId="16" fillId="0" borderId="0"/>
    <xf numFmtId="38" fontId="16" fillId="0" borderId="0"/>
    <xf numFmtId="38" fontId="16" fillId="0" borderId="0"/>
    <xf numFmtId="190" fontId="111" fillId="40" borderId="50" applyNumberFormat="0" applyAlignment="0" applyProtection="0"/>
    <xf numFmtId="0" fontId="103" fillId="40" borderId="50" applyNumberFormat="0" applyAlignment="0" applyProtection="0"/>
    <xf numFmtId="4" fontId="34" fillId="58" borderId="50" applyNumberFormat="0" applyProtection="0">
      <alignment vertical="center"/>
    </xf>
    <xf numFmtId="4" fontId="34" fillId="58" borderId="50" applyNumberFormat="0" applyProtection="0">
      <alignment vertical="center"/>
    </xf>
    <xf numFmtId="4" fontId="112" fillId="58" borderId="50" applyNumberFormat="0" applyProtection="0">
      <alignment vertical="center"/>
    </xf>
    <xf numFmtId="4" fontId="34" fillId="58" borderId="50" applyNumberFormat="0" applyProtection="0">
      <alignment horizontal="left" vertical="center" indent="1"/>
    </xf>
    <xf numFmtId="4" fontId="34" fillId="58" borderId="50" applyNumberFormat="0" applyProtection="0">
      <alignment horizontal="left" vertical="center" indent="1"/>
    </xf>
    <xf numFmtId="4" fontId="34" fillId="58" borderId="50" applyNumberFormat="0" applyProtection="0">
      <alignment horizontal="left" vertical="center" indent="1"/>
    </xf>
    <xf numFmtId="4" fontId="34" fillId="58"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0" fontId="16" fillId="59" borderId="50" applyNumberFormat="0" applyProtection="0">
      <alignment horizontal="left" vertical="center" indent="1"/>
    </xf>
    <xf numFmtId="0" fontId="16" fillId="59" borderId="50" applyNumberFormat="0" applyProtection="0">
      <alignment horizontal="left" vertical="center" indent="1"/>
    </xf>
    <xf numFmtId="0" fontId="16" fillId="59" borderId="50" applyNumberFormat="0" applyProtection="0">
      <alignment horizontal="left" vertical="center" indent="1"/>
    </xf>
    <xf numFmtId="4" fontId="34" fillId="60" borderId="50" applyNumberFormat="0" applyProtection="0">
      <alignment horizontal="right" vertical="center"/>
    </xf>
    <xf numFmtId="4" fontId="34" fillId="60" borderId="50" applyNumberFormat="0" applyProtection="0">
      <alignment horizontal="right" vertical="center"/>
    </xf>
    <xf numFmtId="4" fontId="34" fillId="61" borderId="50" applyNumberFormat="0" applyProtection="0">
      <alignment horizontal="right" vertical="center"/>
    </xf>
    <xf numFmtId="4" fontId="34" fillId="61" borderId="50" applyNumberFormat="0" applyProtection="0">
      <alignment horizontal="right" vertical="center"/>
    </xf>
    <xf numFmtId="4" fontId="34" fillId="11" borderId="50" applyNumberFormat="0" applyProtection="0">
      <alignment horizontal="right" vertical="center"/>
    </xf>
    <xf numFmtId="4" fontId="34" fillId="11" borderId="50" applyNumberFormat="0" applyProtection="0">
      <alignment horizontal="right" vertical="center"/>
    </xf>
    <xf numFmtId="4" fontId="34" fillId="7" borderId="50" applyNumberFormat="0" applyProtection="0">
      <alignment horizontal="right" vertical="center"/>
    </xf>
    <xf numFmtId="4" fontId="34" fillId="7" borderId="50" applyNumberFormat="0" applyProtection="0">
      <alignment horizontal="right" vertical="center"/>
    </xf>
    <xf numFmtId="4" fontId="34" fillId="62" borderId="50" applyNumberFormat="0" applyProtection="0">
      <alignment horizontal="right" vertical="center"/>
    </xf>
    <xf numFmtId="4" fontId="34" fillId="62" borderId="50" applyNumberFormat="0" applyProtection="0">
      <alignment horizontal="right" vertical="center"/>
    </xf>
    <xf numFmtId="4" fontId="34" fillId="63" borderId="50" applyNumberFormat="0" applyProtection="0">
      <alignment horizontal="right" vertical="center"/>
    </xf>
    <xf numFmtId="4" fontId="34" fillId="63" borderId="50" applyNumberFormat="0" applyProtection="0">
      <alignment horizontal="right" vertical="center"/>
    </xf>
    <xf numFmtId="4" fontId="34" fillId="64" borderId="50" applyNumberFormat="0" applyProtection="0">
      <alignment horizontal="right" vertical="center"/>
    </xf>
    <xf numFmtId="4" fontId="34" fillId="64" borderId="50" applyNumberFormat="0" applyProtection="0">
      <alignment horizontal="right" vertical="center"/>
    </xf>
    <xf numFmtId="4" fontId="34" fillId="65" borderId="50" applyNumberFormat="0" applyProtection="0">
      <alignment horizontal="right" vertical="center"/>
    </xf>
    <xf numFmtId="4" fontId="34" fillId="65" borderId="50" applyNumberFormat="0" applyProtection="0">
      <alignment horizontal="right" vertical="center"/>
    </xf>
    <xf numFmtId="4" fontId="34" fillId="6" borderId="50" applyNumberFormat="0" applyProtection="0">
      <alignment horizontal="right" vertical="center"/>
    </xf>
    <xf numFmtId="4" fontId="34" fillId="6" borderId="50" applyNumberFormat="0" applyProtection="0">
      <alignment horizontal="right" vertical="center"/>
    </xf>
    <xf numFmtId="4" fontId="113" fillId="66" borderId="50" applyNumberFormat="0" applyProtection="0">
      <alignment horizontal="left" vertical="center" indent="1"/>
    </xf>
    <xf numFmtId="4" fontId="34" fillId="67" borderId="51" applyNumberFormat="0" applyProtection="0">
      <alignment horizontal="left" vertical="center" indent="1"/>
    </xf>
    <xf numFmtId="4" fontId="34" fillId="67" borderId="51" applyNumberFormat="0" applyProtection="0">
      <alignment horizontal="left" vertical="center" indent="1"/>
    </xf>
    <xf numFmtId="4" fontId="114" fillId="17" borderId="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4" fontId="34" fillId="67" borderId="50" applyNumberFormat="0" applyProtection="0">
      <alignment horizontal="left" vertical="center" indent="1"/>
    </xf>
    <xf numFmtId="4" fontId="34" fillId="67" borderId="50" applyNumberFormat="0" applyProtection="0">
      <alignment horizontal="left" vertical="center" indent="1"/>
    </xf>
    <xf numFmtId="4" fontId="34" fillId="67" borderId="50" applyNumberFormat="0" applyProtection="0">
      <alignment horizontal="left" vertical="center" indent="1"/>
    </xf>
    <xf numFmtId="4" fontId="34" fillId="68" borderId="50" applyNumberFormat="0" applyProtection="0">
      <alignment horizontal="left" vertical="center" indent="1"/>
    </xf>
    <xf numFmtId="4" fontId="34" fillId="68" borderId="50" applyNumberFormat="0" applyProtection="0">
      <alignment horizontal="left" vertical="center" indent="1"/>
    </xf>
    <xf numFmtId="4" fontId="34" fillId="68" borderId="50" applyNumberFormat="0" applyProtection="0">
      <alignment horizontal="left" vertical="center" indent="1"/>
    </xf>
    <xf numFmtId="190" fontId="16" fillId="68" borderId="50" applyNumberFormat="0" applyProtection="0">
      <alignment horizontal="left" vertical="center" indent="1"/>
    </xf>
    <xf numFmtId="190" fontId="16" fillId="68" borderId="50" applyNumberFormat="0" applyProtection="0">
      <alignment horizontal="left" vertical="center" indent="1"/>
    </xf>
    <xf numFmtId="190" fontId="16" fillId="68" borderId="50" applyNumberFormat="0" applyProtection="0">
      <alignment horizontal="left" vertical="center" indent="1"/>
    </xf>
    <xf numFmtId="190" fontId="16" fillId="68" borderId="50" applyNumberFormat="0" applyProtection="0">
      <alignment horizontal="left" vertical="center" indent="1"/>
    </xf>
    <xf numFmtId="190" fontId="16" fillId="68" borderId="50" applyNumberFormat="0" applyProtection="0">
      <alignment horizontal="left" vertical="center" indent="1"/>
    </xf>
    <xf numFmtId="190" fontId="16" fillId="68" borderId="50" applyNumberFormat="0" applyProtection="0">
      <alignment horizontal="left" vertical="center" indent="1"/>
    </xf>
    <xf numFmtId="0" fontId="16" fillId="68" borderId="50" applyNumberFormat="0" applyProtection="0">
      <alignment horizontal="left" vertical="center" indent="1"/>
    </xf>
    <xf numFmtId="190" fontId="16" fillId="16" borderId="50" applyNumberFormat="0" applyProtection="0">
      <alignment horizontal="left" vertical="center" indent="1"/>
    </xf>
    <xf numFmtId="190" fontId="16" fillId="16" borderId="50" applyNumberFormat="0" applyProtection="0">
      <alignment horizontal="left" vertical="center" indent="1"/>
    </xf>
    <xf numFmtId="190" fontId="16" fillId="16" borderId="50" applyNumberFormat="0" applyProtection="0">
      <alignment horizontal="left" vertical="center" indent="1"/>
    </xf>
    <xf numFmtId="190" fontId="16" fillId="16" borderId="50" applyNumberFormat="0" applyProtection="0">
      <alignment horizontal="left" vertical="center" indent="1"/>
    </xf>
    <xf numFmtId="190" fontId="16" fillId="16" borderId="50" applyNumberFormat="0" applyProtection="0">
      <alignment horizontal="left" vertical="center" indent="1"/>
    </xf>
    <xf numFmtId="190" fontId="16" fillId="16" borderId="50" applyNumberFormat="0" applyProtection="0">
      <alignment horizontal="left" vertical="center" indent="1"/>
    </xf>
    <xf numFmtId="190" fontId="16" fillId="8" borderId="50" applyNumberFormat="0" applyProtection="0">
      <alignment horizontal="left" vertical="center" indent="1"/>
    </xf>
    <xf numFmtId="190" fontId="16" fillId="8" borderId="50" applyNumberFormat="0" applyProtection="0">
      <alignment horizontal="left" vertical="center" indent="1"/>
    </xf>
    <xf numFmtId="190" fontId="16" fillId="8" borderId="50" applyNumberFormat="0" applyProtection="0">
      <alignment horizontal="left" vertical="center" indent="1"/>
    </xf>
    <xf numFmtId="190" fontId="16" fillId="8" borderId="50" applyNumberFormat="0" applyProtection="0">
      <alignment horizontal="left" vertical="center" indent="1"/>
    </xf>
    <xf numFmtId="190" fontId="16" fillId="8" borderId="50" applyNumberFormat="0" applyProtection="0">
      <alignment horizontal="left" vertical="center" indent="1"/>
    </xf>
    <xf numFmtId="190" fontId="16" fillId="8"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4" fontId="34" fillId="19" borderId="50" applyNumberFormat="0" applyProtection="0">
      <alignment vertical="center"/>
    </xf>
    <xf numFmtId="4" fontId="34" fillId="19" borderId="50" applyNumberFormat="0" applyProtection="0">
      <alignment vertical="center"/>
    </xf>
    <xf numFmtId="4" fontId="112" fillId="19" borderId="50" applyNumberFormat="0" applyProtection="0">
      <alignment vertical="center"/>
    </xf>
    <xf numFmtId="4" fontId="34" fillId="19" borderId="50" applyNumberFormat="0" applyProtection="0">
      <alignment horizontal="left" vertical="center" indent="1"/>
    </xf>
    <xf numFmtId="4" fontId="34" fillId="19" borderId="50" applyNumberFormat="0" applyProtection="0">
      <alignment horizontal="left" vertical="center" indent="1"/>
    </xf>
    <xf numFmtId="4" fontId="34" fillId="19" borderId="50" applyNumberFormat="0" applyProtection="0">
      <alignment horizontal="left" vertical="center" indent="1"/>
    </xf>
    <xf numFmtId="4" fontId="34" fillId="19" borderId="50" applyNumberFormat="0" applyProtection="0">
      <alignment horizontal="left" vertical="center" indent="1"/>
    </xf>
    <xf numFmtId="4" fontId="34" fillId="67" borderId="50" applyNumberFormat="0" applyProtection="0">
      <alignment horizontal="right" vertical="center"/>
    </xf>
    <xf numFmtId="4" fontId="34" fillId="67" borderId="50" applyNumberFormat="0" applyProtection="0">
      <alignment horizontal="right" vertical="center"/>
    </xf>
    <xf numFmtId="4" fontId="34" fillId="67" borderId="50" applyNumberFormat="0" applyProtection="0">
      <alignment horizontal="right" vertical="center"/>
    </xf>
    <xf numFmtId="4" fontId="112" fillId="67" borderId="50" applyNumberFormat="0" applyProtection="0">
      <alignment horizontal="right" vertical="center"/>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0" fontId="16" fillId="59" borderId="50" applyNumberFormat="0" applyProtection="0">
      <alignment horizontal="left" vertical="center" indent="1"/>
    </xf>
    <xf numFmtId="0" fontId="16" fillId="59" borderId="50" applyNumberFormat="0" applyProtection="0">
      <alignment horizontal="left" vertical="center" indent="1"/>
    </xf>
    <xf numFmtId="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190" fontId="16" fillId="59" borderId="50" applyNumberFormat="0" applyProtection="0">
      <alignment horizontal="left" vertical="center" indent="1"/>
    </xf>
    <xf numFmtId="0" fontId="16" fillId="59" borderId="50" applyNumberFormat="0" applyProtection="0">
      <alignment horizontal="left" vertical="center" indent="1"/>
    </xf>
    <xf numFmtId="0" fontId="16" fillId="59" borderId="50" applyNumberFormat="0" applyProtection="0">
      <alignment horizontal="left" vertical="center" indent="1"/>
    </xf>
    <xf numFmtId="190" fontId="115" fillId="0" borderId="0"/>
    <xf numFmtId="4" fontId="116" fillId="67" borderId="50" applyNumberFormat="0" applyProtection="0">
      <alignment horizontal="right" vertical="center"/>
    </xf>
    <xf numFmtId="190" fontId="16" fillId="55" borderId="0" applyNumberFormat="0" applyFont="0" applyBorder="0" applyAlignment="0" applyProtection="0"/>
    <xf numFmtId="190" fontId="16" fillId="55" borderId="0" applyNumberFormat="0" applyFont="0" applyBorder="0" applyAlignment="0" applyProtection="0"/>
    <xf numFmtId="190" fontId="16" fillId="55" borderId="0" applyNumberFormat="0" applyFont="0" applyBorder="0" applyAlignment="0" applyProtection="0"/>
    <xf numFmtId="190" fontId="16" fillId="69" borderId="0" applyNumberFormat="0" applyFont="0" applyBorder="0" applyAlignment="0" applyProtection="0"/>
    <xf numFmtId="190" fontId="16" fillId="69" borderId="0" applyNumberFormat="0" applyFont="0" applyBorder="0" applyAlignment="0" applyProtection="0"/>
    <xf numFmtId="190" fontId="16" fillId="69" borderId="0" applyNumberFormat="0" applyFont="0" applyBorder="0" applyAlignment="0" applyProtection="0"/>
    <xf numFmtId="190" fontId="16" fillId="40" borderId="0" applyNumberFormat="0" applyFont="0" applyBorder="0" applyAlignment="0" applyProtection="0"/>
    <xf numFmtId="190" fontId="16" fillId="40" borderId="0" applyNumberFormat="0" applyFont="0" applyBorder="0" applyAlignment="0" applyProtection="0"/>
    <xf numFmtId="190" fontId="16" fillId="40" borderId="0" applyNumberFormat="0" applyFont="0" applyBorder="0" applyAlignment="0" applyProtection="0"/>
    <xf numFmtId="190" fontId="16" fillId="0" borderId="0" applyNumberFormat="0" applyFont="0" applyFill="0" applyBorder="0" applyAlignment="0" applyProtection="0"/>
    <xf numFmtId="190" fontId="16" fillId="0" borderId="0" applyNumberFormat="0" applyFont="0" applyFill="0" applyBorder="0" applyAlignment="0" applyProtection="0"/>
    <xf numFmtId="190" fontId="16" fillId="0" borderId="0" applyNumberFormat="0" applyFont="0" applyFill="0" applyBorder="0" applyAlignment="0" applyProtection="0"/>
    <xf numFmtId="190" fontId="16" fillId="40" borderId="0" applyNumberFormat="0" applyFont="0" applyBorder="0" applyAlignment="0" applyProtection="0"/>
    <xf numFmtId="190" fontId="16" fillId="40" borderId="0" applyNumberFormat="0" applyFont="0" applyBorder="0" applyAlignment="0" applyProtection="0"/>
    <xf numFmtId="190" fontId="16" fillId="40" borderId="0" applyNumberFormat="0" applyFont="0" applyBorder="0" applyAlignment="0" applyProtection="0"/>
    <xf numFmtId="190" fontId="16" fillId="0" borderId="0" applyNumberFormat="0" applyFont="0" applyFill="0" applyBorder="0" applyAlignment="0" applyProtection="0"/>
    <xf numFmtId="190" fontId="16" fillId="0" borderId="0" applyNumberFormat="0" applyFont="0" applyFill="0" applyBorder="0" applyAlignment="0" applyProtection="0"/>
    <xf numFmtId="190" fontId="16" fillId="0" borderId="0" applyNumberFormat="0" applyFont="0" applyFill="0" applyBorder="0" applyAlignment="0" applyProtection="0"/>
    <xf numFmtId="190" fontId="16" fillId="0" borderId="0" applyNumberFormat="0" applyFont="0" applyBorder="0" applyAlignment="0" applyProtection="0"/>
    <xf numFmtId="190" fontId="16" fillId="0" borderId="0" applyNumberFormat="0" applyFont="0" applyBorder="0" applyAlignment="0" applyProtection="0"/>
    <xf numFmtId="190" fontId="16" fillId="0" borderId="0" applyNumberFormat="0" applyFont="0" applyBorder="0" applyAlignment="0" applyProtection="0"/>
    <xf numFmtId="228" fontId="16" fillId="0" borderId="0" applyFont="0" applyFill="0" applyBorder="0" applyAlignment="0" applyProtection="0"/>
    <xf numFmtId="43" fontId="117" fillId="0" borderId="0" applyFont="0" applyFill="0" applyBorder="0" applyAlignment="0" applyProtection="0"/>
    <xf numFmtId="43" fontId="16" fillId="0" borderId="0" applyFont="0" applyFill="0" applyBorder="0" applyAlignment="0" applyProtection="0"/>
    <xf numFmtId="229" fontId="118" fillId="0" borderId="0" applyFont="0" applyFill="0" applyBorder="0" applyAlignment="0" applyProtection="0"/>
    <xf numFmtId="190" fontId="119" fillId="0" borderId="0"/>
    <xf numFmtId="19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16" fillId="0" borderId="0"/>
    <xf numFmtId="0" fontId="16" fillId="0" borderId="0"/>
    <xf numFmtId="0" fontId="32"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16" fillId="0" borderId="0"/>
    <xf numFmtId="0" fontId="32"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31" fillId="0" borderId="0"/>
    <xf numFmtId="0" fontId="16"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16"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16" fillId="0" borderId="0"/>
    <xf numFmtId="0" fontId="32" fillId="0" borderId="0"/>
    <xf numFmtId="0" fontId="31" fillId="0" borderId="0"/>
    <xf numFmtId="0" fontId="16" fillId="0" borderId="0"/>
    <xf numFmtId="0" fontId="31"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16" fillId="0" borderId="0"/>
    <xf numFmtId="0" fontId="31" fillId="0" borderId="0"/>
    <xf numFmtId="0" fontId="32" fillId="0" borderId="0"/>
    <xf numFmtId="0" fontId="31" fillId="0" borderId="0"/>
    <xf numFmtId="0" fontId="16" fillId="0" borderId="0"/>
    <xf numFmtId="0" fontId="16" fillId="0" borderId="0"/>
    <xf numFmtId="0" fontId="32" fillId="0" borderId="0"/>
    <xf numFmtId="0" fontId="16" fillId="0" borderId="0"/>
    <xf numFmtId="0" fontId="16" fillId="0" borderId="0"/>
    <xf numFmtId="0" fontId="16" fillId="0" borderId="0"/>
    <xf numFmtId="0" fontId="31" fillId="0" borderId="0"/>
    <xf numFmtId="0" fontId="16" fillId="0" borderId="0"/>
    <xf numFmtId="0" fontId="32" fillId="0" borderId="0"/>
    <xf numFmtId="0" fontId="31" fillId="0" borderId="0"/>
    <xf numFmtId="0" fontId="16" fillId="0" borderId="0"/>
    <xf numFmtId="0" fontId="31"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1" fillId="0" borderId="0"/>
    <xf numFmtId="0" fontId="33" fillId="0" borderId="0" applyNumberFormat="0" applyFill="0" applyBorder="0" applyAlignment="0" applyProtection="0"/>
    <xf numFmtId="0" fontId="31" fillId="0" borderId="0"/>
    <xf numFmtId="0" fontId="16" fillId="0" borderId="0"/>
    <xf numFmtId="230" fontId="16" fillId="0" borderId="0"/>
    <xf numFmtId="0" fontId="31" fillId="0" borderId="0"/>
    <xf numFmtId="0" fontId="16" fillId="0" borderId="0"/>
    <xf numFmtId="0" fontId="31" fillId="0" borderId="0"/>
    <xf numFmtId="0" fontId="16" fillId="0" borderId="0"/>
    <xf numFmtId="0" fontId="32" fillId="0" borderId="0"/>
    <xf numFmtId="0" fontId="16" fillId="0" borderId="0"/>
    <xf numFmtId="0" fontId="16" fillId="0" borderId="0"/>
    <xf numFmtId="0" fontId="16" fillId="0" borderId="0"/>
    <xf numFmtId="190" fontId="16" fillId="0" borderId="0"/>
    <xf numFmtId="190" fontId="16" fillId="0" borderId="0"/>
    <xf numFmtId="0" fontId="16" fillId="0" borderId="0"/>
    <xf numFmtId="0" fontId="32" fillId="0" borderId="0"/>
    <xf numFmtId="0" fontId="16" fillId="0" borderId="0"/>
    <xf numFmtId="0" fontId="16" fillId="0" borderId="0"/>
    <xf numFmtId="0" fontId="16" fillId="0" borderId="0"/>
    <xf numFmtId="0" fontId="31" fillId="0" borderId="0"/>
    <xf numFmtId="0" fontId="32" fillId="0" borderId="0"/>
    <xf numFmtId="0" fontId="16" fillId="0" borderId="0"/>
    <xf numFmtId="0" fontId="16" fillId="0" borderId="0"/>
    <xf numFmtId="0" fontId="31" fillId="0" borderId="0"/>
    <xf numFmtId="0" fontId="16" fillId="0" borderId="0"/>
    <xf numFmtId="0" fontId="31" fillId="0" borderId="0"/>
    <xf numFmtId="0" fontId="16" fillId="0" borderId="0"/>
    <xf numFmtId="0" fontId="31" fillId="0" borderId="0"/>
    <xf numFmtId="0" fontId="16" fillId="0" borderId="0"/>
    <xf numFmtId="0" fontId="31" fillId="0" borderId="0"/>
    <xf numFmtId="0" fontId="16" fillId="0" borderId="0"/>
    <xf numFmtId="0" fontId="31" fillId="0" borderId="0"/>
    <xf numFmtId="0" fontId="33" fillId="0" borderId="0" applyNumberFormat="0" applyFill="0" applyBorder="0" applyAlignment="0" applyProtection="0"/>
    <xf numFmtId="0" fontId="31" fillId="0" borderId="0"/>
    <xf numFmtId="0" fontId="31" fillId="0" borderId="0"/>
    <xf numFmtId="230" fontId="16" fillId="0" borderId="0"/>
    <xf numFmtId="0" fontId="16" fillId="0" borderId="0"/>
    <xf numFmtId="0" fontId="32" fillId="0" borderId="0"/>
    <xf numFmtId="0" fontId="31" fillId="0" borderId="0"/>
    <xf numFmtId="0" fontId="32" fillId="0" borderId="0"/>
    <xf numFmtId="0" fontId="31" fillId="0" borderId="0"/>
    <xf numFmtId="0" fontId="32"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31" fillId="0" borderId="0"/>
    <xf numFmtId="0" fontId="31" fillId="0" borderId="0"/>
    <xf numFmtId="0" fontId="3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16" fillId="0" borderId="0"/>
    <xf numFmtId="0" fontId="31" fillId="0" borderId="0"/>
    <xf numFmtId="0" fontId="16" fillId="0" borderId="0"/>
    <xf numFmtId="0" fontId="31"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32" fillId="0" borderId="0"/>
    <xf numFmtId="0" fontId="16" fillId="0" borderId="0"/>
    <xf numFmtId="0" fontId="31" fillId="0" borderId="0"/>
    <xf numFmtId="0" fontId="31" fillId="0" borderId="0"/>
    <xf numFmtId="0" fontId="16" fillId="0" borderId="0"/>
    <xf numFmtId="0" fontId="31" fillId="0" borderId="0"/>
    <xf numFmtId="0" fontId="16" fillId="0" borderId="0"/>
    <xf numFmtId="0" fontId="31" fillId="0" borderId="0"/>
    <xf numFmtId="0" fontId="16" fillId="0" borderId="0"/>
    <xf numFmtId="0" fontId="31" fillId="0" borderId="0"/>
    <xf numFmtId="0" fontId="16" fillId="0" borderId="0"/>
    <xf numFmtId="0" fontId="31" fillId="0" borderId="0"/>
    <xf numFmtId="0" fontId="31" fillId="0" borderId="0"/>
    <xf numFmtId="0" fontId="31" fillId="0" borderId="0"/>
    <xf numFmtId="190" fontId="16" fillId="0" borderId="0"/>
    <xf numFmtId="190" fontId="16"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0" fontId="31" fillId="0" borderId="0"/>
    <xf numFmtId="230" fontId="16" fillId="0" borderId="0"/>
    <xf numFmtId="0" fontId="16"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0" fontId="16" fillId="0" borderId="0"/>
    <xf numFmtId="190" fontId="16" fillId="0" borderId="0"/>
    <xf numFmtId="0" fontId="31" fillId="0" borderId="0"/>
    <xf numFmtId="0" fontId="31"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90" fontId="16" fillId="0" borderId="0"/>
    <xf numFmtId="190" fontId="16" fillId="0" borderId="0"/>
    <xf numFmtId="0" fontId="16" fillId="0" borderId="0"/>
    <xf numFmtId="0" fontId="16" fillId="0" borderId="0"/>
    <xf numFmtId="0" fontId="31"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209" fontId="120" fillId="0" borderId="48" applyNumberFormat="0" applyFill="0" applyBorder="0" applyAlignment="0" applyProtection="0">
      <alignment horizontal="center"/>
    </xf>
    <xf numFmtId="49" fontId="34" fillId="0" borderId="0" applyFill="0" applyBorder="0" applyAlignment="0"/>
    <xf numFmtId="0" fontId="3" fillId="0" borderId="0" applyFill="0" applyBorder="0" applyAlignment="0"/>
    <xf numFmtId="0" fontId="39" fillId="0" borderId="0" applyFill="0" applyBorder="0" applyAlignment="0"/>
    <xf numFmtId="49" fontId="121" fillId="0" borderId="0" applyFill="0" applyBorder="0" applyAlignment="0" applyProtection="0"/>
    <xf numFmtId="190" fontId="122" fillId="0" borderId="0" applyNumberFormat="0" applyFill="0" applyBorder="0" applyAlignment="0" applyProtection="0"/>
    <xf numFmtId="0" fontId="123" fillId="0" borderId="0" applyNumberFormat="0" applyFill="0" applyBorder="0" applyAlignment="0" applyProtection="0"/>
    <xf numFmtId="190" fontId="124" fillId="0" borderId="0" applyNumberFormat="0" applyFill="0" applyBorder="0" applyAlignment="0" applyProtection="0"/>
    <xf numFmtId="0" fontId="75" fillId="0" borderId="0" applyNumberFormat="0" applyFill="0" applyBorder="0" applyAlignment="0" applyProtection="0"/>
    <xf numFmtId="0" fontId="125" fillId="0" borderId="52"/>
    <xf numFmtId="222" fontId="121" fillId="0" borderId="0" applyFont="0" applyFill="0" applyBorder="0" applyAlignment="0" applyProtection="0"/>
    <xf numFmtId="0" fontId="126" fillId="68" borderId="0" applyBorder="0">
      <alignment horizontal="left" vertical="center" indent="1"/>
    </xf>
    <xf numFmtId="0" fontId="127" fillId="0" borderId="0" applyNumberFormat="0" applyFill="0" applyBorder="0" applyAlignment="0" applyProtection="0"/>
    <xf numFmtId="190" fontId="85" fillId="0" borderId="44" applyNumberFormat="0" applyFill="0" applyAlignment="0" applyProtection="0"/>
    <xf numFmtId="0" fontId="84" fillId="0" borderId="44" applyNumberFormat="0" applyFill="0" applyAlignment="0" applyProtection="0"/>
    <xf numFmtId="190" fontId="87" fillId="0" borderId="45" applyNumberFormat="0" applyFill="0" applyAlignment="0" applyProtection="0"/>
    <xf numFmtId="0" fontId="86" fillId="0" borderId="45" applyNumberFormat="0" applyFill="0" applyAlignment="0" applyProtection="0"/>
    <xf numFmtId="190" fontId="69" fillId="0" borderId="46" applyNumberFormat="0" applyFill="0" applyAlignment="0" applyProtection="0"/>
    <xf numFmtId="0" fontId="70" fillId="0" borderId="46" applyNumberFormat="0" applyFill="0" applyAlignment="0" applyProtection="0"/>
    <xf numFmtId="190" fontId="127" fillId="0" borderId="0" applyNumberFormat="0" applyFill="0" applyBorder="0" applyAlignment="0" applyProtection="0"/>
    <xf numFmtId="190" fontId="128" fillId="0" borderId="0" applyNumberFormat="0" applyFill="0" applyBorder="0" applyAlignment="0" applyProtection="0"/>
    <xf numFmtId="190" fontId="113" fillId="0" borderId="53" applyNumberFormat="0" applyFill="0" applyAlignment="0" applyProtection="0"/>
    <xf numFmtId="190" fontId="129" fillId="0" borderId="53" applyNumberFormat="0" applyFill="0" applyAlignment="0" applyProtection="0"/>
    <xf numFmtId="164" fontId="16" fillId="0" borderId="0" applyFont="0" applyFill="0" applyBorder="0" applyAlignment="0" applyProtection="0"/>
    <xf numFmtId="165" fontId="16" fillId="0" borderId="0" applyFont="0" applyFill="0" applyBorder="0" applyAlignment="0" applyProtection="0"/>
    <xf numFmtId="231" fontId="39" fillId="0" borderId="0" applyFont="0" applyFill="0" applyBorder="0" applyAlignment="0" applyProtection="0"/>
    <xf numFmtId="232" fontId="67" fillId="0" borderId="0" applyFont="0" applyFill="0" applyBorder="0" applyAlignment="0" applyProtection="0"/>
    <xf numFmtId="0" fontId="123" fillId="0" borderId="0" applyNumberFormat="0" applyFill="0" applyBorder="0" applyAlignment="0" applyProtection="0"/>
    <xf numFmtId="233" fontId="8" fillId="0" borderId="0"/>
    <xf numFmtId="4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90" fontId="119" fillId="0" borderId="0"/>
    <xf numFmtId="42" fontId="18" fillId="0" borderId="0" applyFont="0" applyFill="0" applyBorder="0" applyAlignment="0" applyProtection="0"/>
    <xf numFmtId="44" fontId="18" fillId="0" borderId="0" applyFont="0" applyFill="0" applyBorder="0" applyAlignment="0" applyProtection="0"/>
  </cellStyleXfs>
  <cellXfs count="536">
    <xf numFmtId="0" fontId="0" fillId="0" borderId="0" xfId="0">
      <alignment vertical="center"/>
    </xf>
    <xf numFmtId="0" fontId="6" fillId="2" borderId="0" xfId="3">
      <alignment horizontal="center" vertical="top" wrapText="1"/>
    </xf>
    <xf numFmtId="0" fontId="0" fillId="0" borderId="0" xfId="0" applyFill="1">
      <alignment vertical="center"/>
    </xf>
    <xf numFmtId="166" fontId="0" fillId="0" borderId="0" xfId="41" applyFont="1">
      <alignment vertical="center"/>
    </xf>
    <xf numFmtId="0" fontId="3" fillId="0" borderId="0" xfId="47">
      <alignment horizontal="left" vertical="center" wrapText="1" indent="1"/>
    </xf>
    <xf numFmtId="0" fontId="6" fillId="0" borderId="0" xfId="46">
      <alignment horizontal="left" vertical="center" wrapText="1"/>
    </xf>
    <xf numFmtId="0" fontId="6" fillId="2" borderId="0" xfId="55" applyNumberFormat="1" applyAlignment="1">
      <alignment horizontal="left" vertical="center" wrapText="1"/>
    </xf>
    <xf numFmtId="0" fontId="6" fillId="0" borderId="4" xfId="48" applyNumberFormat="1" applyAlignment="1">
      <alignment horizontal="left" vertical="center" wrapText="1" indent="1"/>
    </xf>
    <xf numFmtId="0" fontId="5" fillId="0" borderId="0" xfId="27">
      <alignment vertical="center"/>
    </xf>
    <xf numFmtId="166" fontId="3" fillId="0" borderId="3" xfId="38" applyNumberFormat="1">
      <alignment vertical="center"/>
      <protection locked="0"/>
    </xf>
    <xf numFmtId="166" fontId="3" fillId="0" borderId="1" xfId="33" applyNumberFormat="1">
      <alignment vertical="center"/>
    </xf>
    <xf numFmtId="166" fontId="3" fillId="0" borderId="2" xfId="34" applyNumberFormat="1">
      <alignment vertical="center"/>
      <protection locked="0"/>
    </xf>
    <xf numFmtId="166" fontId="3" fillId="5" borderId="0" xfId="36" applyNumberFormat="1">
      <alignment vertical="center"/>
    </xf>
    <xf numFmtId="166" fontId="3" fillId="0" borderId="0" xfId="1" applyNumberFormat="1">
      <alignment vertical="center"/>
    </xf>
    <xf numFmtId="166" fontId="3" fillId="7" borderId="0" xfId="43" applyNumberFormat="1">
      <alignment vertical="center"/>
    </xf>
    <xf numFmtId="166" fontId="3" fillId="3" borderId="0" xfId="32" applyNumberFormat="1">
      <alignment vertical="center"/>
    </xf>
    <xf numFmtId="167" fontId="0" fillId="0" borderId="0" xfId="42"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8" fillId="0" borderId="0" xfId="40">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6" fillId="0" borderId="0" xfId="29">
      <alignment vertical="center"/>
    </xf>
    <xf numFmtId="0" fontId="2" fillId="0" borderId="0" xfId="28" applyAlignment="1">
      <alignment vertical="center"/>
    </xf>
    <xf numFmtId="0" fontId="6" fillId="0" borderId="4" xfId="48" applyNumberFormat="1">
      <alignment vertical="center"/>
    </xf>
    <xf numFmtId="0" fontId="6" fillId="2" borderId="0" xfId="55" applyNumberFormat="1">
      <alignment vertical="center"/>
    </xf>
    <xf numFmtId="0" fontId="0" fillId="8" borderId="0" xfId="50" applyFont="1">
      <alignment vertical="center"/>
    </xf>
    <xf numFmtId="0" fontId="0" fillId="0" borderId="5" xfId="49" applyNumberFormat="1" applyFont="1">
      <alignment vertical="center"/>
    </xf>
    <xf numFmtId="166" fontId="11" fillId="0" borderId="0" xfId="39" applyNumberFormat="1">
      <alignment vertical="center"/>
    </xf>
    <xf numFmtId="166" fontId="8" fillId="0" borderId="0" xfId="40" applyNumberFormat="1">
      <alignment vertical="center"/>
    </xf>
    <xf numFmtId="0" fontId="4" fillId="0" borderId="0" xfId="26">
      <alignment vertical="center"/>
    </xf>
    <xf numFmtId="0" fontId="11" fillId="0" borderId="0" xfId="39">
      <alignment vertical="center"/>
    </xf>
    <xf numFmtId="0" fontId="0" fillId="3" borderId="0" xfId="32" applyFont="1">
      <alignment vertical="center"/>
    </xf>
    <xf numFmtId="0" fontId="6" fillId="3" borderId="0" xfId="29" applyFill="1">
      <alignment vertical="center"/>
    </xf>
    <xf numFmtId="0" fontId="8" fillId="0" borderId="0" xfId="40" applyFont="1">
      <alignment vertical="center"/>
    </xf>
    <xf numFmtId="166" fontId="0" fillId="8" borderId="0" xfId="50" applyNumberFormat="1" applyFont="1">
      <alignment vertical="center"/>
    </xf>
    <xf numFmtId="168" fontId="0" fillId="8" borderId="0" xfId="50" applyNumberFormat="1" applyFont="1">
      <alignment vertical="center"/>
    </xf>
    <xf numFmtId="168" fontId="0" fillId="0" borderId="0" xfId="52" applyNumberFormat="1" applyFont="1">
      <alignment vertical="center"/>
    </xf>
    <xf numFmtId="169" fontId="0" fillId="0" borderId="0" xfId="52" applyNumberFormat="1" applyFont="1">
      <alignment vertical="center"/>
    </xf>
    <xf numFmtId="0" fontId="0" fillId="0" borderId="0" xfId="56" applyFont="1">
      <alignment vertical="center"/>
    </xf>
    <xf numFmtId="166" fontId="3" fillId="0" borderId="0" xfId="56" applyNumberFormat="1">
      <alignment vertical="center"/>
    </xf>
    <xf numFmtId="0" fontId="0" fillId="0" borderId="0" xfId="52" applyNumberFormat="1" applyFont="1">
      <alignment vertical="center"/>
    </xf>
    <xf numFmtId="166" fontId="3" fillId="4" borderId="2" xfId="35">
      <alignment vertical="center"/>
      <protection locked="0"/>
    </xf>
    <xf numFmtId="0" fontId="6" fillId="0" borderId="0" xfId="46" applyAlignment="1">
      <alignment horizontal="left" vertical="center" wrapText="1"/>
    </xf>
    <xf numFmtId="166" fontId="6" fillId="2" borderId="0" xfId="55">
      <alignment vertical="center"/>
    </xf>
    <xf numFmtId="0" fontId="5" fillId="0" borderId="0" xfId="27" applyFill="1" applyAlignment="1">
      <alignment horizontal="left"/>
    </xf>
    <xf numFmtId="0" fontId="6" fillId="0" borderId="0" xfId="46" applyAlignment="1">
      <alignment horizontal="left" vertical="center" wrapText="1" indent="1"/>
    </xf>
    <xf numFmtId="0" fontId="6" fillId="8" borderId="5" xfId="50" applyFont="1" applyBorder="1">
      <alignment vertical="center"/>
    </xf>
    <xf numFmtId="166" fontId="6" fillId="7" borderId="0" xfId="43" applyNumberFormat="1" applyFont="1">
      <alignment vertical="center"/>
    </xf>
    <xf numFmtId="0" fontId="6" fillId="7" borderId="0" xfId="43" applyFont="1" applyAlignment="1">
      <alignment horizontal="left" vertical="center" wrapText="1"/>
    </xf>
    <xf numFmtId="49" fontId="0" fillId="0" borderId="0" xfId="53" applyFont="1" applyAlignment="1">
      <alignment vertical="center"/>
    </xf>
    <xf numFmtId="166" fontId="3" fillId="6" borderId="0" xfId="37" applyNumberFormat="1" applyFill="1">
      <alignment vertical="center"/>
    </xf>
    <xf numFmtId="167" fontId="9" fillId="0" borderId="0" xfId="2">
      <alignment vertical="center"/>
    </xf>
    <xf numFmtId="0" fontId="6" fillId="2" borderId="0" xfId="4">
      <alignment horizontal="left" vertical="top" wrapText="1"/>
    </xf>
    <xf numFmtId="166" fontId="3" fillId="6" borderId="0" xfId="37" applyNumberFormat="1">
      <alignment vertical="center"/>
    </xf>
    <xf numFmtId="166" fontId="6" fillId="0" borderId="0" xfId="54">
      <alignment vertical="center"/>
    </xf>
    <xf numFmtId="0" fontId="6" fillId="2" borderId="0" xfId="5">
      <alignment horizontal="centerContinuous" vertical="top"/>
    </xf>
    <xf numFmtId="185" fontId="0" fillId="0" borderId="0" xfId="23" applyFont="1">
      <alignment vertical="center"/>
    </xf>
    <xf numFmtId="0" fontId="6" fillId="7" borderId="0" xfId="43" applyFont="1">
      <alignment vertical="center"/>
    </xf>
    <xf numFmtId="0" fontId="0" fillId="0" borderId="0" xfId="0" applyAlignment="1">
      <alignment horizontal="center" vertical="center"/>
    </xf>
    <xf numFmtId="0" fontId="7" fillId="0" borderId="0" xfId="25" applyFill="1" applyAlignment="1">
      <alignment horizontal="center" vertical="center"/>
    </xf>
    <xf numFmtId="38" fontId="7" fillId="0" borderId="0" xfId="25" applyNumberFormat="1" applyFill="1" applyBorder="1" applyAlignment="1">
      <alignment horizontal="center" vertical="center"/>
    </xf>
    <xf numFmtId="38" fontId="7" fillId="0" borderId="0" xfId="25" applyNumberFormat="1" applyFill="1" applyBorder="1">
      <alignment vertical="center"/>
    </xf>
    <xf numFmtId="0" fontId="7" fillId="0" borderId="0" xfId="25" applyFill="1" applyBorder="1">
      <alignment vertical="center"/>
    </xf>
    <xf numFmtId="0" fontId="7" fillId="0" borderId="0" xfId="25" applyFill="1">
      <alignment vertical="center"/>
    </xf>
    <xf numFmtId="0" fontId="0" fillId="0" borderId="6" xfId="0" applyBorder="1">
      <alignment vertical="center"/>
    </xf>
    <xf numFmtId="0" fontId="14" fillId="0" borderId="8" xfId="31" applyAlignment="1">
      <alignment vertical="center"/>
    </xf>
    <xf numFmtId="0" fontId="13" fillId="0" borderId="7" xfId="30" applyAlignment="1">
      <alignment vertical="center"/>
    </xf>
    <xf numFmtId="0" fontId="7" fillId="0" borderId="0" xfId="25" applyFont="1" applyFill="1">
      <alignment vertical="center"/>
    </xf>
    <xf numFmtId="0" fontId="3" fillId="0" borderId="3" xfId="38">
      <alignment vertical="center"/>
      <protection locked="0"/>
    </xf>
    <xf numFmtId="0" fontId="3" fillId="0" borderId="1" xfId="33">
      <alignment vertical="center"/>
    </xf>
    <xf numFmtId="0" fontId="3" fillId="5" borderId="0" xfId="36">
      <alignment vertical="center"/>
    </xf>
    <xf numFmtId="0" fontId="6" fillId="0" borderId="0" xfId="0" applyFont="1">
      <alignment vertical="center"/>
    </xf>
    <xf numFmtId="169" fontId="0" fillId="0" borderId="0" xfId="45" applyFont="1">
      <alignment vertical="center"/>
    </xf>
    <xf numFmtId="169" fontId="3" fillId="0" borderId="1" xfId="33" applyNumberFormat="1">
      <alignment vertical="center"/>
    </xf>
    <xf numFmtId="166" fontId="6" fillId="0" borderId="0" xfId="41" applyFont="1">
      <alignment vertical="center"/>
    </xf>
    <xf numFmtId="168" fontId="3" fillId="4" borderId="2" xfId="35" applyNumberFormat="1" applyAlignment="1">
      <alignment vertical="center"/>
      <protection locked="0"/>
    </xf>
    <xf numFmtId="0" fontId="0" fillId="0" borderId="3" xfId="38" applyFont="1">
      <alignment vertical="center"/>
      <protection locked="0"/>
    </xf>
    <xf numFmtId="166" fontId="3" fillId="0" borderId="1" xfId="41" applyBorder="1">
      <alignment vertical="center"/>
    </xf>
    <xf numFmtId="168" fontId="3" fillId="5" borderId="0" xfId="44" applyFill="1" applyAlignment="1">
      <alignment vertical="center"/>
    </xf>
    <xf numFmtId="0" fontId="0" fillId="0" borderId="0" xfId="0" applyFont="1" applyAlignment="1">
      <alignment vertical="center"/>
    </xf>
    <xf numFmtId="167" fontId="3" fillId="5" borderId="0" xfId="42" applyFill="1">
      <alignment vertical="center"/>
    </xf>
    <xf numFmtId="0" fontId="3" fillId="0" borderId="2" xfId="34">
      <alignment vertical="center"/>
      <protection locked="0"/>
    </xf>
    <xf numFmtId="166" fontId="3" fillId="5" borderId="0" xfId="41" applyFill="1">
      <alignment vertical="center"/>
    </xf>
    <xf numFmtId="166" fontId="0" fillId="0" borderId="0" xfId="0" applyNumberFormat="1">
      <alignment vertical="center"/>
    </xf>
    <xf numFmtId="169" fontId="3" fillId="0" borderId="1" xfId="33" applyNumberFormat="1" applyAlignment="1">
      <alignment vertical="center"/>
    </xf>
    <xf numFmtId="168" fontId="0" fillId="0" borderId="0" xfId="44" applyFont="1" applyAlignment="1">
      <alignment vertical="center"/>
    </xf>
    <xf numFmtId="0" fontId="0" fillId="0" borderId="0" xfId="0" applyAlignment="1">
      <alignment horizontal="left" vertical="center" wrapText="1" indent="1"/>
    </xf>
    <xf numFmtId="0" fontId="17" fillId="0" borderId="0" xfId="58">
      <alignment vertical="center"/>
    </xf>
    <xf numFmtId="166" fontId="0" fillId="7" borderId="0" xfId="43" applyNumberFormat="1" applyFont="1">
      <alignment vertical="center"/>
    </xf>
    <xf numFmtId="168" fontId="3" fillId="5" borderId="0" xfId="36" applyNumberFormat="1" applyAlignment="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7" fillId="0" borderId="0" xfId="25" applyFill="1" applyBorder="1">
      <alignment vertical="center"/>
    </xf>
    <xf numFmtId="0" fontId="6" fillId="0" borderId="0" xfId="0" applyFont="1">
      <alignment vertical="center"/>
    </xf>
    <xf numFmtId="0" fontId="7" fillId="0" borderId="0" xfId="25" applyFont="1" applyFill="1">
      <alignment vertical="center"/>
    </xf>
    <xf numFmtId="0" fontId="0" fillId="0" borderId="0" xfId="0" applyFont="1">
      <alignment vertical="center"/>
    </xf>
    <xf numFmtId="0" fontId="0" fillId="0" borderId="0" xfId="0" applyAlignment="1">
      <alignment vertical="center" wrapText="1"/>
    </xf>
    <xf numFmtId="0" fontId="2" fillId="0" borderId="0" xfId="0" applyFont="1">
      <alignment vertical="center"/>
    </xf>
    <xf numFmtId="0" fontId="18" fillId="0" borderId="0" xfId="0" applyFont="1">
      <alignment vertical="center"/>
    </xf>
    <xf numFmtId="0" fontId="19" fillId="0" borderId="9"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left" wrapText="1"/>
    </xf>
    <xf numFmtId="166" fontId="19" fillId="0" borderId="10" xfId="41" applyFont="1" applyBorder="1" applyAlignment="1">
      <alignment horizontal="right" wrapText="1"/>
    </xf>
    <xf numFmtId="166" fontId="19" fillId="0" borderId="9" xfId="41" applyFont="1" applyBorder="1" applyAlignment="1">
      <alignment wrapText="1"/>
    </xf>
    <xf numFmtId="166" fontId="19" fillId="0" borderId="10" xfId="41" applyFont="1" applyBorder="1" applyAlignment="1">
      <alignment horizontal="center" wrapText="1"/>
    </xf>
    <xf numFmtId="169" fontId="3" fillId="5" borderId="0" xfId="36" applyNumberFormat="1">
      <alignment vertical="center"/>
    </xf>
    <xf numFmtId="167" fontId="3" fillId="0" borderId="2" xfId="42" applyBorder="1" applyProtection="1">
      <alignment vertical="center"/>
      <protection locked="0"/>
    </xf>
    <xf numFmtId="0" fontId="19" fillId="0" borderId="10" xfId="0" applyFont="1" applyBorder="1" applyAlignment="1">
      <alignment horizontal="center" wrapText="1"/>
    </xf>
    <xf numFmtId="169" fontId="3" fillId="4" borderId="2" xfId="45" applyFill="1" applyBorder="1" applyAlignment="1" applyProtection="1">
      <alignment vertical="center"/>
      <protection locked="0"/>
    </xf>
    <xf numFmtId="169" fontId="3" fillId="5" borderId="0" xfId="45" applyFill="1" applyAlignment="1">
      <alignment vertical="center"/>
    </xf>
    <xf numFmtId="169" fontId="3" fillId="0" borderId="2" xfId="34" applyNumberFormat="1">
      <alignment vertical="center"/>
      <protection locked="0"/>
    </xf>
    <xf numFmtId="187" fontId="3" fillId="0" borderId="1" xfId="33" applyNumberFormat="1" applyAlignment="1">
      <alignment vertical="center"/>
    </xf>
    <xf numFmtId="187" fontId="3" fillId="5" borderId="0" xfId="36" applyNumberFormat="1" applyAlignment="1">
      <alignment vertical="center"/>
    </xf>
    <xf numFmtId="0" fontId="0" fillId="0" borderId="0" xfId="0" quotePrefix="1">
      <alignment vertical="center"/>
    </xf>
    <xf numFmtId="169" fontId="0" fillId="7" borderId="0" xfId="43" applyNumberFormat="1" applyFont="1">
      <alignment vertical="center"/>
    </xf>
    <xf numFmtId="168" fontId="3" fillId="0" borderId="2" xfId="44" applyBorder="1" applyAlignment="1" applyProtection="1">
      <alignment vertical="center"/>
      <protection locked="0"/>
    </xf>
    <xf numFmtId="0" fontId="0" fillId="0" borderId="0" xfId="0" applyAlignment="1">
      <alignment vertical="center"/>
    </xf>
    <xf numFmtId="169" fontId="6" fillId="0" borderId="0" xfId="54" applyNumberFormat="1">
      <alignment vertical="center"/>
    </xf>
    <xf numFmtId="0" fontId="3" fillId="0" borderId="2" xfId="34" applyAlignment="1">
      <alignment vertical="center" wrapText="1"/>
      <protection locked="0"/>
    </xf>
    <xf numFmtId="188" fontId="3" fillId="5" borderId="0" xfId="42" applyNumberFormat="1" applyFill="1">
      <alignment vertical="center"/>
    </xf>
    <xf numFmtId="0" fontId="0" fillId="0" borderId="0" xfId="0" applyAlignment="1">
      <alignment vertical="center"/>
    </xf>
    <xf numFmtId="0" fontId="6" fillId="2" borderId="0" xfId="3">
      <alignment horizontal="center" vertical="top" wrapText="1"/>
    </xf>
    <xf numFmtId="49" fontId="17" fillId="0" borderId="0" xfId="58" applyNumberFormat="1" applyAlignment="1">
      <alignment vertical="center"/>
    </xf>
    <xf numFmtId="166" fontId="0" fillId="0" borderId="2" xfId="34" applyNumberFormat="1" applyFont="1">
      <alignment vertical="center"/>
      <protection locked="0"/>
    </xf>
    <xf numFmtId="168" fontId="3" fillId="0" borderId="3" xfId="38" applyNumberFormat="1" applyAlignment="1">
      <alignment vertical="center"/>
      <protection locked="0"/>
    </xf>
    <xf numFmtId="167" fontId="3" fillId="0" borderId="3" xfId="38" applyNumberFormat="1">
      <alignment vertical="center"/>
      <protection locked="0"/>
    </xf>
    <xf numFmtId="9" fontId="3" fillId="0" borderId="1" xfId="33" applyNumberFormat="1" applyAlignment="1">
      <alignment vertical="center"/>
    </xf>
    <xf numFmtId="0" fontId="12" fillId="0" borderId="0" xfId="0" applyFont="1" applyAlignment="1">
      <alignment vertical="center" wrapText="1"/>
    </xf>
    <xf numFmtId="0" fontId="12" fillId="0" borderId="0" xfId="0" applyFont="1">
      <alignment vertical="center"/>
    </xf>
    <xf numFmtId="0" fontId="6" fillId="2" borderId="12" xfId="3" applyBorder="1">
      <alignment horizontal="center" vertical="top" wrapText="1"/>
    </xf>
    <xf numFmtId="3" fontId="6" fillId="2" borderId="10" xfId="3" applyNumberFormat="1" applyBorder="1">
      <alignment horizontal="center" vertical="top" wrapText="1"/>
    </xf>
    <xf numFmtId="0" fontId="6" fillId="2" borderId="10" xfId="3" applyBorder="1">
      <alignment horizontal="center" vertical="top" wrapTex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6" fillId="2" borderId="11" xfId="3" applyBorder="1">
      <alignment horizontal="center" vertical="top" wrapText="1"/>
    </xf>
    <xf numFmtId="0" fontId="0" fillId="0" borderId="0" xfId="0" applyFont="1" applyAlignment="1">
      <alignment horizontal="left" vertical="center" indent="1"/>
    </xf>
    <xf numFmtId="0" fontId="0" fillId="0" borderId="0" xfId="0">
      <alignment vertical="center"/>
    </xf>
    <xf numFmtId="0" fontId="6" fillId="2" borderId="0" xfId="3">
      <alignment horizontal="center" vertical="top" wrapText="1"/>
    </xf>
    <xf numFmtId="0" fontId="0" fillId="0" borderId="0" xfId="0" applyBorder="1">
      <alignment vertical="center"/>
    </xf>
    <xf numFmtId="0" fontId="13" fillId="0" borderId="7" xfId="30" applyAlignment="1">
      <alignment vertical="center"/>
    </xf>
    <xf numFmtId="0" fontId="0" fillId="0" borderId="0" xfId="0">
      <alignment vertical="center"/>
    </xf>
    <xf numFmtId="0" fontId="3" fillId="0" borderId="3" xfId="38">
      <alignment vertical="center"/>
      <protection locked="0"/>
    </xf>
    <xf numFmtId="167" fontId="3" fillId="5" borderId="0" xfId="36" applyNumberFormat="1">
      <alignment vertical="center"/>
    </xf>
    <xf numFmtId="0" fontId="23" fillId="0" borderId="0" xfId="0" applyFont="1">
      <alignment vertical="center"/>
    </xf>
    <xf numFmtId="0" fontId="22" fillId="0" borderId="0" xfId="39" applyFont="1">
      <alignment vertical="center"/>
    </xf>
    <xf numFmtId="0" fontId="12" fillId="0" borderId="0" xfId="0" applyFont="1" applyAlignment="1">
      <alignment horizontal="left" vertical="center"/>
    </xf>
    <xf numFmtId="0" fontId="0" fillId="0" borderId="0" xfId="0">
      <alignment vertical="center"/>
    </xf>
    <xf numFmtId="0" fontId="7" fillId="0" borderId="0" xfId="25" applyFill="1" applyAlignment="1">
      <alignment horizontal="center" vertical="center"/>
    </xf>
    <xf numFmtId="0" fontId="13" fillId="0" borderId="7" xfId="30" applyAlignment="1">
      <alignment vertical="center"/>
    </xf>
    <xf numFmtId="169" fontId="0" fillId="0" borderId="0" xfId="45" applyFont="1">
      <alignment vertical="center"/>
    </xf>
    <xf numFmtId="0" fontId="7" fillId="0" borderId="0" xfId="25" applyFill="1" applyBorder="1">
      <alignment vertical="center"/>
    </xf>
    <xf numFmtId="0" fontId="7" fillId="0" borderId="0" xfId="25" applyFill="1">
      <alignment vertical="center"/>
    </xf>
    <xf numFmtId="0" fontId="0" fillId="0" borderId="0" xfId="0">
      <alignment vertical="center"/>
    </xf>
    <xf numFmtId="0" fontId="7" fillId="0" borderId="0" xfId="25" applyFont="1" applyFill="1">
      <alignment vertical="center"/>
    </xf>
    <xf numFmtId="0" fontId="13" fillId="0" borderId="7" xfId="30" applyAlignment="1">
      <alignment vertical="center"/>
    </xf>
    <xf numFmtId="0" fontId="13" fillId="0" borderId="7" xfId="30" applyAlignment="1">
      <alignment vertical="center"/>
    </xf>
    <xf numFmtId="0" fontId="0" fillId="0" borderId="0" xfId="0">
      <alignment vertical="center"/>
    </xf>
    <xf numFmtId="0" fontId="6" fillId="2" borderId="0" xfId="3">
      <alignment horizontal="center" vertical="top" wrapText="1"/>
    </xf>
    <xf numFmtId="0" fontId="6" fillId="0" borderId="0" xfId="29">
      <alignment vertical="center"/>
    </xf>
    <xf numFmtId="0" fontId="6" fillId="0" borderId="0" xfId="0" applyFont="1">
      <alignment vertical="center"/>
    </xf>
    <xf numFmtId="0" fontId="17" fillId="0" borderId="0" xfId="58">
      <alignment vertical="center"/>
    </xf>
    <xf numFmtId="0" fontId="2" fillId="0" borderId="0" xfId="0" applyFont="1">
      <alignment vertical="center"/>
    </xf>
    <xf numFmtId="0" fontId="18" fillId="0" borderId="0" xfId="0" applyFont="1">
      <alignment vertical="center"/>
    </xf>
    <xf numFmtId="0" fontId="0" fillId="0" borderId="0" xfId="0">
      <alignment vertical="center"/>
    </xf>
    <xf numFmtId="0" fontId="0" fillId="0" borderId="0" xfId="0">
      <alignment vertical="center"/>
    </xf>
    <xf numFmtId="0" fontId="13" fillId="0" borderId="7" xfId="30" applyAlignment="1">
      <alignment vertical="center"/>
    </xf>
    <xf numFmtId="0" fontId="7" fillId="0" borderId="0" xfId="25" applyFont="1" applyFill="1">
      <alignment vertical="center"/>
    </xf>
    <xf numFmtId="0" fontId="0" fillId="0" borderId="0" xfId="0">
      <alignment vertical="center"/>
    </xf>
    <xf numFmtId="0" fontId="14" fillId="0" borderId="8" xfId="31" applyAlignment="1">
      <alignment vertical="center"/>
    </xf>
    <xf numFmtId="0" fontId="6" fillId="0" borderId="0" xfId="0" applyFont="1">
      <alignment vertical="center"/>
    </xf>
    <xf numFmtId="0" fontId="6" fillId="0" borderId="0" xfId="0" applyFont="1">
      <alignment vertical="center"/>
    </xf>
    <xf numFmtId="0" fontId="6" fillId="0" borderId="0" xfId="0" applyFont="1">
      <alignment vertical="center"/>
    </xf>
    <xf numFmtId="0" fontId="6" fillId="0" borderId="0" xfId="0" applyFont="1">
      <alignment vertical="center"/>
    </xf>
    <xf numFmtId="0" fontId="6" fillId="0" borderId="0" xfId="0" applyFont="1">
      <alignment vertical="center"/>
    </xf>
    <xf numFmtId="0" fontId="3" fillId="5" borderId="0" xfId="36">
      <alignment vertical="center"/>
    </xf>
    <xf numFmtId="0" fontId="6" fillId="0" borderId="0" xfId="0" applyFont="1">
      <alignment vertical="center"/>
    </xf>
    <xf numFmtId="0" fontId="12" fillId="0" borderId="0" xfId="0" applyFont="1" applyAlignment="1">
      <alignment vertical="center"/>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left" vertical="center" indent="1"/>
    </xf>
    <xf numFmtId="0" fontId="6" fillId="0" borderId="0" xfId="0" applyFont="1">
      <alignment vertical="center"/>
    </xf>
    <xf numFmtId="0" fontId="14" fillId="0" borderId="8" xfId="31" applyAlignment="1">
      <alignment vertical="center"/>
    </xf>
    <xf numFmtId="0" fontId="0" fillId="0" borderId="0" xfId="0">
      <alignment vertical="center"/>
    </xf>
    <xf numFmtId="0" fontId="6" fillId="0" borderId="0" xfId="0" applyFont="1">
      <alignment vertical="center"/>
    </xf>
    <xf numFmtId="0" fontId="0" fillId="0" borderId="0" xfId="0" applyAlignment="1">
      <alignment horizontal="left" vertical="center" inden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169" fontId="3" fillId="5" borderId="0" xfId="36" applyNumberFormat="1">
      <alignment vertical="center"/>
    </xf>
    <xf numFmtId="0" fontId="7" fillId="0" borderId="0" xfId="25" applyFont="1" applyFill="1">
      <alignment vertical="center"/>
    </xf>
    <xf numFmtId="0" fontId="0" fillId="0" borderId="0" xfId="0">
      <alignment vertical="center"/>
    </xf>
    <xf numFmtId="0" fontId="13" fillId="0" borderId="7" xfId="30" applyAlignment="1">
      <alignment vertical="center"/>
    </xf>
    <xf numFmtId="0" fontId="0" fillId="0" borderId="0" xfId="0">
      <alignment vertical="center"/>
    </xf>
    <xf numFmtId="0" fontId="6" fillId="2" borderId="0" xfId="3">
      <alignment horizontal="center" vertical="top" wrapText="1"/>
    </xf>
    <xf numFmtId="0" fontId="0" fillId="0" borderId="0" xfId="0">
      <alignment vertical="center"/>
    </xf>
    <xf numFmtId="0" fontId="6" fillId="2" borderId="0" xfId="3">
      <alignment horizontal="center" vertical="top" wrapText="1"/>
    </xf>
    <xf numFmtId="0" fontId="11" fillId="0" borderId="0" xfId="39">
      <alignment vertical="center"/>
    </xf>
    <xf numFmtId="0" fontId="6" fillId="0" borderId="0" xfId="0" applyFont="1">
      <alignmen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lignmen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11" fillId="0" borderId="0" xfId="39">
      <alignment vertical="center"/>
    </xf>
    <xf numFmtId="0" fontId="6" fillId="0" borderId="0" xfId="0" applyFont="1">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11" fillId="0" borderId="0" xfId="39">
      <alignment vertical="center"/>
    </xf>
    <xf numFmtId="0" fontId="0" fillId="0" borderId="0" xfId="0">
      <alignment vertical="center"/>
    </xf>
    <xf numFmtId="166" fontId="3" fillId="0" borderId="3" xfId="38" applyNumberFormat="1">
      <alignment vertical="center"/>
      <protection locked="0"/>
    </xf>
    <xf numFmtId="166" fontId="3" fillId="0" borderId="1" xfId="33" applyNumberFormat="1">
      <alignment vertical="center"/>
    </xf>
    <xf numFmtId="0" fontId="11" fillId="0" borderId="0" xfId="39">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17" fillId="0" borderId="0" xfId="58">
      <alignment vertical="center"/>
    </xf>
    <xf numFmtId="0" fontId="0" fillId="0" borderId="0" xfId="0">
      <alignment vertical="center"/>
    </xf>
    <xf numFmtId="0" fontId="11" fillId="0" borderId="0" xfId="39">
      <alignment vertical="center"/>
    </xf>
    <xf numFmtId="0" fontId="17" fillId="0" borderId="0" xfId="58">
      <alignment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indent="1"/>
    </xf>
    <xf numFmtId="0" fontId="0" fillId="0" borderId="0" xfId="0">
      <alignment vertical="center"/>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left" vertical="center" indent="1"/>
    </xf>
    <xf numFmtId="0" fontId="0" fillId="0" borderId="0" xfId="0" applyFont="1">
      <alignment vertical="center"/>
    </xf>
    <xf numFmtId="0" fontId="6" fillId="2" borderId="0" xfId="3">
      <alignment horizontal="center" vertical="top" wrapText="1"/>
    </xf>
    <xf numFmtId="0" fontId="0" fillId="0" borderId="0" xfId="0">
      <alignment vertical="center"/>
    </xf>
    <xf numFmtId="0" fontId="0" fillId="0" borderId="0" xfId="0" applyAlignment="1">
      <alignment vertical="center"/>
    </xf>
    <xf numFmtId="0" fontId="7" fillId="0" borderId="0" xfId="25" applyFont="1" applyFill="1">
      <alignment vertical="center"/>
    </xf>
    <xf numFmtId="0" fontId="0" fillId="0" borderId="0" xfId="0">
      <alignment vertical="center"/>
    </xf>
    <xf numFmtId="0" fontId="6" fillId="0" borderId="0" xfId="0" applyFo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1" fillId="0" borderId="0" xfId="39">
      <alignment vertical="center"/>
    </xf>
    <xf numFmtId="0" fontId="6" fillId="0" borderId="0" xfId="0" applyFont="1">
      <alignment vertical="center"/>
    </xf>
    <xf numFmtId="0" fontId="0" fillId="0" borderId="0" xfId="0" applyFont="1" applyAlignment="1">
      <alignment vertical="center"/>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vertical="center" wrapText="1"/>
    </xf>
    <xf numFmtId="0" fontId="0" fillId="0" borderId="0" xfId="0" applyFont="1">
      <alignment vertical="center"/>
    </xf>
    <xf numFmtId="0" fontId="0" fillId="0" borderId="0" xfId="0" quotePrefix="1">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0" xfId="0" applyFo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6" fillId="0" borderId="0" xfId="0" applyFont="1">
      <alignment vertical="center"/>
    </xf>
    <xf numFmtId="0" fontId="0"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11" fillId="0" borderId="0" xfId="39">
      <alignment vertical="center"/>
    </xf>
    <xf numFmtId="0" fontId="6" fillId="0" borderId="0" xfId="0" applyFont="1">
      <alignment vertical="center"/>
    </xf>
    <xf numFmtId="166" fontId="3" fillId="5" borderId="0" xfId="41" applyFill="1">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11" fillId="0" borderId="0" xfId="39">
      <alignment vertical="center"/>
    </xf>
    <xf numFmtId="0" fontId="6" fillId="0" borderId="0" xfId="0" applyFont="1">
      <alignment vertical="center"/>
    </xf>
    <xf numFmtId="0" fontId="0"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lignment vertical="center"/>
    </xf>
    <xf numFmtId="166" fontId="0" fillId="0" borderId="0" xfId="41" applyFont="1">
      <alignment vertical="center"/>
    </xf>
    <xf numFmtId="166" fontId="3" fillId="0" borderId="3" xfId="38" applyNumberFormat="1">
      <alignment vertical="center"/>
      <protection locked="0"/>
    </xf>
    <xf numFmtId="166" fontId="3" fillId="0" borderId="1" xfId="33" applyNumberFormat="1">
      <alignment vertical="center"/>
    </xf>
    <xf numFmtId="166" fontId="3" fillId="0" borderId="2" xfId="34" applyNumberFormat="1">
      <alignment vertical="center"/>
      <protection locked="0"/>
    </xf>
    <xf numFmtId="166" fontId="3" fillId="5" borderId="0" xfId="36" applyNumberFormat="1">
      <alignment vertical="center"/>
    </xf>
    <xf numFmtId="166" fontId="3" fillId="0" borderId="0" xfId="1" applyNumberFormat="1">
      <alignment vertical="center"/>
    </xf>
    <xf numFmtId="166" fontId="3" fillId="7" borderId="0" xfId="43" applyNumberFormat="1">
      <alignment vertical="center"/>
    </xf>
    <xf numFmtId="0" fontId="11" fillId="0" borderId="0" xfId="39">
      <alignment vertical="center"/>
    </xf>
    <xf numFmtId="0" fontId="3" fillId="5" borderId="0" xfId="36">
      <alignment vertical="center"/>
    </xf>
    <xf numFmtId="0" fontId="6" fillId="0" borderId="0" xfId="0" applyFont="1">
      <alignment vertical="center"/>
    </xf>
    <xf numFmtId="168" fontId="3" fillId="5" borderId="0" xfId="44" applyFill="1" applyAlignment="1">
      <alignment vertical="center"/>
    </xf>
    <xf numFmtId="0" fontId="15" fillId="0" borderId="0" xfId="0" applyFont="1">
      <alignment vertical="center"/>
    </xf>
    <xf numFmtId="0" fontId="6" fillId="2" borderId="0" xfId="3">
      <alignment horizontal="center" vertical="top" wrapText="1"/>
    </xf>
    <xf numFmtId="0" fontId="6" fillId="2" borderId="0" xfId="3">
      <alignment horizontal="center" vertical="top" wrapText="1"/>
    </xf>
    <xf numFmtId="167" fontId="0" fillId="7" borderId="0" xfId="43" applyNumberFormat="1" applyFont="1">
      <alignment vertical="center"/>
    </xf>
    <xf numFmtId="0" fontId="0" fillId="2" borderId="0" xfId="6" applyFont="1">
      <alignment horizontal="center" vertical="top" wrapText="1"/>
    </xf>
    <xf numFmtId="0" fontId="0" fillId="0" borderId="0" xfId="47" applyFont="1">
      <alignment horizontal="left" vertical="center" wrapText="1" indent="1"/>
    </xf>
    <xf numFmtId="168" fontId="3" fillId="0" borderId="3" xfId="44" applyBorder="1" applyAlignment="1" applyProtection="1">
      <alignment vertical="center"/>
      <protection locked="0"/>
    </xf>
    <xf numFmtId="166" fontId="3" fillId="0" borderId="2" xfId="41" applyBorder="1" applyProtection="1">
      <alignment vertical="center"/>
      <protection locked="0"/>
    </xf>
    <xf numFmtId="167" fontId="3" fillId="0" borderId="2" xfId="34" applyNumberFormat="1">
      <alignment vertical="center"/>
      <protection locked="0"/>
    </xf>
    <xf numFmtId="0" fontId="0" fillId="0" borderId="2" xfId="34" applyFont="1">
      <alignment vertical="center"/>
      <protection locked="0"/>
    </xf>
    <xf numFmtId="167" fontId="3" fillId="7" borderId="0" xfId="43" applyNumberFormat="1">
      <alignment vertical="center"/>
    </xf>
    <xf numFmtId="169" fontId="3" fillId="0" borderId="0" xfId="1" applyNumberFormat="1">
      <alignment vertical="center"/>
    </xf>
    <xf numFmtId="166" fontId="3" fillId="0" borderId="1" xfId="41" applyBorder="1" applyAlignment="1">
      <alignment vertical="center"/>
    </xf>
    <xf numFmtId="0" fontId="0" fillId="0" borderId="2" xfId="34" applyNumberFormat="1" applyFont="1">
      <alignment vertical="center"/>
      <protection locked="0"/>
    </xf>
    <xf numFmtId="0" fontId="12" fillId="0" borderId="2" xfId="34" applyFont="1">
      <alignment vertical="center"/>
      <protection locked="0"/>
    </xf>
    <xf numFmtId="0" fontId="23" fillId="0" borderId="15" xfId="34" applyFont="1" applyFill="1" applyBorder="1">
      <alignment vertical="center"/>
      <protection locked="0"/>
    </xf>
    <xf numFmtId="0" fontId="3" fillId="5" borderId="0" xfId="36" applyNumberFormat="1">
      <alignment vertical="center"/>
    </xf>
    <xf numFmtId="166" fontId="6" fillId="0" borderId="0" xfId="54" applyNumberFormat="1">
      <alignment vertical="center"/>
    </xf>
    <xf numFmtId="0" fontId="0" fillId="0" borderId="0" xfId="0" applyAlignment="1">
      <alignment horizontal="right" vertical="center"/>
    </xf>
    <xf numFmtId="166" fontId="0" fillId="7" borderId="0" xfId="41" applyFont="1" applyFill="1">
      <alignment vertical="center"/>
    </xf>
    <xf numFmtId="189" fontId="3" fillId="5" borderId="0" xfId="36" applyNumberFormat="1">
      <alignment vertical="center"/>
    </xf>
    <xf numFmtId="189" fontId="3" fillId="0" borderId="1" xfId="33" applyNumberFormat="1">
      <alignment vertical="center"/>
    </xf>
    <xf numFmtId="166" fontId="0" fillId="0" borderId="2" xfId="41" applyFont="1" applyBorder="1" applyProtection="1">
      <alignment vertical="center"/>
      <protection locked="0"/>
    </xf>
    <xf numFmtId="166" fontId="3" fillId="0" borderId="3" xfId="41" applyBorder="1" applyProtection="1">
      <alignment vertical="center"/>
      <protection locked="0"/>
    </xf>
    <xf numFmtId="0" fontId="25" fillId="0" borderId="16" xfId="68" applyAlignment="1">
      <alignment vertical="center"/>
    </xf>
    <xf numFmtId="166" fontId="0" fillId="0" borderId="3" xfId="41" applyFont="1" applyBorder="1" applyProtection="1">
      <alignment vertical="center"/>
      <protection locked="0"/>
    </xf>
    <xf numFmtId="167" fontId="0" fillId="0" borderId="0" xfId="0" applyNumberFormat="1">
      <alignment vertical="center"/>
    </xf>
    <xf numFmtId="0" fontId="0" fillId="10" borderId="0" xfId="0" applyFill="1">
      <alignment vertical="center"/>
    </xf>
    <xf numFmtId="0" fontId="5" fillId="8" borderId="0" xfId="27" applyFill="1" applyAlignment="1">
      <alignment vertical="center"/>
    </xf>
    <xf numFmtId="0" fontId="3" fillId="12" borderId="2" xfId="34" applyFill="1">
      <alignment vertical="center"/>
      <protection locked="0"/>
    </xf>
    <xf numFmtId="2" fontId="3" fillId="0" borderId="2" xfId="34" applyNumberFormat="1">
      <alignment vertical="center"/>
      <protection locked="0"/>
    </xf>
    <xf numFmtId="0" fontId="0" fillId="0" borderId="15" xfId="34" applyNumberFormat="1" applyFont="1" applyFill="1" applyBorder="1">
      <alignment vertical="center"/>
      <protection locked="0"/>
    </xf>
    <xf numFmtId="0" fontId="6" fillId="0" borderId="0" xfId="29" applyAlignment="1">
      <alignment vertical="center"/>
    </xf>
    <xf numFmtId="0" fontId="6" fillId="0" borderId="0" xfId="0" applyFont="1" applyAlignment="1">
      <alignment horizontal="left" vertical="center"/>
    </xf>
    <xf numFmtId="0" fontId="3" fillId="0" borderId="2" xfId="34" applyAlignment="1">
      <alignment horizontal="left" vertical="center"/>
      <protection locked="0"/>
    </xf>
    <xf numFmtId="191" fontId="3" fillId="0" borderId="2" xfId="69" applyNumberFormat="1" applyBorder="1" applyAlignment="1" applyProtection="1">
      <alignment vertical="center"/>
      <protection locked="0"/>
    </xf>
    <xf numFmtId="0" fontId="6" fillId="0" borderId="0" xfId="0" applyFont="1" applyAlignment="1">
      <alignment horizontal="right" vertical="center"/>
    </xf>
    <xf numFmtId="171" fontId="6" fillId="0" borderId="0" xfId="54" applyNumberFormat="1">
      <alignment vertical="center"/>
    </xf>
    <xf numFmtId="0" fontId="6" fillId="0" borderId="2" xfId="34" applyFont="1" applyAlignment="1">
      <alignment horizontal="left" vertical="center"/>
      <protection locked="0"/>
    </xf>
    <xf numFmtId="0" fontId="6" fillId="0" borderId="2" xfId="34" applyFont="1" applyAlignment="1">
      <alignment horizontal="right" vertical="center"/>
      <protection locked="0"/>
    </xf>
    <xf numFmtId="171" fontId="6" fillId="0" borderId="2" xfId="34" applyNumberFormat="1" applyFont="1" applyAlignment="1">
      <alignment horizontal="right" vertical="center"/>
      <protection locked="0"/>
    </xf>
    <xf numFmtId="0" fontId="15" fillId="0" borderId="0" xfId="0" applyNumberFormat="1" applyFont="1">
      <alignment vertical="center"/>
    </xf>
    <xf numFmtId="0" fontId="15" fillId="0" borderId="0" xfId="34" applyFont="1" applyFill="1" applyBorder="1" applyAlignment="1">
      <alignment horizontal="left" vertical="center"/>
      <protection locked="0"/>
    </xf>
    <xf numFmtId="166" fontId="3" fillId="5" borderId="0" xfId="36" applyNumberFormat="1" applyAlignment="1">
      <alignment vertical="center"/>
    </xf>
    <xf numFmtId="0" fontId="0" fillId="13" borderId="0" xfId="70" applyFont="1" applyFill="1"/>
    <xf numFmtId="191" fontId="0" fillId="13" borderId="0" xfId="73" applyNumberFormat="1" applyFont="1" applyFill="1"/>
    <xf numFmtId="0" fontId="27" fillId="13" borderId="0" xfId="70" applyFont="1" applyFill="1" applyBorder="1"/>
    <xf numFmtId="191" fontId="0" fillId="13" borderId="0" xfId="73" applyNumberFormat="1" applyFont="1" applyFill="1" applyBorder="1"/>
    <xf numFmtId="0" fontId="0" fillId="13" borderId="0" xfId="70" applyFont="1" applyFill="1" applyBorder="1"/>
    <xf numFmtId="0" fontId="28" fillId="13" borderId="0" xfId="70" applyFont="1" applyFill="1" applyBorder="1"/>
    <xf numFmtId="0" fontId="29" fillId="13" borderId="0" xfId="70" applyFont="1" applyFill="1" applyBorder="1"/>
    <xf numFmtId="0" fontId="27" fillId="13" borderId="13" xfId="70" applyFont="1" applyFill="1" applyBorder="1"/>
    <xf numFmtId="191" fontId="0" fillId="13" borderId="13" xfId="73" applyNumberFormat="1" applyFont="1" applyFill="1" applyBorder="1"/>
    <xf numFmtId="0" fontId="0" fillId="13" borderId="0" xfId="70" applyFont="1" applyFill="1" applyAlignment="1">
      <alignment horizontal="right"/>
    </xf>
    <xf numFmtId="0" fontId="27" fillId="13" borderId="17" xfId="70" applyFont="1" applyFill="1" applyBorder="1"/>
    <xf numFmtId="191" fontId="0" fillId="14" borderId="23" xfId="73" applyNumberFormat="1" applyFont="1" applyFill="1" applyBorder="1" applyAlignment="1">
      <alignment horizontal="center"/>
    </xf>
    <xf numFmtId="0" fontId="0" fillId="13" borderId="19" xfId="70" applyFont="1" applyFill="1" applyBorder="1"/>
    <xf numFmtId="191" fontId="0" fillId="15" borderId="20" xfId="73" applyNumberFormat="1" applyFont="1" applyFill="1" applyBorder="1"/>
    <xf numFmtId="191" fontId="0" fillId="13" borderId="0" xfId="70" applyNumberFormat="1" applyFont="1" applyFill="1"/>
    <xf numFmtId="43" fontId="0" fillId="13" borderId="0" xfId="70" applyNumberFormat="1" applyFont="1" applyFill="1"/>
    <xf numFmtId="0" fontId="27" fillId="13" borderId="19" xfId="70" applyFont="1" applyFill="1" applyBorder="1" applyAlignment="1">
      <alignment horizontal="right"/>
    </xf>
    <xf numFmtId="192" fontId="0" fillId="13" borderId="0" xfId="70" applyNumberFormat="1" applyFont="1" applyFill="1"/>
    <xf numFmtId="0" fontId="27" fillId="13" borderId="19" xfId="70" applyFont="1" applyFill="1" applyBorder="1"/>
    <xf numFmtId="191" fontId="0" fillId="14" borderId="20" xfId="73" applyNumberFormat="1" applyFont="1" applyFill="1" applyBorder="1" applyAlignment="1">
      <alignment horizontal="center"/>
    </xf>
    <xf numFmtId="0" fontId="27" fillId="13" borderId="21" xfId="70" applyFont="1" applyFill="1" applyBorder="1" applyAlignment="1">
      <alignment horizontal="right"/>
    </xf>
    <xf numFmtId="191" fontId="0" fillId="15" borderId="22" xfId="73" applyNumberFormat="1" applyFont="1" applyFill="1" applyBorder="1"/>
    <xf numFmtId="0" fontId="27" fillId="13" borderId="0" xfId="70" applyFont="1" applyFill="1" applyBorder="1" applyAlignment="1">
      <alignment horizontal="right"/>
    </xf>
    <xf numFmtId="43" fontId="0" fillId="13" borderId="0" xfId="73" applyNumberFormat="1" applyFont="1" applyFill="1"/>
    <xf numFmtId="191" fontId="0" fillId="14" borderId="26" xfId="73" applyNumberFormat="1" applyFont="1" applyFill="1" applyBorder="1" applyAlignment="1">
      <alignment horizontal="center"/>
    </xf>
    <xf numFmtId="0" fontId="27" fillId="13" borderId="27" xfId="70" applyFont="1" applyFill="1" applyBorder="1"/>
    <xf numFmtId="191" fontId="0" fillId="15" borderId="24" xfId="73" applyNumberFormat="1" applyFont="1" applyFill="1" applyBorder="1"/>
    <xf numFmtId="43" fontId="0" fillId="13" borderId="0" xfId="73" applyFont="1" applyFill="1"/>
    <xf numFmtId="191" fontId="0" fillId="0" borderId="0" xfId="73" applyNumberFormat="1" applyFont="1"/>
    <xf numFmtId="0" fontId="0" fillId="13" borderId="27" xfId="70" applyFont="1" applyFill="1" applyBorder="1"/>
    <xf numFmtId="191" fontId="0" fillId="15" borderId="23" xfId="73" applyNumberFormat="1" applyFont="1" applyFill="1" applyBorder="1"/>
    <xf numFmtId="191" fontId="0" fillId="15" borderId="20" xfId="73" applyNumberFormat="1" applyFont="1" applyFill="1" applyBorder="1" applyAlignment="1"/>
    <xf numFmtId="0" fontId="0" fillId="13" borderId="28" xfId="70" applyFont="1" applyFill="1" applyBorder="1"/>
    <xf numFmtId="191" fontId="0" fillId="14" borderId="20" xfId="73" applyNumberFormat="1" applyFont="1" applyFill="1" applyBorder="1" applyAlignment="1"/>
    <xf numFmtId="191" fontId="0" fillId="14" borderId="24" xfId="73" applyNumberFormat="1" applyFont="1" applyFill="1" applyBorder="1" applyAlignment="1"/>
    <xf numFmtId="191" fontId="0" fillId="14" borderId="26" xfId="73" applyNumberFormat="1" applyFont="1" applyFill="1" applyBorder="1" applyAlignment="1"/>
    <xf numFmtId="0" fontId="27" fillId="13" borderId="28" xfId="70" applyFont="1" applyFill="1" applyBorder="1"/>
    <xf numFmtId="191" fontId="0" fillId="14" borderId="20" xfId="73" applyNumberFormat="1" applyFont="1" applyFill="1" applyBorder="1"/>
    <xf numFmtId="0" fontId="27" fillId="13" borderId="19" xfId="70" applyFont="1" applyFill="1" applyBorder="1" applyAlignment="1">
      <alignment horizontal="left"/>
    </xf>
    <xf numFmtId="0" fontId="27" fillId="13" borderId="0" xfId="70" applyFont="1" applyFill="1"/>
    <xf numFmtId="191" fontId="27" fillId="13" borderId="0" xfId="73" applyNumberFormat="1" applyFont="1" applyFill="1"/>
    <xf numFmtId="191" fontId="27" fillId="13" borderId="0" xfId="70" applyNumberFormat="1" applyFont="1" applyFill="1"/>
    <xf numFmtId="0" fontId="131" fillId="13" borderId="0" xfId="70" applyFont="1" applyFill="1" applyBorder="1"/>
    <xf numFmtId="191" fontId="131" fillId="13" borderId="0" xfId="73" applyNumberFormat="1" applyFont="1" applyFill="1" applyBorder="1"/>
    <xf numFmtId="0" fontId="131" fillId="13" borderId="0" xfId="73" applyNumberFormat="1" applyFont="1" applyFill="1" applyBorder="1"/>
    <xf numFmtId="0" fontId="131" fillId="13" borderId="0" xfId="70" applyFont="1" applyFill="1"/>
    <xf numFmtId="0" fontId="0" fillId="13" borderId="0" xfId="73" applyNumberFormat="1" applyFont="1" applyFill="1" applyBorder="1"/>
    <xf numFmtId="0" fontId="28" fillId="13" borderId="13" xfId="70" applyFont="1" applyFill="1" applyBorder="1"/>
    <xf numFmtId="191" fontId="131" fillId="13" borderId="13" xfId="73" applyNumberFormat="1" applyFont="1" applyFill="1" applyBorder="1"/>
    <xf numFmtId="0" fontId="131" fillId="0" borderId="19" xfId="70" applyFont="1" applyBorder="1"/>
    <xf numFmtId="191" fontId="131" fillId="14" borderId="20" xfId="73" applyNumberFormat="1" applyFont="1" applyFill="1" applyBorder="1" applyAlignment="1">
      <alignment horizontal="center"/>
    </xf>
    <xf numFmtId="0" fontId="131" fillId="14" borderId="0" xfId="73" applyNumberFormat="1" applyFont="1" applyFill="1" applyBorder="1" applyAlignment="1">
      <alignment horizontal="center"/>
    </xf>
    <xf numFmtId="191" fontId="131" fillId="15" borderId="20" xfId="73" applyNumberFormat="1" applyFont="1" applyFill="1" applyBorder="1"/>
    <xf numFmtId="191" fontId="131" fillId="15" borderId="0" xfId="73" applyNumberFormat="1" applyFont="1" applyFill="1" applyBorder="1"/>
    <xf numFmtId="0" fontId="131" fillId="15" borderId="0" xfId="73" applyNumberFormat="1" applyFont="1" applyFill="1" applyBorder="1"/>
    <xf numFmtId="234" fontId="131" fillId="13" borderId="0" xfId="70" applyNumberFormat="1" applyFont="1" applyFill="1"/>
    <xf numFmtId="0" fontId="28" fillId="0" borderId="19" xfId="70" applyFont="1" applyBorder="1"/>
    <xf numFmtId="0" fontId="28" fillId="0" borderId="19" xfId="70" applyFont="1" applyBorder="1" applyAlignment="1">
      <alignment horizontal="right"/>
    </xf>
    <xf numFmtId="191" fontId="131" fillId="14" borderId="24" xfId="73" applyNumberFormat="1" applyFont="1" applyFill="1" applyBorder="1" applyAlignment="1">
      <alignment horizontal="center"/>
    </xf>
    <xf numFmtId="191" fontId="131" fillId="14" borderId="26" xfId="73" applyNumberFormat="1" applyFont="1" applyFill="1" applyBorder="1" applyAlignment="1">
      <alignment horizontal="center"/>
    </xf>
    <xf numFmtId="0" fontId="131" fillId="0" borderId="0" xfId="73" applyNumberFormat="1" applyFont="1" applyBorder="1"/>
    <xf numFmtId="0" fontId="28" fillId="0" borderId="21" xfId="70" applyFont="1" applyBorder="1" applyAlignment="1">
      <alignment horizontal="right"/>
    </xf>
    <xf numFmtId="191" fontId="131" fillId="15" borderId="22" xfId="73" applyNumberFormat="1" applyFont="1" applyFill="1" applyBorder="1"/>
    <xf numFmtId="191" fontId="131" fillId="13" borderId="0" xfId="73" applyNumberFormat="1" applyFont="1" applyFill="1"/>
    <xf numFmtId="191" fontId="131" fillId="14" borderId="0" xfId="73" applyNumberFormat="1" applyFont="1" applyFill="1" applyBorder="1" applyAlignment="1">
      <alignment horizontal="center"/>
    </xf>
    <xf numFmtId="43" fontId="131" fillId="13" borderId="0" xfId="70" applyNumberFormat="1" applyFont="1" applyFill="1"/>
    <xf numFmtId="191" fontId="131" fillId="15" borderId="24" xfId="73" applyNumberFormat="1" applyFont="1" applyFill="1" applyBorder="1"/>
    <xf numFmtId="0" fontId="28" fillId="0" borderId="27" xfId="70" applyFont="1" applyBorder="1"/>
    <xf numFmtId="191" fontId="131" fillId="15" borderId="23" xfId="73" applyNumberFormat="1" applyFont="1" applyFill="1" applyBorder="1"/>
    <xf numFmtId="191" fontId="131" fillId="0" borderId="0" xfId="73" applyNumberFormat="1" applyFont="1" applyBorder="1"/>
    <xf numFmtId="191" fontId="131" fillId="14" borderId="24" xfId="73" applyNumberFormat="1" applyFont="1" applyFill="1" applyBorder="1" applyAlignment="1"/>
    <xf numFmtId="191" fontId="131" fillId="14" borderId="0" xfId="73" applyNumberFormat="1" applyFont="1" applyFill="1" applyBorder="1" applyAlignment="1"/>
    <xf numFmtId="191" fontId="131" fillId="14" borderId="23" xfId="73" applyNumberFormat="1" applyFont="1" applyFill="1" applyBorder="1" applyAlignment="1"/>
    <xf numFmtId="0" fontId="28" fillId="0" borderId="17" xfId="70" applyFont="1" applyBorder="1"/>
    <xf numFmtId="191" fontId="131" fillId="14" borderId="23" xfId="73" applyNumberFormat="1" applyFont="1" applyFill="1" applyBorder="1" applyAlignment="1">
      <alignment horizontal="center"/>
    </xf>
    <xf numFmtId="191" fontId="131" fillId="15" borderId="20" xfId="73" applyNumberFormat="1" applyFont="1" applyFill="1" applyBorder="1" applyAlignment="1">
      <alignment horizontal="center"/>
    </xf>
    <xf numFmtId="191" fontId="131" fillId="15" borderId="0" xfId="73" applyNumberFormat="1" applyFont="1" applyFill="1" applyBorder="1" applyAlignment="1">
      <alignment horizontal="center"/>
    </xf>
    <xf numFmtId="191" fontId="131" fillId="15" borderId="23" xfId="73" applyNumberFormat="1" applyFont="1" applyFill="1" applyBorder="1" applyAlignment="1"/>
    <xf numFmtId="191" fontId="131" fillId="15" borderId="0" xfId="73" applyNumberFormat="1" applyFont="1" applyFill="1" applyBorder="1" applyAlignment="1"/>
    <xf numFmtId="191" fontId="131" fillId="15" borderId="20" xfId="73" applyNumberFormat="1" applyFont="1" applyFill="1" applyBorder="1" applyAlignment="1"/>
    <xf numFmtId="0" fontId="28" fillId="13" borderId="0" xfId="70" applyFont="1" applyFill="1"/>
    <xf numFmtId="191" fontId="28" fillId="13" borderId="0" xfId="73" applyNumberFormat="1" applyFont="1" applyFill="1"/>
    <xf numFmtId="0" fontId="3" fillId="0" borderId="2" xfId="34" applyNumberFormat="1">
      <alignment vertical="center"/>
      <protection locked="0"/>
    </xf>
    <xf numFmtId="169" fontId="0" fillId="0" borderId="0" xfId="0" applyNumberFormat="1">
      <alignment vertical="center"/>
    </xf>
    <xf numFmtId="0" fontId="6" fillId="0" borderId="0" xfId="0" applyFont="1" applyAlignment="1">
      <alignment vertical="center"/>
    </xf>
    <xf numFmtId="0" fontId="23" fillId="0" borderId="0" xfId="0" applyFont="1" applyAlignment="1">
      <alignment vertical="center"/>
    </xf>
    <xf numFmtId="169" fontId="3" fillId="5" borderId="0" xfId="45" applyFill="1">
      <alignment vertical="center"/>
    </xf>
    <xf numFmtId="167" fontId="0" fillId="0" borderId="3" xfId="38" applyNumberFormat="1" applyFont="1">
      <alignment vertical="center"/>
      <protection locked="0"/>
    </xf>
    <xf numFmtId="166" fontId="0" fillId="5" borderId="0" xfId="36" applyNumberFormat="1" applyFont="1">
      <alignment vertical="center"/>
    </xf>
    <xf numFmtId="189" fontId="3" fillId="7" borderId="0" xfId="43" applyNumberFormat="1">
      <alignment vertical="center"/>
    </xf>
    <xf numFmtId="10" fontId="0" fillId="0" borderId="0" xfId="1592" applyNumberFormat="1" applyFont="1" applyAlignment="1" applyProtection="1">
      <alignment vertical="center"/>
    </xf>
    <xf numFmtId="171" fontId="3" fillId="5" borderId="0" xfId="36" applyNumberFormat="1">
      <alignment vertical="center"/>
    </xf>
    <xf numFmtId="171" fontId="3" fillId="0" borderId="3" xfId="38" applyNumberFormat="1">
      <alignment vertical="center"/>
      <protection locked="0"/>
    </xf>
    <xf numFmtId="171" fontId="3" fillId="0" borderId="1" xfId="33" applyNumberFormat="1">
      <alignment vertical="center"/>
    </xf>
    <xf numFmtId="166" fontId="3" fillId="7" borderId="1" xfId="43" applyNumberFormat="1" applyBorder="1" applyAlignment="1">
      <alignment vertical="center"/>
    </xf>
    <xf numFmtId="166" fontId="3" fillId="7" borderId="1" xfId="43" applyNumberFormat="1" applyBorder="1">
      <alignment vertical="center"/>
    </xf>
    <xf numFmtId="172" fontId="3" fillId="0" borderId="0" xfId="8" applyNumberFormat="1">
      <alignment vertical="center"/>
    </xf>
    <xf numFmtId="171" fontId="0" fillId="0" borderId="0" xfId="8" applyFont="1">
      <alignment vertical="center"/>
    </xf>
    <xf numFmtId="166" fontId="0" fillId="10" borderId="0" xfId="41" applyFont="1" applyFill="1">
      <alignment vertical="center"/>
    </xf>
    <xf numFmtId="166" fontId="6" fillId="10" borderId="0" xfId="41" applyFont="1" applyFill="1">
      <alignment vertical="center"/>
    </xf>
    <xf numFmtId="169" fontId="0" fillId="10" borderId="0" xfId="45" applyFont="1" applyFill="1">
      <alignment vertical="center"/>
    </xf>
    <xf numFmtId="169" fontId="3" fillId="10" borderId="0" xfId="36" applyNumberFormat="1" applyFill="1">
      <alignment vertical="center"/>
    </xf>
    <xf numFmtId="166" fontId="3" fillId="10" borderId="0" xfId="41" applyFont="1" applyFill="1">
      <alignment vertical="center"/>
    </xf>
    <xf numFmtId="166" fontId="3" fillId="0" borderId="1" xfId="54" applyNumberFormat="1" applyFont="1" applyBorder="1">
      <alignment vertical="center"/>
    </xf>
    <xf numFmtId="10" fontId="0" fillId="7" borderId="0" xfId="43" applyNumberFormat="1" applyFont="1" applyAlignment="1">
      <alignment vertical="center"/>
    </xf>
    <xf numFmtId="169" fontId="0" fillId="7" borderId="0" xfId="45" applyFont="1" applyFill="1" applyAlignment="1">
      <alignment horizontal="center" vertical="center"/>
    </xf>
    <xf numFmtId="0" fontId="3" fillId="70" borderId="2" xfId="34" applyFill="1">
      <alignment vertical="center"/>
      <protection locked="0"/>
    </xf>
    <xf numFmtId="2" fontId="3" fillId="70" borderId="2" xfId="34" applyNumberFormat="1" applyFill="1">
      <alignment vertical="center"/>
      <protection locked="0"/>
    </xf>
    <xf numFmtId="0" fontId="3" fillId="70" borderId="2" xfId="34" applyFont="1" applyFill="1">
      <alignment vertical="center"/>
      <protection locked="0"/>
    </xf>
    <xf numFmtId="0" fontId="3" fillId="70" borderId="2" xfId="34" applyNumberFormat="1" applyFont="1" applyFill="1">
      <alignment vertical="center"/>
      <protection locked="0"/>
    </xf>
    <xf numFmtId="0" fontId="3" fillId="70" borderId="2" xfId="34" applyFill="1" applyAlignment="1">
      <alignment horizontal="right" vertical="center"/>
      <protection locked="0"/>
    </xf>
    <xf numFmtId="191" fontId="3" fillId="70" borderId="2" xfId="69" applyNumberFormat="1" applyFill="1" applyBorder="1" applyAlignment="1" applyProtection="1">
      <alignment vertical="center"/>
      <protection locked="0"/>
    </xf>
    <xf numFmtId="166" fontId="3" fillId="70" borderId="0" xfId="36" applyNumberFormat="1" applyFill="1">
      <alignment vertical="center"/>
    </xf>
    <xf numFmtId="166" fontId="3" fillId="70" borderId="2" xfId="34" applyNumberFormat="1" applyFill="1">
      <alignment vertical="center"/>
      <protection locked="0"/>
    </xf>
    <xf numFmtId="166" fontId="0" fillId="70" borderId="2" xfId="34" applyNumberFormat="1" applyFont="1" applyFill="1">
      <alignment vertical="center"/>
      <protection locked="0"/>
    </xf>
    <xf numFmtId="166" fontId="3" fillId="70" borderId="1" xfId="32" applyNumberFormat="1" applyFill="1" applyBorder="1">
      <alignment vertical="center"/>
    </xf>
    <xf numFmtId="169" fontId="3" fillId="0" borderId="56" xfId="33" applyNumberFormat="1" applyBorder="1" applyAlignment="1">
      <alignment vertical="center"/>
    </xf>
    <xf numFmtId="169" fontId="3" fillId="0" borderId="57" xfId="33" applyNumberFormat="1" applyBorder="1" applyAlignment="1">
      <alignment vertical="center"/>
    </xf>
    <xf numFmtId="169" fontId="3" fillId="0" borderId="1" xfId="33" applyNumberFormat="1" applyAlignment="1">
      <alignment vertical="center"/>
    </xf>
    <xf numFmtId="169" fontId="3" fillId="71" borderId="2" xfId="45" applyFill="1" applyBorder="1" applyProtection="1">
      <alignment vertical="center"/>
      <protection locked="0"/>
    </xf>
    <xf numFmtId="9" fontId="3" fillId="71" borderId="2" xfId="35" applyNumberFormat="1" applyFill="1" applyAlignment="1">
      <alignment vertical="center"/>
      <protection locked="0"/>
    </xf>
    <xf numFmtId="168" fontId="3" fillId="71" borderId="2" xfId="44" applyFill="1" applyBorder="1" applyAlignment="1" applyProtection="1">
      <alignment vertical="center"/>
      <protection locked="0"/>
    </xf>
    <xf numFmtId="191" fontId="27" fillId="0" borderId="18" xfId="73" applyNumberFormat="1" applyFont="1" applyBorder="1" applyAlignment="1">
      <alignment vertical="center" wrapText="1"/>
    </xf>
    <xf numFmtId="191" fontId="27" fillId="0" borderId="20" xfId="73" applyNumberFormat="1" applyFont="1" applyBorder="1" applyAlignment="1">
      <alignment vertical="center" wrapText="1"/>
    </xf>
    <xf numFmtId="191" fontId="27" fillId="0" borderId="22" xfId="73" applyNumberFormat="1" applyFont="1" applyBorder="1" applyAlignment="1">
      <alignment vertical="center" wrapText="1"/>
    </xf>
    <xf numFmtId="190" fontId="26" fillId="70" borderId="0" xfId="0" applyNumberFormat="1" applyFont="1" applyFill="1" applyAlignment="1">
      <alignment vertical="center" wrapText="1"/>
    </xf>
    <xf numFmtId="190" fontId="26" fillId="70" borderId="0" xfId="72" applyFont="1" applyFill="1" applyAlignment="1">
      <alignment vertical="center" wrapText="1"/>
    </xf>
    <xf numFmtId="0" fontId="27" fillId="13" borderId="17" xfId="70" applyFont="1" applyFill="1" applyBorder="1" applyAlignment="1">
      <alignment vertical="center"/>
    </xf>
    <xf numFmtId="0" fontId="27" fillId="13" borderId="19" xfId="70" applyFont="1" applyFill="1" applyBorder="1" applyAlignment="1">
      <alignment vertical="center"/>
    </xf>
    <xf numFmtId="0" fontId="27" fillId="13" borderId="21" xfId="70" applyFont="1" applyFill="1" applyBorder="1" applyAlignment="1">
      <alignment vertical="center"/>
    </xf>
    <xf numFmtId="191" fontId="0" fillId="14" borderId="23" xfId="73" applyNumberFormat="1" applyFont="1" applyFill="1" applyBorder="1" applyAlignment="1"/>
    <xf numFmtId="0" fontId="27" fillId="13" borderId="25" xfId="70" applyFont="1" applyFill="1" applyBorder="1" applyAlignment="1">
      <alignment vertical="center"/>
    </xf>
    <xf numFmtId="0" fontId="27" fillId="13" borderId="29" xfId="70" applyFont="1" applyFill="1" applyBorder="1" applyAlignment="1">
      <alignment vertical="center" wrapText="1"/>
    </xf>
    <xf numFmtId="0" fontId="27" fillId="13" borderId="30" xfId="70" applyFont="1" applyFill="1" applyBorder="1" applyAlignment="1">
      <alignment vertical="center" wrapText="1"/>
    </xf>
    <xf numFmtId="0" fontId="27" fillId="13" borderId="17" xfId="70" applyFont="1" applyFill="1" applyBorder="1" applyAlignment="1">
      <alignment vertical="center" wrapText="1"/>
    </xf>
    <xf numFmtId="190" fontId="130" fillId="70" borderId="0" xfId="1390" applyFont="1" applyFill="1" applyAlignment="1">
      <alignment vertical="center" wrapText="1"/>
    </xf>
    <xf numFmtId="0" fontId="28" fillId="0" borderId="25" xfId="70" applyFont="1" applyBorder="1" applyAlignment="1">
      <alignment vertical="center"/>
    </xf>
    <xf numFmtId="0" fontId="28" fillId="0" borderId="19" xfId="70" applyFont="1" applyBorder="1" applyAlignment="1">
      <alignment vertical="center"/>
    </xf>
    <xf numFmtId="191" fontId="28" fillId="0" borderId="54" xfId="73" applyNumberFormat="1" applyFont="1" applyBorder="1" applyAlignment="1">
      <alignment vertical="center" wrapText="1"/>
    </xf>
    <xf numFmtId="191" fontId="28" fillId="0" borderId="26" xfId="73" applyNumberFormat="1" applyFont="1" applyBorder="1" applyAlignment="1">
      <alignment vertical="center" wrapText="1"/>
    </xf>
    <xf numFmtId="191" fontId="28" fillId="0" borderId="23" xfId="73" applyNumberFormat="1" applyFont="1" applyBorder="1" applyAlignment="1">
      <alignment vertical="center" wrapText="1"/>
    </xf>
    <xf numFmtId="0" fontId="19" fillId="0" borderId="0" xfId="0" applyFont="1" applyAlignment="1">
      <alignment vertical="top" wrapText="1"/>
    </xf>
    <xf numFmtId="0" fontId="28" fillId="0" borderId="0" xfId="73" applyNumberFormat="1" applyFont="1" applyBorder="1" applyAlignment="1">
      <alignment vertical="center" wrapText="1"/>
    </xf>
    <xf numFmtId="191" fontId="28" fillId="0" borderId="0" xfId="73" applyNumberFormat="1" applyFont="1" applyBorder="1" applyAlignment="1">
      <alignment vertical="center" wrapText="1"/>
    </xf>
    <xf numFmtId="191" fontId="28" fillId="0" borderId="18" xfId="73" applyNumberFormat="1" applyFont="1" applyBorder="1" applyAlignment="1">
      <alignment vertical="center" wrapText="1"/>
    </xf>
    <xf numFmtId="191" fontId="28" fillId="0" borderId="20" xfId="73" applyNumberFormat="1" applyFont="1" applyBorder="1" applyAlignment="1">
      <alignment vertical="center" wrapText="1"/>
    </xf>
    <xf numFmtId="0" fontId="28" fillId="0" borderId="29" xfId="70" applyFont="1" applyBorder="1" applyAlignment="1">
      <alignment vertical="center" wrapText="1"/>
    </xf>
    <xf numFmtId="0" fontId="28" fillId="0" borderId="30" xfId="70" applyFont="1" applyBorder="1" applyAlignment="1">
      <alignment vertical="center" wrapText="1"/>
    </xf>
    <xf numFmtId="0" fontId="28" fillId="0" borderId="55" xfId="70" applyFont="1" applyBorder="1" applyAlignment="1">
      <alignment vertical="center" wrapText="1"/>
    </xf>
    <xf numFmtId="191" fontId="28" fillId="0" borderId="22" xfId="73" applyNumberFormat="1" applyFont="1" applyBorder="1" applyAlignment="1">
      <alignment vertical="center" wrapText="1"/>
    </xf>
    <xf numFmtId="0" fontId="28" fillId="0" borderId="17" xfId="70" applyFont="1" applyBorder="1" applyAlignment="1">
      <alignment vertical="center" wrapText="1"/>
    </xf>
    <xf numFmtId="0" fontId="0" fillId="72" borderId="58" xfId="0" applyFill="1" applyBorder="1" applyAlignment="1">
      <alignment vertical="center"/>
    </xf>
    <xf numFmtId="3" fontId="6" fillId="2" borderId="9" xfId="3" applyNumberFormat="1" applyBorder="1" applyAlignment="1">
      <alignment horizontal="center" vertical="center" wrapText="1"/>
    </xf>
    <xf numFmtId="3" fontId="6" fillId="2" borderId="9" xfId="3" applyNumberFormat="1" applyBorder="1" applyAlignment="1">
      <alignment horizontal="right" vertical="center" wrapText="1"/>
    </xf>
  </cellXfs>
  <cellStyles count="2118">
    <cellStyle name=" 1" xfId="74"/>
    <cellStyle name=" 1 2" xfId="75"/>
    <cellStyle name=" 1 2 2" xfId="76"/>
    <cellStyle name=" 1 3" xfId="77"/>
    <cellStyle name=" 2" xfId="78"/>
    <cellStyle name="_x000a_shell=progma" xfId="79"/>
    <cellStyle name="%" xfId="63"/>
    <cellStyle name="% 2" xfId="80"/>
    <cellStyle name="%_(06) Part Relac Alca Jun'12" xfId="81"/>
    <cellStyle name="%_ANEXO PARTES RELACIONADAS AGOSTO 2010-CONSOL VAL" xfId="82"/>
    <cellStyle name="%_BALANZA USD TRIMESTRE MAR09" xfId="83"/>
    <cellStyle name="%_CATPOS  TMX HOLDINGS DIC 08 (Productos)" xfId="84"/>
    <cellStyle name="%_CATPOS  TMX INT SEP 08" xfId="85"/>
    <cellStyle name="%_CXCXP CN PR TROS" xfId="86"/>
    <cellStyle name="%_CXCXP_Abr10_Cn_xGpo" xfId="87"/>
    <cellStyle name="%_CXCXP_EPR´s_Jul 10_Cn" xfId="88"/>
    <cellStyle name="%_CXCXP_EPRs_Ago 10_Cn" xfId="89"/>
    <cellStyle name="%_CXCXP_Jun10_Cn_xGpo" xfId="90"/>
    <cellStyle name="%_CXCXP_May10_Cn_xGpo (2)" xfId="91"/>
    <cellStyle name="%_CXCXP_May10_Cn_xGpo (3)" xfId="92"/>
    <cellStyle name="%_CXCXP_PR_Dic09_TMXCN" xfId="93"/>
    <cellStyle name="%_CXCXP_PR_Dic09_TMXCN_AMX_V3" xfId="94"/>
    <cellStyle name="%_DPN-AMORT (2)" xfId="95"/>
    <cellStyle name="%_EDO RESULT DOLARES JUNIO 09" xfId="96"/>
    <cellStyle name="%_ENLACE INTERNACIONAL  2008" xfId="97"/>
    <cellStyle name="%_EPR´s" xfId="98"/>
    <cellStyle name="%_Hoja1" xfId="99"/>
    <cellStyle name="%_IMPTO ISR RECLASIF MAR07" xfId="100"/>
    <cellStyle name="%_IMPTO ISR RECLASIF MAR07 2" xfId="101"/>
    <cellStyle name="%_IMPTO ISR RECLASIF MAR07_BG Feb 09 Conciliada V1" xfId="102"/>
    <cellStyle name="%_IMPTO ISR RECLASIF MAR07_BG Feb 09 Conciliada V1 2" xfId="103"/>
    <cellStyle name="%_IMPTO ISR RECLASIF MAR07_BG Jul 09 Conciliada" xfId="104"/>
    <cellStyle name="%_IMPTO ISR RECLASIF MAR07_BG Jul 09 Conciliada 2" xfId="105"/>
    <cellStyle name="%_IMPTO ISR RECLASIF MAR07_BG May 09 Conciliada vs Estados Financieros" xfId="106"/>
    <cellStyle name="%_IMPTO ISR RECLASIF MAR07_BG May 09 Conciliada vs Estados Financieros 2" xfId="107"/>
    <cellStyle name="%_IMPTO ISR RECLASIF MAR07_CRM Reventa Mar 09" xfId="108"/>
    <cellStyle name="%_IMPTO ISR RECLASIF MAR07_CRM Reventa Mar 09 2" xfId="109"/>
    <cellStyle name="%_IMPTO ISR RECLASIF MAR07_CXCXP_posición Sep12 GESSI" xfId="110"/>
    <cellStyle name="%_IMPTO ISR RECLASIF MAR07_Mar 09 Reventa Delloitte V1" xfId="111"/>
    <cellStyle name="%_IMPTO ISR RECLASIF MAR07_Mar 09 Reventa Delloitte V1 2" xfId="112"/>
    <cellStyle name="%_IMPTO ISR RECLASIF MAR07_Mar 09 Reventa Delloitte V1 Preliminar I Trim 09 V1_2" xfId="113"/>
    <cellStyle name="%_IMPTO ISR RECLASIF MAR07_Mar 09 Reventa Delloitte V1 Preliminar I Trim 09 V1_2 2" xfId="114"/>
    <cellStyle name="%_IMPTO ISR RECLASIF MAR07_Mar 09 Reventa Delloitte V1 Preliminar I Trim 09 V2" xfId="115"/>
    <cellStyle name="%_IMPTO ISR RECLASIF MAR07_Mar 09 Reventa Delloitte V1 Preliminar I Trim 09 V2 (PRECIOS)" xfId="116"/>
    <cellStyle name="%_IMPTO ISR RECLASIF MAR07_Mar 09 Reventa Delloitte V1 Preliminar I Trim 09 V2 (PRECIOS) 2" xfId="117"/>
    <cellStyle name="%_IMPTO ISR RECLASIF MAR07_Mar 09 Reventa Delloitte V1 Preliminar I Trim 09 V2 10" xfId="118"/>
    <cellStyle name="%_IMPTO ISR RECLASIF MAR07_Mar 09 Reventa Delloitte V1 Preliminar I Trim 09 V2 11" xfId="119"/>
    <cellStyle name="%_IMPTO ISR RECLASIF MAR07_Mar 09 Reventa Delloitte V1 Preliminar I Trim 09 V2 12" xfId="120"/>
    <cellStyle name="%_IMPTO ISR RECLASIF MAR07_Mar 09 Reventa Delloitte V1 Preliminar I Trim 09 V2 13" xfId="121"/>
    <cellStyle name="%_IMPTO ISR RECLASIF MAR07_Mar 09 Reventa Delloitte V1 Preliminar I Trim 09 V2 14" xfId="122"/>
    <cellStyle name="%_IMPTO ISR RECLASIF MAR07_Mar 09 Reventa Delloitte V1 Preliminar I Trim 09 V2 15" xfId="123"/>
    <cellStyle name="%_IMPTO ISR RECLASIF MAR07_Mar 09 Reventa Delloitte V1 Preliminar I Trim 09 V2 2" xfId="124"/>
    <cellStyle name="%_IMPTO ISR RECLASIF MAR07_Mar 09 Reventa Delloitte V1 Preliminar I Trim 09 V2 3" xfId="125"/>
    <cellStyle name="%_IMPTO ISR RECLASIF MAR07_Mar 09 Reventa Delloitte V1 Preliminar I Trim 09 V2 4" xfId="126"/>
    <cellStyle name="%_IMPTO ISR RECLASIF MAR07_Mar 09 Reventa Delloitte V1 Preliminar I Trim 09 V2 5" xfId="127"/>
    <cellStyle name="%_IMPTO ISR RECLASIF MAR07_Mar 09 Reventa Delloitte V1 Preliminar I Trim 09 V2 6" xfId="128"/>
    <cellStyle name="%_IMPTO ISR RECLASIF MAR07_Mar 09 Reventa Delloitte V1 Preliminar I Trim 09 V2 7" xfId="129"/>
    <cellStyle name="%_IMPTO ISR RECLASIF MAR07_Mar 09 Reventa Delloitte V1 Preliminar I Trim 09 V2 8" xfId="130"/>
    <cellStyle name="%_IMPTO ISR RECLASIF MAR07_Mar 09 Reventa Delloitte V1 Preliminar I Trim 09 V2 9" xfId="131"/>
    <cellStyle name="%_IMPTO ISR RECLASIF MAR07_Mar 09 Reventa Delloitte V1 Preliminar I Trim 09 V2_2" xfId="132"/>
    <cellStyle name="%_IMPTO ISR RECLASIF MAR07_Mar 09 Reventa Delloitte V1 Preliminar I Trim 09 V2_2 2" xfId="133"/>
    <cellStyle name="%_IMPTO ISR RECLASIF MAR07_Mar 09 Reventa Delloitte V4" xfId="134"/>
    <cellStyle name="%_IMPTO ISR RECLASIF MAR07_Mar 09 Reventa Delloitte V4 2" xfId="135"/>
    <cellStyle name="%_IMPTO ISR RECLASIF MAR07_NOTA AF-IFRS-GPOISSA JUN2011" xfId="136"/>
    <cellStyle name="%_Int Efecto Inicial IFRS 2009 GTC mar11" xfId="137"/>
    <cellStyle name="%_Int Efecto Inicial IFRS 2009 GTC mar11_NOTA AF-IFRS-GPOISSA JUN2011" xfId="138"/>
    <cellStyle name="%_Libro1" xfId="139"/>
    <cellStyle name="%_Libro1 (3)" xfId="140"/>
    <cellStyle name="%_Libro1 (3)_NOTA AF-IFRS-GPOISSA JUN2011" xfId="141"/>
    <cellStyle name="%_Operaciones con TMX y TELINT2009 (2)" xfId="142"/>
    <cellStyle name="%_Operaciones en usd TMX Holdings dic 08" xfId="143"/>
    <cellStyle name="%_SUB-NAC CXC-CXP  CARSO  ENE-DIC 2009" xfId="144"/>
    <cellStyle name="%_SUB-NAC CXC-CXP  CARSO-AMX  ENE-JUL 2010" xfId="145"/>
    <cellStyle name="%_SUB-NAC CXC-CXP  CARSO-AMX  ENE-JUL 2010 (2)" xfId="146"/>
    <cellStyle name="%_Tarifas de Liquidación" xfId="147"/>
    <cellStyle name="%_Tarifas de Liquidación 2" xfId="148"/>
    <cellStyle name="%_Variaciones Reventa Mar 09" xfId="149"/>
    <cellStyle name="%_Variaciones Reventa Mar 09 2" xfId="150"/>
    <cellStyle name="_(1) CATPOS TELECO Ene-11" xfId="151"/>
    <cellStyle name="_(12) CATPOS CTBR-IME Dic-12" xfId="152"/>
    <cellStyle name="_(12) CATPOS TELECO Dic-10" xfId="153"/>
    <cellStyle name="_~0036734" xfId="154"/>
    <cellStyle name="_01 HT correspondiente al mes de Febrero" xfId="155"/>
    <cellStyle name="_02 HT correspondiente al mes de Marzo" xfId="156"/>
    <cellStyle name="_02 HT Ventas+Especiales+T1+REC Cierre Junio (F)" xfId="157"/>
    <cellStyle name="_02 SEG Junio POST VENTA INFINITUM" xfId="158"/>
    <cellStyle name="_03  Resultados Victor Febrero Consultores(07Mar2007)" xfId="159"/>
    <cellStyle name="_03 Insumo liquidado Febrero PLUS HERIBERTO(07Mar2007)" xfId="160"/>
    <cellStyle name="_03 Insumo liquidado Febrero PLUS VICTOR(07Mar2007)" xfId="161"/>
    <cellStyle name="_08 HT Soporte a l 31 de Mayo Cierre ver 2 (Raul Sosa)" xfId="162"/>
    <cellStyle name="_1" xfId="163"/>
    <cellStyle name="_11" xfId="164"/>
    <cellStyle name="_11 2" xfId="165"/>
    <cellStyle name="_11 3" xfId="166"/>
    <cellStyle name="_14 reporte de Jorge Suarez (posventa) Febrero" xfId="167"/>
    <cellStyle name="_2o T 2009 (4)" xfId="168"/>
    <cellStyle name="_3" xfId="169"/>
    <cellStyle name="_33" xfId="170"/>
    <cellStyle name="_8" xfId="171"/>
    <cellStyle name="_8 ANT 5" xfId="172"/>
    <cellStyle name="_AC_CATFijo_2006" xfId="173"/>
    <cellStyle name="_AC_CATFijo_2006_Variaciones Reventa Mar 09" xfId="174"/>
    <cellStyle name="_AC_CATFijo_2006_Variaciones Reventa Mar 09 2" xfId="175"/>
    <cellStyle name="_ACUMULADO DE ABRIL POSTVENTA-PAOLA" xfId="176"/>
    <cellStyle name="_AERO ANEXO PARTES RELACIONADAS SEP 2010" xfId="177"/>
    <cellStyle name="_ALCA INF PART REL DIC 09 (MILES)" xfId="178"/>
    <cellStyle name="_ALCA INF PART REL MAR 10 (2)" xfId="179"/>
    <cellStyle name="_ALCA INF PART REL MAR 10 (2)_ANEXO PARTES RELACIONADAS AGOSTO 2010-CONSOL VAL" xfId="180"/>
    <cellStyle name="_ALCA INF PART REL MAR 10 (2)_CXCXP_EPR´s_EneAbr 10_09_Cn" xfId="181"/>
    <cellStyle name="_ALCA INF PART REL MAR 10 (2)_CXCXP_EPR´s_EneDic 10_09_Cn" xfId="182"/>
    <cellStyle name="_ALCA INF PART REL MAR 10 (2)_CXCXP_EPR´s_EneDic 10_09_Cn_" xfId="183"/>
    <cellStyle name="_ALCA INF PART REL MAR 10 (2)_Libro1" xfId="184"/>
    <cellStyle name="_ALCA_Sep09" xfId="185"/>
    <cellStyle name="_ANEXO PARTES RELACIONADAS MAYO 2010" xfId="186"/>
    <cellStyle name="_ANEXO PARTES RELACIONADAS OCTUBRE 2010-CONSOL VAL" xfId="187"/>
    <cellStyle name="_ANEXOS 2,5 Y 6 ALDECA 2008" xfId="188"/>
    <cellStyle name="_ANEXOS 2,5 Y 6 ALDECA 2008 2" xfId="189"/>
    <cellStyle name="_ANEXOS 2,5 Y 6 ALDECA 2008 2 2" xfId="190"/>
    <cellStyle name="_ANEXOS 2,5 Y 6 ALDECA 2008 3" xfId="191"/>
    <cellStyle name="_ANEXOS CONSOLIDADOS 2009" xfId="192"/>
    <cellStyle name="_ANEXOS PLANTA-SUB-DIC2010-NOTA AMX" xfId="193"/>
    <cellStyle name="_ANX PR Jun10 Val_v2" xfId="194"/>
    <cellStyle name="_atencion cecor - VENTAS OCTUBRE" xfId="195"/>
    <cellStyle name="_balanza_argos_08-2010" xfId="196"/>
    <cellStyle name="_Blitz_Presupuesto_2009_Obs" xfId="197"/>
    <cellStyle name="_Book1" xfId="198"/>
    <cellStyle name="_Book3" xfId="199"/>
    <cellStyle name="_Book4" xfId="200"/>
    <cellStyle name="_Book4_Variaciones Reventa Mar 09" xfId="201"/>
    <cellStyle name="_Book4_Variaciones Reventa Mar 09 2" xfId="202"/>
    <cellStyle name="_Book5" xfId="203"/>
    <cellStyle name="_Book5_Variaciones Reventa Mar 09" xfId="204"/>
    <cellStyle name="_Book5_Variaciones Reventa Mar 09 2" xfId="205"/>
    <cellStyle name="_CAT_MAT_ATM_ADSL_LINYMODEMS" xfId="206"/>
    <cellStyle name="_CAT_MAT_ATM_ADSL_LINYMODEMS_Variaciones Reventa Mar 09" xfId="207"/>
    <cellStyle name="_CAT_MAT_ATM_ADSL_LINYMODEMS_Variaciones Reventa Mar 09 2" xfId="208"/>
    <cellStyle name="_CATPOS_FYCSA AGO 11" xfId="209"/>
    <cellStyle name="_CECOR  POST-VENTA INFINITUM MAYO 2006 (R)" xfId="210"/>
    <cellStyle name="_CECOR COBRANZA ENERO 05" xfId="211"/>
    <cellStyle name="_CECOR POST-VENTA  17-31 JULIO 2006 (R)" xfId="212"/>
    <cellStyle name="_CECOR POST-VENTA  AGOSTO 06 (R)" xfId="213"/>
    <cellStyle name="_CECOR POST-VENTA  JUNIO 2006 (R)" xfId="214"/>
    <cellStyle name="_CECOR POST-VENTA  SEPTIEMBRE 06 (e)" xfId="215"/>
    <cellStyle name="_CECOR POST-VENTA  SEPTIEMBRE 06 (R)" xfId="216"/>
    <cellStyle name="_CECOR POST-VENTA DICIEMBRE 06(R)" xfId="217"/>
    <cellStyle name="_CECOR POST-VENTA ENERO 07 (R)" xfId="218"/>
    <cellStyle name="_CECOR POST-VENTA GENERAL MAYO 2006 (R)" xfId="219"/>
    <cellStyle name="_CECOR POST-VENTA MARZO 07 (R)" xfId="220"/>
    <cellStyle name="_CECOR POST-VENTA NOVIEMBRE 06(R)" xfId="221"/>
    <cellStyle name="_CECOR POST-VENTA OCTUBRE 06 (e)" xfId="222"/>
    <cellStyle name="_CECOR SOPORTE POST-VENTA (DIVISIONALES) ABRIL 2006 (R)" xfId="223"/>
    <cellStyle name="_CECOR SOPORTE POST-VENTA ABRIL 2006 (R)" xfId="224"/>
    <cellStyle name="_CECOR SOPORTE POST-VENTA ENERO 2006" xfId="225"/>
    <cellStyle name="_CECOR SOPORTE POST-VENTA FEBRERO 2006" xfId="226"/>
    <cellStyle name="_CECOR SOPORTE POST-VENTA MARZO 2006 (R)" xfId="227"/>
    <cellStyle name="_CECOR SOPORTE QL AGOSTO 05 (R)" xfId="228"/>
    <cellStyle name="_CECOR SOPORTE QL MAYO 05 (F)" xfId="229"/>
    <cellStyle name="_Column1" xfId="230"/>
    <cellStyle name="_Column1 2" xfId="231"/>
    <cellStyle name="_Column1_BG Feb 09 Conciliada V1" xfId="232"/>
    <cellStyle name="_Column1_BG Feb 09 Conciliada V1 2" xfId="233"/>
    <cellStyle name="_Column1_BG Jul 09 Conciliada" xfId="234"/>
    <cellStyle name="_Column1_BG Jul 09 Conciliada 2" xfId="235"/>
    <cellStyle name="_Column1_BG May 09 Conciliada vs Estados Financieros" xfId="236"/>
    <cellStyle name="_Column1_BG May 09 Conciliada vs Estados Financieros 2" xfId="237"/>
    <cellStyle name="_Column1_CRM Reventa Mar 09" xfId="238"/>
    <cellStyle name="_Column1_CRM Reventa Mar 09 2" xfId="239"/>
    <cellStyle name="_Column1_CXCXP_posición Dic12 GESSI" xfId="240"/>
    <cellStyle name="_Column1_CXCXP_posición Sep12 GESSI" xfId="241"/>
    <cellStyle name="_Column1_Mar 09 Reventa Delloitte V1" xfId="242"/>
    <cellStyle name="_Column1_Mar 09 Reventa Delloitte V1 2" xfId="243"/>
    <cellStyle name="_Column1_Mar 09 Reventa Delloitte V1 Preliminar I Trim 09 V1_2" xfId="244"/>
    <cellStyle name="_Column1_Mar 09 Reventa Delloitte V1 Preliminar I Trim 09 V1_2 2" xfId="245"/>
    <cellStyle name="_Column1_Mar 09 Reventa Delloitte V1 Preliminar I Trim 09 V2" xfId="246"/>
    <cellStyle name="_Column1_Mar 09 Reventa Delloitte V1 Preliminar I Trim 09 V2 (PRECIOS)" xfId="247"/>
    <cellStyle name="_Column1_Mar 09 Reventa Delloitte V1 Preliminar I Trim 09 V2 (PRECIOS) 2" xfId="248"/>
    <cellStyle name="_Column1_Mar 09 Reventa Delloitte V1 Preliminar I Trim 09 V2 10" xfId="249"/>
    <cellStyle name="_Column1_Mar 09 Reventa Delloitte V1 Preliminar I Trim 09 V2 11" xfId="250"/>
    <cellStyle name="_Column1_Mar 09 Reventa Delloitte V1 Preliminar I Trim 09 V2 12" xfId="251"/>
    <cellStyle name="_Column1_Mar 09 Reventa Delloitte V1 Preliminar I Trim 09 V2 13" xfId="252"/>
    <cellStyle name="_Column1_Mar 09 Reventa Delloitte V1 Preliminar I Trim 09 V2 14" xfId="253"/>
    <cellStyle name="_Column1_Mar 09 Reventa Delloitte V1 Preliminar I Trim 09 V2 15" xfId="254"/>
    <cellStyle name="_Column1_Mar 09 Reventa Delloitte V1 Preliminar I Trim 09 V2 2" xfId="255"/>
    <cellStyle name="_Column1_Mar 09 Reventa Delloitte V1 Preliminar I Trim 09 V2 3" xfId="256"/>
    <cellStyle name="_Column1_Mar 09 Reventa Delloitte V1 Preliminar I Trim 09 V2 4" xfId="257"/>
    <cellStyle name="_Column1_Mar 09 Reventa Delloitte V1 Preliminar I Trim 09 V2 5" xfId="258"/>
    <cellStyle name="_Column1_Mar 09 Reventa Delloitte V1 Preliminar I Trim 09 V2 6" xfId="259"/>
    <cellStyle name="_Column1_Mar 09 Reventa Delloitte V1 Preliminar I Trim 09 V2 7" xfId="260"/>
    <cellStyle name="_Column1_Mar 09 Reventa Delloitte V1 Preliminar I Trim 09 V2 8" xfId="261"/>
    <cellStyle name="_Column1_Mar 09 Reventa Delloitte V1 Preliminar I Trim 09 V2 9" xfId="262"/>
    <cellStyle name="_Column1_Mar 09 Reventa Delloitte V1 Preliminar I Trim 09 V2_2" xfId="263"/>
    <cellStyle name="_Column1_Mar 09 Reventa Delloitte V1 Preliminar I Trim 09 V2_2 2" xfId="264"/>
    <cellStyle name="_Column1_Mar 09 Reventa Delloitte V4" xfId="265"/>
    <cellStyle name="_Column1_Mar 09 Reventa Delloitte V4 2" xfId="266"/>
    <cellStyle name="_Column1_NOTA AF-IFRS-GPOISSA JUN2011" xfId="267"/>
    <cellStyle name="_Column2" xfId="268"/>
    <cellStyle name="_Column3" xfId="269"/>
    <cellStyle name="_Column4" xfId="270"/>
    <cellStyle name="_Column5" xfId="271"/>
    <cellStyle name="_Column6" xfId="272"/>
    <cellStyle name="_Column7" xfId="273"/>
    <cellStyle name="_Column7 2" xfId="274"/>
    <cellStyle name="_Column7_BG Feb 09 Conciliada V1" xfId="275"/>
    <cellStyle name="_Column7_BG Feb 09 Conciliada V1 2" xfId="276"/>
    <cellStyle name="_Column7_BG Jul 09 Conciliada" xfId="277"/>
    <cellStyle name="_Column7_BG Jul 09 Conciliada 2" xfId="278"/>
    <cellStyle name="_Column7_BG May 09 Conciliada vs Estados Financieros" xfId="279"/>
    <cellStyle name="_Column7_BG May 09 Conciliada vs Estados Financieros 2" xfId="280"/>
    <cellStyle name="_Column7_CRM Reventa Mar 09" xfId="281"/>
    <cellStyle name="_Column7_CRM Reventa Mar 09 2" xfId="282"/>
    <cellStyle name="_Column7_Mar 09 Reventa Delloitte V1" xfId="283"/>
    <cellStyle name="_Column7_Mar 09 Reventa Delloitte V1 2" xfId="284"/>
    <cellStyle name="_Column7_Mar 09 Reventa Delloitte V1 Preliminar I Trim 09 V1_2" xfId="285"/>
    <cellStyle name="_Column7_Mar 09 Reventa Delloitte V1 Preliminar I Trim 09 V1_2 2" xfId="286"/>
    <cellStyle name="_Column7_Mar 09 Reventa Delloitte V1 Preliminar I Trim 09 V2" xfId="287"/>
    <cellStyle name="_Column7_Mar 09 Reventa Delloitte V1 Preliminar I Trim 09 V2 (PRECIOS)" xfId="288"/>
    <cellStyle name="_Column7_Mar 09 Reventa Delloitte V1 Preliminar I Trim 09 V2 (PRECIOS) 2" xfId="289"/>
    <cellStyle name="_Column7_Mar 09 Reventa Delloitte V1 Preliminar I Trim 09 V2 10" xfId="290"/>
    <cellStyle name="_Column7_Mar 09 Reventa Delloitte V1 Preliminar I Trim 09 V2 11" xfId="291"/>
    <cellStyle name="_Column7_Mar 09 Reventa Delloitte V1 Preliminar I Trim 09 V2 12" xfId="292"/>
    <cellStyle name="_Column7_Mar 09 Reventa Delloitte V1 Preliminar I Trim 09 V2 13" xfId="293"/>
    <cellStyle name="_Column7_Mar 09 Reventa Delloitte V1 Preliminar I Trim 09 V2 14" xfId="294"/>
    <cellStyle name="_Column7_Mar 09 Reventa Delloitte V1 Preliminar I Trim 09 V2 15" xfId="295"/>
    <cellStyle name="_Column7_Mar 09 Reventa Delloitte V1 Preliminar I Trim 09 V2 2" xfId="296"/>
    <cellStyle name="_Column7_Mar 09 Reventa Delloitte V1 Preliminar I Trim 09 V2 3" xfId="297"/>
    <cellStyle name="_Column7_Mar 09 Reventa Delloitte V1 Preliminar I Trim 09 V2 4" xfId="298"/>
    <cellStyle name="_Column7_Mar 09 Reventa Delloitte V1 Preliminar I Trim 09 V2 5" xfId="299"/>
    <cellStyle name="_Column7_Mar 09 Reventa Delloitte V1 Preliminar I Trim 09 V2 6" xfId="300"/>
    <cellStyle name="_Column7_Mar 09 Reventa Delloitte V1 Preliminar I Trim 09 V2 7" xfId="301"/>
    <cellStyle name="_Column7_Mar 09 Reventa Delloitte V1 Preliminar I Trim 09 V2 8" xfId="302"/>
    <cellStyle name="_Column7_Mar 09 Reventa Delloitte V1 Preliminar I Trim 09 V2 9" xfId="303"/>
    <cellStyle name="_Column7_Mar 09 Reventa Delloitte V1 Preliminar I Trim 09 V2_2" xfId="304"/>
    <cellStyle name="_Column7_Mar 09 Reventa Delloitte V1 Preliminar I Trim 09 V2_2 2" xfId="305"/>
    <cellStyle name="_Column7_Mar 09 Reventa Delloitte V4" xfId="306"/>
    <cellStyle name="_Column7_Mar 09 Reventa Delloitte V4 2" xfId="307"/>
    <cellStyle name="_CONCIL ARCHIVO MAESTRO JUNIO 2011" xfId="308"/>
    <cellStyle name="_CONCIL ARCHIVO MAESTRO MAYO 2011" xfId="309"/>
    <cellStyle name="_contactacion Atencion diciembre resumen" xfId="310"/>
    <cellStyle name="_contactacion enero resumen" xfId="311"/>
    <cellStyle name="_contactacion febrero atencion" xfId="312"/>
    <cellStyle name="_contactacion noviembre resumen" xfId="313"/>
    <cellStyle name="_CONTACTACION PERU MARZO" xfId="314"/>
    <cellStyle name="_COT-RADIO-PDH (RDA-2006) Ver2" xfId="315"/>
    <cellStyle name="_COT-RADIO-PDH (RDA-2006) Ver2 2" xfId="316"/>
    <cellStyle name="_CRU 08 A.3.1  Revisión de Estados Financieros" xfId="317"/>
    <cellStyle name="_CTBR-IME 10" xfId="318"/>
    <cellStyle name="_CTBR-IME 11" xfId="319"/>
    <cellStyle name="_CUOTAS Y UNIDADES X DIV ACTUALIZADA 20 JULIO 2004" xfId="320"/>
    <cellStyle name="_CXCXP CN PR TROS" xfId="321"/>
    <cellStyle name="_CXCXP EPR´s AGO 10 TMX" xfId="322"/>
    <cellStyle name="_CXCXP EPR´s Oct 10 TMX" xfId="323"/>
    <cellStyle name="_CXCXP EPRs Oct10 CN def" xfId="324"/>
    <cellStyle name="_CXCXP_Dic10_GISSA" xfId="325"/>
    <cellStyle name="_CXCXP_Ene11_GISSA" xfId="326"/>
    <cellStyle name="_CXCXP_EPRs_Ago 10_Cn" xfId="327"/>
    <cellStyle name="_CXCXP_Jun10_Cn_xGpo" xfId="328"/>
    <cellStyle name="_CXCXP_May10_Cn_xGpo (2)" xfId="329"/>
    <cellStyle name="_CXCXP_May10_Cn_xGpo (3)" xfId="330"/>
    <cellStyle name="_CXCXP_Nov10_GISSA" xfId="331"/>
    <cellStyle name="_CXCXP_Oct10_GISSA" xfId="332"/>
    <cellStyle name="_CXCXP_PR_Dic09_TMXCN" xfId="333"/>
    <cellStyle name="_CXCXP_PR_Dic09_TMXCN_AMX_V3" xfId="334"/>
    <cellStyle name="_Data" xfId="335"/>
    <cellStyle name="_Data 2" xfId="336"/>
    <cellStyle name="_Data_BG Feb 09 Conciliada V1" xfId="337"/>
    <cellStyle name="_Data_BG Feb 09 Conciliada V1 2" xfId="338"/>
    <cellStyle name="_Data_BG Jul 09 Conciliada" xfId="339"/>
    <cellStyle name="_Data_BG Jul 09 Conciliada 2" xfId="340"/>
    <cellStyle name="_Data_BG May 09 Conciliada vs Estados Financieros" xfId="341"/>
    <cellStyle name="_Data_BG May 09 Conciliada vs Estados Financieros 2" xfId="342"/>
    <cellStyle name="_Data_CRM Reventa Mar 09" xfId="343"/>
    <cellStyle name="_Data_CRM Reventa Mar 09 2" xfId="344"/>
    <cellStyle name="_Data_CXCXP_posición Dic12 GESSI" xfId="345"/>
    <cellStyle name="_Data_CXCXP_posición Sep12 GESSI" xfId="346"/>
    <cellStyle name="_Data_Mar 09 Reventa Delloitte V1" xfId="347"/>
    <cellStyle name="_Data_Mar 09 Reventa Delloitte V1 2" xfId="348"/>
    <cellStyle name="_Data_Mar 09 Reventa Delloitte V1 Preliminar I Trim 09 V1_2" xfId="349"/>
    <cellStyle name="_Data_Mar 09 Reventa Delloitte V1 Preliminar I Trim 09 V1_2 2" xfId="350"/>
    <cellStyle name="_Data_Mar 09 Reventa Delloitte V1 Preliminar I Trim 09 V2" xfId="351"/>
    <cellStyle name="_Data_Mar 09 Reventa Delloitte V1 Preliminar I Trim 09 V2 (PRECIOS)" xfId="352"/>
    <cellStyle name="_Data_Mar 09 Reventa Delloitte V1 Preliminar I Trim 09 V2 (PRECIOS) 2" xfId="353"/>
    <cellStyle name="_Data_Mar 09 Reventa Delloitte V1 Preliminar I Trim 09 V2 10" xfId="354"/>
    <cellStyle name="_Data_Mar 09 Reventa Delloitte V1 Preliminar I Trim 09 V2 11" xfId="355"/>
    <cellStyle name="_Data_Mar 09 Reventa Delloitte V1 Preliminar I Trim 09 V2 12" xfId="356"/>
    <cellStyle name="_Data_Mar 09 Reventa Delloitte V1 Preliminar I Trim 09 V2 13" xfId="357"/>
    <cellStyle name="_Data_Mar 09 Reventa Delloitte V1 Preliminar I Trim 09 V2 14" xfId="358"/>
    <cellStyle name="_Data_Mar 09 Reventa Delloitte V1 Preliminar I Trim 09 V2 15" xfId="359"/>
    <cellStyle name="_Data_Mar 09 Reventa Delloitte V1 Preliminar I Trim 09 V2 2" xfId="360"/>
    <cellStyle name="_Data_Mar 09 Reventa Delloitte V1 Preliminar I Trim 09 V2 3" xfId="361"/>
    <cellStyle name="_Data_Mar 09 Reventa Delloitte V1 Preliminar I Trim 09 V2 4" xfId="362"/>
    <cellStyle name="_Data_Mar 09 Reventa Delloitte V1 Preliminar I Trim 09 V2 5" xfId="363"/>
    <cellStyle name="_Data_Mar 09 Reventa Delloitte V1 Preliminar I Trim 09 V2 6" xfId="364"/>
    <cellStyle name="_Data_Mar 09 Reventa Delloitte V1 Preliminar I Trim 09 V2 7" xfId="365"/>
    <cellStyle name="_Data_Mar 09 Reventa Delloitte V1 Preliminar I Trim 09 V2 8" xfId="366"/>
    <cellStyle name="_Data_Mar 09 Reventa Delloitte V1 Preliminar I Trim 09 V2 9" xfId="367"/>
    <cellStyle name="_Data_Mar 09 Reventa Delloitte V1 Preliminar I Trim 09 V2_2" xfId="368"/>
    <cellStyle name="_Data_Mar 09 Reventa Delloitte V1 Preliminar I Trim 09 V2_2 2" xfId="369"/>
    <cellStyle name="_Data_Mar 09 Reventa Delloitte V4" xfId="370"/>
    <cellStyle name="_Data_Mar 09 Reventa Delloitte V4 2" xfId="371"/>
    <cellStyle name="_Data_NOTA AF-IFRS-GPOISSA JUN2011" xfId="372"/>
    <cellStyle name="_Depreciación" xfId="373"/>
    <cellStyle name="_DIC.CONT." xfId="374"/>
    <cellStyle name="_DICIEMBRE - SEG POST VENTA YOLANDA" xfId="375"/>
    <cellStyle name="_DICIEMBRE CECOR PLUS" xfId="376"/>
    <cellStyle name="_Edos Fins Gpo Tmx_DIC09" xfId="377"/>
    <cellStyle name="_EFECTO_NETO_CXC_CXP_PARTES_RELAC_ESCISION_JUN 10" xfId="378"/>
    <cellStyle name="_EPRs_AMX_Abr10" xfId="379"/>
    <cellStyle name="_EPRs_AMX_May10" xfId="380"/>
    <cellStyle name="_FACTURADO WTD TELMEX 2006 Dic 5" xfId="381"/>
    <cellStyle name="_FACTURADO WTD TELMEX 2006 Dic 5_Variaciones Reventa Mar 09" xfId="382"/>
    <cellStyle name="_FACTURADO WTD TELMEX 2006 Dic 5_Variaciones Reventa Mar 09 2" xfId="383"/>
    <cellStyle name="_filiales_cti_1007" xfId="384"/>
    <cellStyle name="_filiales_cti_1107" xfId="385"/>
    <cellStyle name="_Formato Cotizaciones Generadas en Febrero" xfId="386"/>
    <cellStyle name="_GASTO ING PART RELACIONADAS 2013" xfId="387"/>
    <cellStyle name="_GpoTelvista_Jun10" xfId="388"/>
    <cellStyle name="_Header" xfId="389"/>
    <cellStyle name="_HT 01 al 31 Octubre 2003 Cecor Ventas cierre final" xfId="390"/>
    <cellStyle name="_HT 03 al 30 de Nov 2003 Cecor Ventas CIERRE" xfId="391"/>
    <cellStyle name="_HT 04 Diciembre 2003 Cecor Ventas" xfId="392"/>
    <cellStyle name="_HT 04 Noviembre 2003 Cecor Ventas" xfId="393"/>
    <cellStyle name="_HT 05 Noviembre 2003 Cecor Ventas" xfId="394"/>
    <cellStyle name="_HT Cecor Especial 03 al 28 de Noviembre CIERRE" xfId="395"/>
    <cellStyle name="_HT CECOR GENERAL (01-31-Dic-04)(con compartidas)" xfId="396"/>
    <cellStyle name="_HT CV+CE del 01 al 01-31-Dic-04 CIERRE E (para validacion)" xfId="397"/>
    <cellStyle name="_Incrementales Dic 09 Local y L.D. con Resa" xfId="398"/>
    <cellStyle name="_INF PART REL CRU CONSOL JUL-10" xfId="399"/>
    <cellStyle name="_INF PART REL DIC 09 (MILES)_ALDECA_Def" xfId="400"/>
    <cellStyle name="_INSTALACION - 3 AGOSTO AL 1 DE SEPTIEMBRE" xfId="401"/>
    <cellStyle name="_INSTALADO JUNIO" xfId="402"/>
    <cellStyle name="_Insumo Febrero 06 (CECOR PLUS)" xfId="403"/>
    <cellStyle name="_Insumo Liquidado Noviembre Cecor Plus II" xfId="404"/>
    <cellStyle name="_Inversión neta Dic 2009 a JUN 2011-DEF_TMX HOLDING" xfId="405"/>
    <cellStyle name="_Inversiones_CRU diciembre" xfId="406"/>
    <cellStyle name="_ISSA Partes Relacionadas Dic 2010 c" xfId="407"/>
    <cellStyle name="_ISSA Partes Relacionadas Nov 2010 c (2)" xfId="408"/>
    <cellStyle name="_ISSA Partes Relacionadas Oct 2010 c (2)" xfId="409"/>
    <cellStyle name="_Libro11" xfId="410"/>
    <cellStyle name="_Libro3" xfId="411"/>
    <cellStyle name="_Libro4" xfId="412"/>
    <cellStyle name="_Libro5" xfId="413"/>
    <cellStyle name="_Libro7" xfId="414"/>
    <cellStyle name="_Libro8" xfId="415"/>
    <cellStyle name="_LIQUDADO OCTUBRE (2)" xfId="416"/>
    <cellStyle name="_Liquidado Diciembre Cecor Plus HERIBERTO (4)" xfId="417"/>
    <cellStyle name="_LIQUIDADO NOVIEMBRE PLUS" xfId="418"/>
    <cellStyle name="_LIQUIDADO NOVIEMBRE PLUS (3)" xfId="419"/>
    <cellStyle name="_LISTA DE PRECIOS ALCATEL EQ. RADIO 2006(Ok)" xfId="420"/>
    <cellStyle name="_LISTA DE PRECIOS ALCATEL EQ. RADIO 2006(Ok)_Variaciones Reventa Mar 09" xfId="421"/>
    <cellStyle name="_LISTA DE PRECIOS ALCATEL EQ. RADIO 2006(Ok)_Variaciones Reventa Mar 09 2" xfId="422"/>
    <cellStyle name="_LISTA DE PRECIOS ALCATEL EQ. RADIO 2007ed2" xfId="423"/>
    <cellStyle name="_LISTA DE PRECIOS ALCATEL EQ. RADIO 2007ed2_Variaciones Reventa Mar 09" xfId="424"/>
    <cellStyle name="_LISTA DE PRECIOS ALCATEL EQ. RADIO 2007ed2_Variaciones Reventa Mar 09 2" xfId="425"/>
    <cellStyle name="_LISTA DE PRECIOS ALCATEL EQ. RADIO 2007ed6" xfId="426"/>
    <cellStyle name="_LISTA DE PRECIOS ALCATEL EQ. RADIO 2007ed6_Variaciones Reventa Mar 09" xfId="427"/>
    <cellStyle name="_LISTA DE PRECIOS ALCATEL EQ. RADIO 2007ed6_Variaciones Reventa Mar 09 2" xfId="428"/>
    <cellStyle name="_LISTA DE PRECIOS ALCATEL EQ. RADIO 2007ed8" xfId="429"/>
    <cellStyle name="_LISTA DE PRECIOS ALCATEL EQ. RADIO 2007ed8_Variaciones Reventa Mar 09" xfId="430"/>
    <cellStyle name="_LISTA DE PRECIOS ALCATEL EQ. RADIO 2007ed8_Variaciones Reventa Mar 09 2" xfId="431"/>
    <cellStyle name="_Nombre-Subsidiaria CCF 2008" xfId="432"/>
    <cellStyle name="_NOV.CONT" xfId="433"/>
    <cellStyle name="_NOVIEMBRE-SEG POST VENTA YOLANDA" xfId="434"/>
    <cellStyle name="_NUEVOCOMPILADO_0407" xfId="435"/>
    <cellStyle name="_OCT.CONT" xfId="436"/>
    <cellStyle name="_OCTUBRE CECOR PLUS" xfId="437"/>
    <cellStyle name="_Operaciones con TMX y TELINT2009 (2)" xfId="438"/>
    <cellStyle name="_OPNs del 15 al 31 Jul (Uninet)" xfId="439"/>
    <cellStyle name="_Planta 2009 Final" xfId="440"/>
    <cellStyle name="_PLANTILLA CECOR SEPTIEMBRE 2006 Ver3" xfId="441"/>
    <cellStyle name="_POST VENTA SEPTIEMBRE1" xfId="442"/>
    <cellStyle name="_postventa " xfId="443"/>
    <cellStyle name="_POSTVENTA - SEPTIEMBRE - MIREYA" xfId="444"/>
    <cellStyle name="_POSTVENTA JUNIO - CLAUDIA" xfId="445"/>
    <cellStyle name="_POSTVENTA JUNIO -CLAUDIA - 3 AL 14 JULIO" xfId="446"/>
    <cellStyle name="_POSVENTA CLAUDIA (2)" xfId="447"/>
    <cellStyle name="_PR- VER 01 2013" xfId="448"/>
    <cellStyle name="_Prec Faltantes (06-09-06)TMX" xfId="449"/>
    <cellStyle name="_Precios Gpo Carso" xfId="450"/>
    <cellStyle name="_PREPASIVO 2010" xfId="451"/>
    <cellStyle name="_Presales WTD 2006 NOV-8" xfId="452"/>
    <cellStyle name="_Rcdt Uso" xfId="453"/>
    <cellStyle name="_RECUPERACION AGOSTO (MARIBEL)" xfId="454"/>
    <cellStyle name="_RECUPERACION DICIEMBRE" xfId="455"/>
    <cellStyle name="_RESULTADOS MARZO- ABRIL 11 POST VENTA INFINITUM" xfId="456"/>
    <cellStyle name="_resultados Posicion de Ajustes Cobranza" xfId="457"/>
    <cellStyle name="_Row1" xfId="458"/>
    <cellStyle name="_Row1 2" xfId="459"/>
    <cellStyle name="_Row1_BG Feb 09 Conciliada V1" xfId="460"/>
    <cellStyle name="_Row1_BG Feb 09 Conciliada V1 2" xfId="461"/>
    <cellStyle name="_Row1_BG Jul 09 Conciliada" xfId="462"/>
    <cellStyle name="_Row1_BG Jul 09 Conciliada 2" xfId="463"/>
    <cellStyle name="_Row1_BG May 09 Conciliada vs Estados Financieros" xfId="464"/>
    <cellStyle name="_Row1_BG May 09 Conciliada vs Estados Financieros 2" xfId="465"/>
    <cellStyle name="_Row1_CRM Reventa Mar 09" xfId="466"/>
    <cellStyle name="_Row1_CRM Reventa Mar 09 2" xfId="467"/>
    <cellStyle name="_Row1_CXCXP_posición Dic12 GESSI" xfId="468"/>
    <cellStyle name="_Row1_CXCXP_posición Sep12 GESSI" xfId="469"/>
    <cellStyle name="_Row1_Mar 09 Reventa Delloitte V1" xfId="470"/>
    <cellStyle name="_Row1_Mar 09 Reventa Delloitte V1 2" xfId="471"/>
    <cellStyle name="_Row1_Mar 09 Reventa Delloitte V1 Preliminar I Trim 09 V1_2" xfId="472"/>
    <cellStyle name="_Row1_Mar 09 Reventa Delloitte V1 Preliminar I Trim 09 V1_2 2" xfId="473"/>
    <cellStyle name="_Row1_Mar 09 Reventa Delloitte V1 Preliminar I Trim 09 V2" xfId="474"/>
    <cellStyle name="_Row1_Mar 09 Reventa Delloitte V1 Preliminar I Trim 09 V2 (PRECIOS)" xfId="475"/>
    <cellStyle name="_Row1_Mar 09 Reventa Delloitte V1 Preliminar I Trim 09 V2 (PRECIOS) 2" xfId="476"/>
    <cellStyle name="_Row1_Mar 09 Reventa Delloitte V1 Preliminar I Trim 09 V2 10" xfId="477"/>
    <cellStyle name="_Row1_Mar 09 Reventa Delloitte V1 Preliminar I Trim 09 V2 11" xfId="478"/>
    <cellStyle name="_Row1_Mar 09 Reventa Delloitte V1 Preliminar I Trim 09 V2 12" xfId="479"/>
    <cellStyle name="_Row1_Mar 09 Reventa Delloitte V1 Preliminar I Trim 09 V2 13" xfId="480"/>
    <cellStyle name="_Row1_Mar 09 Reventa Delloitte V1 Preliminar I Trim 09 V2 14" xfId="481"/>
    <cellStyle name="_Row1_Mar 09 Reventa Delloitte V1 Preliminar I Trim 09 V2 15" xfId="482"/>
    <cellStyle name="_Row1_Mar 09 Reventa Delloitte V1 Preliminar I Trim 09 V2 2" xfId="483"/>
    <cellStyle name="_Row1_Mar 09 Reventa Delloitte V1 Preliminar I Trim 09 V2 3" xfId="484"/>
    <cellStyle name="_Row1_Mar 09 Reventa Delloitte V1 Preliminar I Trim 09 V2 4" xfId="485"/>
    <cellStyle name="_Row1_Mar 09 Reventa Delloitte V1 Preliminar I Trim 09 V2 5" xfId="486"/>
    <cellStyle name="_Row1_Mar 09 Reventa Delloitte V1 Preliminar I Trim 09 V2 6" xfId="487"/>
    <cellStyle name="_Row1_Mar 09 Reventa Delloitte V1 Preliminar I Trim 09 V2 7" xfId="488"/>
    <cellStyle name="_Row1_Mar 09 Reventa Delloitte V1 Preliminar I Trim 09 V2 8" xfId="489"/>
    <cellStyle name="_Row1_Mar 09 Reventa Delloitte V1 Preliminar I Trim 09 V2 9" xfId="490"/>
    <cellStyle name="_Row1_Mar 09 Reventa Delloitte V1 Preliminar I Trim 09 V2_2" xfId="491"/>
    <cellStyle name="_Row1_Mar 09 Reventa Delloitte V1 Preliminar I Trim 09 V2_2 2" xfId="492"/>
    <cellStyle name="_Row1_Mar 09 Reventa Delloitte V4" xfId="493"/>
    <cellStyle name="_Row1_Mar 09 Reventa Delloitte V4 2" xfId="494"/>
    <cellStyle name="_Row1_NOTA AF-IFRS-GPOISSA JUN2011" xfId="495"/>
    <cellStyle name="_Row2" xfId="496"/>
    <cellStyle name="_Row3" xfId="497"/>
    <cellStyle name="_Row4" xfId="498"/>
    <cellStyle name="_Row5" xfId="499"/>
    <cellStyle name="_Row6" xfId="500"/>
    <cellStyle name="_Row7" xfId="501"/>
    <cellStyle name="_Row7 2" xfId="502"/>
    <cellStyle name="_Row7_BG Feb 09 Conciliada V1" xfId="503"/>
    <cellStyle name="_Row7_BG Feb 09 Conciliada V1 2" xfId="504"/>
    <cellStyle name="_Row7_BG Jul 09 Conciliada" xfId="505"/>
    <cellStyle name="_Row7_BG Jul 09 Conciliada 2" xfId="506"/>
    <cellStyle name="_Row7_BG May 09 Conciliada vs Estados Financieros" xfId="507"/>
    <cellStyle name="_Row7_BG May 09 Conciliada vs Estados Financieros 2" xfId="508"/>
    <cellStyle name="_Row7_CRM Reventa Mar 09" xfId="509"/>
    <cellStyle name="_Row7_CRM Reventa Mar 09 2" xfId="510"/>
    <cellStyle name="_Row7_Mar 09 Reventa Delloitte V1" xfId="511"/>
    <cellStyle name="_Row7_Mar 09 Reventa Delloitte V1 2" xfId="512"/>
    <cellStyle name="_Row7_Mar 09 Reventa Delloitte V1 Preliminar I Trim 09 V1_2" xfId="513"/>
    <cellStyle name="_Row7_Mar 09 Reventa Delloitte V1 Preliminar I Trim 09 V1_2 2" xfId="514"/>
    <cellStyle name="_Row7_Mar 09 Reventa Delloitte V1 Preliminar I Trim 09 V2" xfId="515"/>
    <cellStyle name="_Row7_Mar 09 Reventa Delloitte V1 Preliminar I Trim 09 V2 (PRECIOS)" xfId="516"/>
    <cellStyle name="_Row7_Mar 09 Reventa Delloitte V1 Preliminar I Trim 09 V2 (PRECIOS) 2" xfId="517"/>
    <cellStyle name="_Row7_Mar 09 Reventa Delloitte V1 Preliminar I Trim 09 V2 10" xfId="518"/>
    <cellStyle name="_Row7_Mar 09 Reventa Delloitte V1 Preliminar I Trim 09 V2 11" xfId="519"/>
    <cellStyle name="_Row7_Mar 09 Reventa Delloitte V1 Preliminar I Trim 09 V2 12" xfId="520"/>
    <cellStyle name="_Row7_Mar 09 Reventa Delloitte V1 Preliminar I Trim 09 V2 13" xfId="521"/>
    <cellStyle name="_Row7_Mar 09 Reventa Delloitte V1 Preliminar I Trim 09 V2 14" xfId="522"/>
    <cellStyle name="_Row7_Mar 09 Reventa Delloitte V1 Preliminar I Trim 09 V2 15" xfId="523"/>
    <cellStyle name="_Row7_Mar 09 Reventa Delloitte V1 Preliminar I Trim 09 V2 2" xfId="524"/>
    <cellStyle name="_Row7_Mar 09 Reventa Delloitte V1 Preliminar I Trim 09 V2 3" xfId="525"/>
    <cellStyle name="_Row7_Mar 09 Reventa Delloitte V1 Preliminar I Trim 09 V2 4" xfId="526"/>
    <cellStyle name="_Row7_Mar 09 Reventa Delloitte V1 Preliminar I Trim 09 V2 5" xfId="527"/>
    <cellStyle name="_Row7_Mar 09 Reventa Delloitte V1 Preliminar I Trim 09 V2 6" xfId="528"/>
    <cellStyle name="_Row7_Mar 09 Reventa Delloitte V1 Preliminar I Trim 09 V2 7" xfId="529"/>
    <cellStyle name="_Row7_Mar 09 Reventa Delloitte V1 Preliminar I Trim 09 V2 8" xfId="530"/>
    <cellStyle name="_Row7_Mar 09 Reventa Delloitte V1 Preliminar I Trim 09 V2 9" xfId="531"/>
    <cellStyle name="_Row7_Mar 09 Reventa Delloitte V1 Preliminar I Trim 09 V2_2" xfId="532"/>
    <cellStyle name="_Row7_Mar 09 Reventa Delloitte V1 Preliminar I Trim 09 V2_2 2" xfId="533"/>
    <cellStyle name="_Row7_Mar 09 Reventa Delloitte V4" xfId="534"/>
    <cellStyle name="_Row7_Mar 09 Reventa Delloitte V4 2" xfId="535"/>
    <cellStyle name="_SEG LLAMADAS INB" xfId="536"/>
    <cellStyle name="_SEG-ABR-POSTVENTA(jorge Suarez)" xfId="537"/>
    <cellStyle name="_SEG-MAR-POSTVENT jorge suarez" xfId="538"/>
    <cellStyle name="_SEG-MAYO-POSTVENTA-PAOLA" xfId="539"/>
    <cellStyle name="_SEG-MAY-POSTVENTA jorge" xfId="540"/>
    <cellStyle name="_Seguimiento de Cecor+especiales 02-Junio-04" xfId="541"/>
    <cellStyle name="_Seguimiento de Cecor+especiales 03-Junio-04" xfId="542"/>
    <cellStyle name="_Separación Contable 2010 V3" xfId="543"/>
    <cellStyle name="_Separación Contable Ene 10" xfId="544"/>
    <cellStyle name="_Separación Contable Feb 10" xfId="545"/>
    <cellStyle name="_Separación Contable Mar 10" xfId="546"/>
    <cellStyle name="_SEPTIEMBRE -SEG GRAL POST VENTA" xfId="547"/>
    <cellStyle name="_Subsidiarias Nacionales CCF 2008" xfId="548"/>
    <cellStyle name="_Venta de Lada 600" xfId="549"/>
    <cellStyle name="_Venta de Lada 600 1er Q" xfId="550"/>
    <cellStyle name="_Venta de Lada 600 junio" xfId="551"/>
    <cellStyle name="_Venta de Lada 600 Nov (3)" xfId="552"/>
    <cellStyle name="_Venta de Lada 600 Oct" xfId="553"/>
    <cellStyle name="_Venta de Lada 600 Sep" xfId="554"/>
    <cellStyle name="_Ventas Compartidas Diciembre" xfId="555"/>
    <cellStyle name="_Ventas de Lada 600 julio" xfId="556"/>
    <cellStyle name="_Yolanda PostVenta Octubre 2006" xfId="557"/>
    <cellStyle name="=C:\WINNT\SYSTEM32\COMMAND.COM" xfId="558"/>
    <cellStyle name="2" xfId="559"/>
    <cellStyle name="2_33" xfId="560"/>
    <cellStyle name="20% - Accent1 2" xfId="561"/>
    <cellStyle name="20% - Accent1 2 2" xfId="562"/>
    <cellStyle name="20% - Accent2 2" xfId="563"/>
    <cellStyle name="20% - Accent2 2 2" xfId="564"/>
    <cellStyle name="20% - Accent3 2" xfId="565"/>
    <cellStyle name="20% - Accent3 2 2" xfId="566"/>
    <cellStyle name="20% - Accent4 2" xfId="567"/>
    <cellStyle name="20% - Accent4 2 2" xfId="568"/>
    <cellStyle name="20% - Accent5 2" xfId="569"/>
    <cellStyle name="20% - Accent5 2 2" xfId="570"/>
    <cellStyle name="20% - Accent6 2" xfId="571"/>
    <cellStyle name="20% - Accent6 2 2" xfId="572"/>
    <cellStyle name="20% - Énfasis1 2" xfId="573"/>
    <cellStyle name="20% - Énfasis1 3" xfId="574"/>
    <cellStyle name="20% - Énfasis2 2" xfId="575"/>
    <cellStyle name="20% - Énfasis2 3" xfId="576"/>
    <cellStyle name="20% - Énfasis3 2" xfId="577"/>
    <cellStyle name="20% - Énfasis3 3" xfId="578"/>
    <cellStyle name="20% - Énfasis4 2" xfId="579"/>
    <cellStyle name="20% - Énfasis4 3" xfId="580"/>
    <cellStyle name="20% - Énfasis5 2" xfId="581"/>
    <cellStyle name="20% - Énfasis5 3" xfId="582"/>
    <cellStyle name="20% - Énfasis6 2" xfId="583"/>
    <cellStyle name="20% - Énfasis6 3" xfId="584"/>
    <cellStyle name="40% - Accent1 2" xfId="585"/>
    <cellStyle name="40% - Accent1 2 2" xfId="586"/>
    <cellStyle name="40% - Accent2 2" xfId="587"/>
    <cellStyle name="40% - Accent2 2 2" xfId="588"/>
    <cellStyle name="40% - Accent3 2" xfId="589"/>
    <cellStyle name="40% - Accent3 2 2" xfId="590"/>
    <cellStyle name="40% - Accent4 2" xfId="591"/>
    <cellStyle name="40% - Accent4 2 2" xfId="592"/>
    <cellStyle name="40% - Accent5 2" xfId="593"/>
    <cellStyle name="40% - Accent5 2 2" xfId="594"/>
    <cellStyle name="40% - Accent6 2" xfId="595"/>
    <cellStyle name="40% - Accent6 2 2" xfId="596"/>
    <cellStyle name="40% - Énfasis1 2" xfId="597"/>
    <cellStyle name="40% - Énfasis1 3" xfId="598"/>
    <cellStyle name="40% - Énfasis2 2" xfId="599"/>
    <cellStyle name="40% - Énfasis2 3" xfId="600"/>
    <cellStyle name="40% - Énfasis3 2" xfId="601"/>
    <cellStyle name="40% - Énfasis3 3" xfId="602"/>
    <cellStyle name="40% - Énfasis4 2" xfId="603"/>
    <cellStyle name="40% - Énfasis4 3" xfId="604"/>
    <cellStyle name="40% - Énfasis5 2" xfId="605"/>
    <cellStyle name="40% - Énfasis5 3" xfId="606"/>
    <cellStyle name="40% - Énfasis6 2" xfId="607"/>
    <cellStyle name="40% - Énfasis6 3" xfId="608"/>
    <cellStyle name="60% - Accent1 2" xfId="609"/>
    <cellStyle name="60% - Accent1 2 2" xfId="610"/>
    <cellStyle name="60% - Accent2 2" xfId="611"/>
    <cellStyle name="60% - Accent2 2 2" xfId="612"/>
    <cellStyle name="60% - Accent3 2" xfId="613"/>
    <cellStyle name="60% - Accent3 2 2" xfId="614"/>
    <cellStyle name="60% - Accent4 2" xfId="615"/>
    <cellStyle name="60% - Accent4 2 2" xfId="616"/>
    <cellStyle name="60% - Accent5 2" xfId="617"/>
    <cellStyle name="60% - Accent5 2 2" xfId="618"/>
    <cellStyle name="60% - Accent6 2" xfId="619"/>
    <cellStyle name="60% - Accent6 2 2" xfId="620"/>
    <cellStyle name="60% - Énfasis1 2" xfId="621"/>
    <cellStyle name="60% - Énfasis1 3" xfId="622"/>
    <cellStyle name="60% - Énfasis2 2" xfId="623"/>
    <cellStyle name="60% - Énfasis2 3" xfId="624"/>
    <cellStyle name="60% - Énfasis3 2" xfId="625"/>
    <cellStyle name="60% - Énfasis3 3" xfId="626"/>
    <cellStyle name="60% - Énfasis4 2" xfId="627"/>
    <cellStyle name="60% - Énfasis4 3" xfId="628"/>
    <cellStyle name="60% - Énfasis5 2" xfId="629"/>
    <cellStyle name="60% - Énfasis5 3" xfId="630"/>
    <cellStyle name="60% - Énfasis6 2" xfId="631"/>
    <cellStyle name="60% - Énfasis6 3" xfId="632"/>
    <cellStyle name="ac" xfId="633"/>
    <cellStyle name="Accent1 2" xfId="634"/>
    <cellStyle name="Accent1 2 2" xfId="635"/>
    <cellStyle name="Accent2 2" xfId="636"/>
    <cellStyle name="Accent2 2 2" xfId="637"/>
    <cellStyle name="Accent3 2" xfId="638"/>
    <cellStyle name="Accent3 2 2" xfId="639"/>
    <cellStyle name="Accent4 2" xfId="640"/>
    <cellStyle name="Accent4 2 2" xfId="641"/>
    <cellStyle name="Accent5 2" xfId="642"/>
    <cellStyle name="Accent5 2 2" xfId="643"/>
    <cellStyle name="Accent6 2" xfId="644"/>
    <cellStyle name="Accent6 2 2" xfId="645"/>
    <cellStyle name="active" xfId="646"/>
    <cellStyle name="active 2" xfId="647"/>
    <cellStyle name="amount" xfId="648"/>
    <cellStyle name="años" xfId="649"/>
    <cellStyle name="años 2" xfId="650"/>
    <cellStyle name="ÁöÁ¤µÇÁö ¾ÊÀ½" xfId="651"/>
    <cellStyle name="ÄÞ¸¶ [0]_±âÅ¸" xfId="652"/>
    <cellStyle name="ÄÞ¸¶_±âÅ¸" xfId="653"/>
    <cellStyle name="axlcolour" xfId="654"/>
    <cellStyle name="Bad 2" xfId="655"/>
    <cellStyle name="Bad 2 2" xfId="656"/>
    <cellStyle name="Body text" xfId="657"/>
    <cellStyle name="Buena 2" xfId="658"/>
    <cellStyle name="Buena 3" xfId="659"/>
    <cellStyle name="Ç¥ÁØ_¿ù°£¿ä¾àº¸°í" xfId="660"/>
    <cellStyle name="Cabecera 1" xfId="661"/>
    <cellStyle name="Cabecera 2" xfId="662"/>
    <cellStyle name="Calc Currency (0)" xfId="663"/>
    <cellStyle name="Calc Currency (2)" xfId="664"/>
    <cellStyle name="Calc Percent (0)" xfId="665"/>
    <cellStyle name="Calc Percent (1)" xfId="666"/>
    <cellStyle name="Calc Percent (2)" xfId="667"/>
    <cellStyle name="Calc Units (0)" xfId="668"/>
    <cellStyle name="Calc Units (1)" xfId="669"/>
    <cellStyle name="Calc Units (2)" xfId="670"/>
    <cellStyle name="Calculation 2" xfId="671"/>
    <cellStyle name="Calculation 2 2" xfId="672"/>
    <cellStyle name="Cálculo" xfId="1" builtinId="22" customBuiltin="1"/>
    <cellStyle name="Cálculo 2" xfId="673"/>
    <cellStyle name="Cálculo 3" xfId="674"/>
    <cellStyle name="Celda de comprobación 2" xfId="675"/>
    <cellStyle name="Celda de comprobación 3" xfId="676"/>
    <cellStyle name="Celda vinculada 2" xfId="677"/>
    <cellStyle name="Celda vinculada 3" xfId="678"/>
    <cellStyle name="Check Cell 2" xfId="679"/>
    <cellStyle name="Checksum" xfId="2"/>
    <cellStyle name="Column Heading" xfId="64"/>
    <cellStyle name="Column label" xfId="3"/>
    <cellStyle name="Column label (left aligned)" xfId="4"/>
    <cellStyle name="Column label (no wrap)" xfId="5"/>
    <cellStyle name="Column label (not bold)" xfId="6"/>
    <cellStyle name="Comma  - Style1" xfId="680"/>
    <cellStyle name="Comma  - Style2" xfId="681"/>
    <cellStyle name="Comma  - Style3" xfId="682"/>
    <cellStyle name="Comma  - Style4" xfId="683"/>
    <cellStyle name="Comma  - Style5" xfId="684"/>
    <cellStyle name="Comma  - Style6" xfId="685"/>
    <cellStyle name="Comma  - Style7" xfId="686"/>
    <cellStyle name="Comma  - Style8" xfId="687"/>
    <cellStyle name="Comma [00]" xfId="688"/>
    <cellStyle name="Comma 10" xfId="689"/>
    <cellStyle name="Comma 11" xfId="690"/>
    <cellStyle name="Comma 12" xfId="691"/>
    <cellStyle name="Comma 13" xfId="692"/>
    <cellStyle name="Comma 14" xfId="693"/>
    <cellStyle name="Comma 15" xfId="694"/>
    <cellStyle name="Comma 16" xfId="695"/>
    <cellStyle name="Comma 17" xfId="696"/>
    <cellStyle name="Comma 18" xfId="697"/>
    <cellStyle name="Comma 19" xfId="698"/>
    <cellStyle name="Comma 2" xfId="73"/>
    <cellStyle name="Comma 2 2" xfId="699"/>
    <cellStyle name="Comma 2 2 2" xfId="700"/>
    <cellStyle name="Comma 2 3" xfId="701"/>
    <cellStyle name="Comma 2 4" xfId="702"/>
    <cellStyle name="Comma 20" xfId="703"/>
    <cellStyle name="Comma 21" xfId="704"/>
    <cellStyle name="Comma 22" xfId="705"/>
    <cellStyle name="Comma 23" xfId="706"/>
    <cellStyle name="Comma 24" xfId="707"/>
    <cellStyle name="Comma 25" xfId="708"/>
    <cellStyle name="Comma 26" xfId="709"/>
    <cellStyle name="Comma 27" xfId="710"/>
    <cellStyle name="Comma 28" xfId="711"/>
    <cellStyle name="Comma 29" xfId="712"/>
    <cellStyle name="Comma 3" xfId="713"/>
    <cellStyle name="Comma 3 2" xfId="714"/>
    <cellStyle name="Comma 3 2 2" xfId="715"/>
    <cellStyle name="Comma 3 3" xfId="716"/>
    <cellStyle name="Comma 3 4" xfId="717"/>
    <cellStyle name="Comma 30" xfId="718"/>
    <cellStyle name="Comma 31" xfId="719"/>
    <cellStyle name="Comma 32" xfId="720"/>
    <cellStyle name="Comma 33" xfId="721"/>
    <cellStyle name="Comma 34" xfId="722"/>
    <cellStyle name="Comma 35" xfId="723"/>
    <cellStyle name="Comma 36" xfId="724"/>
    <cellStyle name="Comma 37" xfId="725"/>
    <cellStyle name="Comma 38" xfId="726"/>
    <cellStyle name="Comma 4" xfId="727"/>
    <cellStyle name="Comma 4 2" xfId="728"/>
    <cellStyle name="Comma 4 3" xfId="729"/>
    <cellStyle name="Comma 5" xfId="730"/>
    <cellStyle name="Comma 5 2" xfId="731"/>
    <cellStyle name="Comma 5 3" xfId="732"/>
    <cellStyle name="Comma 5 4" xfId="733"/>
    <cellStyle name="Comma 6" xfId="734"/>
    <cellStyle name="Comma 7" xfId="735"/>
    <cellStyle name="Comma 8" xfId="736"/>
    <cellStyle name="Comma 9" xfId="737"/>
    <cellStyle name="Comma0" xfId="738"/>
    <cellStyle name="Currency (0dp)" xfId="8"/>
    <cellStyle name="Currency (2dp)" xfId="9"/>
    <cellStyle name="Currency [00]" xfId="739"/>
    <cellStyle name="Currency 2" xfId="740"/>
    <cellStyle name="Currency 3" xfId="741"/>
    <cellStyle name="Currency Dollar" xfId="10"/>
    <cellStyle name="Currency Dollar (2dp)" xfId="11"/>
    <cellStyle name="Currency EUR" xfId="12"/>
    <cellStyle name="Currency EUR (2dp)" xfId="13"/>
    <cellStyle name="Currency Euro" xfId="14"/>
    <cellStyle name="Currency Euro (2dp)" xfId="15"/>
    <cellStyle name="Currency GBP" xfId="16"/>
    <cellStyle name="Currency GBP (2dp)" xfId="17"/>
    <cellStyle name="Currency Pound" xfId="18"/>
    <cellStyle name="Currency Pound (2dp)" xfId="19"/>
    <cellStyle name="Currency USD" xfId="20"/>
    <cellStyle name="Currency USD (2dp)" xfId="21"/>
    <cellStyle name="Currency0" xfId="742"/>
    <cellStyle name="Date" xfId="22"/>
    <cellStyle name="Date (Month)" xfId="23"/>
    <cellStyle name="Date (Year)" xfId="24"/>
    <cellStyle name="Date Short" xfId="743"/>
    <cellStyle name="Date_(06) Part Relac Alca Jun'12" xfId="744"/>
    <cellStyle name="DAV" xfId="745"/>
    <cellStyle name="DELTA" xfId="746"/>
    <cellStyle name="Dezimal [0]" xfId="747"/>
    <cellStyle name="Dezimal_IPIS-generique" xfId="748"/>
    <cellStyle name="Dia" xfId="749"/>
    <cellStyle name="Diseño" xfId="750"/>
    <cellStyle name="Diseño 2" xfId="751"/>
    <cellStyle name="Encabez1" xfId="752"/>
    <cellStyle name="Encabez2" xfId="753"/>
    <cellStyle name="Encabezado 1" xfId="30" builtinId="16"/>
    <cellStyle name="Encabezado 4 2" xfId="754"/>
    <cellStyle name="Encabezado 4 3" xfId="755"/>
    <cellStyle name="Énfasis 1" xfId="756"/>
    <cellStyle name="Énfasis 2" xfId="757"/>
    <cellStyle name="Énfasis 3" xfId="758"/>
    <cellStyle name="Énfasis1 - 20%" xfId="759"/>
    <cellStyle name="Énfasis1 - 40%" xfId="760"/>
    <cellStyle name="Énfasis1 - 60%" xfId="761"/>
    <cellStyle name="Énfasis1 2" xfId="762"/>
    <cellStyle name="Énfasis1 3" xfId="763"/>
    <cellStyle name="Énfasis2 - 20%" xfId="764"/>
    <cellStyle name="Énfasis2 - 40%" xfId="765"/>
    <cellStyle name="Énfasis2 - 60%" xfId="766"/>
    <cellStyle name="Énfasis2 2" xfId="767"/>
    <cellStyle name="Énfasis2 3" xfId="768"/>
    <cellStyle name="Énfasis3 - 20%" xfId="769"/>
    <cellStyle name="Énfasis3 - 40%" xfId="770"/>
    <cellStyle name="Énfasis3 - 60%" xfId="771"/>
    <cellStyle name="Énfasis3 2" xfId="772"/>
    <cellStyle name="Énfasis3 3" xfId="773"/>
    <cellStyle name="Énfasis4 - 20%" xfId="774"/>
    <cellStyle name="Énfasis4 - 40%" xfId="775"/>
    <cellStyle name="Énfasis4 - 60%" xfId="776"/>
    <cellStyle name="Énfasis4 2" xfId="777"/>
    <cellStyle name="Énfasis4 3" xfId="778"/>
    <cellStyle name="Énfasis5 - 20%" xfId="779"/>
    <cellStyle name="Énfasis5 - 40%" xfId="780"/>
    <cellStyle name="Énfasis5 - 60%" xfId="781"/>
    <cellStyle name="Énfasis5 2" xfId="782"/>
    <cellStyle name="Énfasis5 3" xfId="783"/>
    <cellStyle name="Énfasis6 - 20%" xfId="784"/>
    <cellStyle name="Énfasis6 - 40%" xfId="785"/>
    <cellStyle name="Énfasis6 - 60%" xfId="786"/>
    <cellStyle name="Énfasis6 2" xfId="787"/>
    <cellStyle name="Énfasis6 3" xfId="788"/>
    <cellStyle name="Enter Currency (0)" xfId="789"/>
    <cellStyle name="Enter Currency (2)" xfId="790"/>
    <cellStyle name="Enter Units (0)" xfId="791"/>
    <cellStyle name="Enter Units (1)" xfId="792"/>
    <cellStyle name="Enter Units (2)" xfId="793"/>
    <cellStyle name="Entrada 2" xfId="794"/>
    <cellStyle name="Entrada 3" xfId="795"/>
    <cellStyle name="Estilo 1" xfId="796"/>
    <cellStyle name="Estilo 1 2" xfId="797"/>
    <cellStyle name="Estilo 1 2 2" xfId="798"/>
    <cellStyle name="Estilo 1 3" xfId="799"/>
    <cellStyle name="Estilo 1 4" xfId="800"/>
    <cellStyle name="Estilo 1 5" xfId="801"/>
    <cellStyle name="Estilo 1 6" xfId="802"/>
    <cellStyle name="Estilo 1_(06) Part Relac Alca Jun'12" xfId="803"/>
    <cellStyle name="Estilo 10" xfId="804"/>
    <cellStyle name="Estilo 10 2" xfId="805"/>
    <cellStyle name="Estilo 100" xfId="806"/>
    <cellStyle name="Estilo 100 2" xfId="807"/>
    <cellStyle name="Estilo 101" xfId="808"/>
    <cellStyle name="Estilo 101 2" xfId="809"/>
    <cellStyle name="Estilo 102" xfId="810"/>
    <cellStyle name="Estilo 102 2" xfId="811"/>
    <cellStyle name="Estilo 103" xfId="812"/>
    <cellStyle name="Estilo 103 2" xfId="813"/>
    <cellStyle name="Estilo 104" xfId="814"/>
    <cellStyle name="Estilo 105" xfId="815"/>
    <cellStyle name="Estilo 105 2" xfId="816"/>
    <cellStyle name="Estilo 106" xfId="817"/>
    <cellStyle name="Estilo 106 2" xfId="818"/>
    <cellStyle name="Estilo 107" xfId="819"/>
    <cellStyle name="Estilo 107 2" xfId="820"/>
    <cellStyle name="Estilo 108" xfId="821"/>
    <cellStyle name="Estilo 108 2" xfId="822"/>
    <cellStyle name="Estilo 109" xfId="823"/>
    <cellStyle name="Estilo 109 2" xfId="824"/>
    <cellStyle name="Estilo 11" xfId="825"/>
    <cellStyle name="Estilo 11 2" xfId="826"/>
    <cellStyle name="Estilo 110" xfId="827"/>
    <cellStyle name="Estilo 110 2" xfId="828"/>
    <cellStyle name="Estilo 111" xfId="829"/>
    <cellStyle name="Estilo 111 2" xfId="830"/>
    <cellStyle name="Estilo 112" xfId="831"/>
    <cellStyle name="Estilo 112 2" xfId="832"/>
    <cellStyle name="Estilo 113" xfId="833"/>
    <cellStyle name="Estilo 114" xfId="834"/>
    <cellStyle name="Estilo 115" xfId="835"/>
    <cellStyle name="Estilo 115 2" xfId="836"/>
    <cellStyle name="Estilo 116" xfId="837"/>
    <cellStyle name="Estilo 116 2" xfId="838"/>
    <cellStyle name="Estilo 117" xfId="839"/>
    <cellStyle name="Estilo 117 2" xfId="840"/>
    <cellStyle name="Estilo 118" xfId="841"/>
    <cellStyle name="Estilo 118 2" xfId="842"/>
    <cellStyle name="Estilo 119" xfId="843"/>
    <cellStyle name="Estilo 119 2" xfId="844"/>
    <cellStyle name="Estilo 12" xfId="845"/>
    <cellStyle name="Estilo 12 2" xfId="846"/>
    <cellStyle name="Estilo 120" xfId="847"/>
    <cellStyle name="Estilo 120 2" xfId="848"/>
    <cellStyle name="Estilo 121" xfId="849"/>
    <cellStyle name="Estilo 121 2" xfId="850"/>
    <cellStyle name="Estilo 122" xfId="851"/>
    <cellStyle name="Estilo 122 2" xfId="852"/>
    <cellStyle name="Estilo 123" xfId="853"/>
    <cellStyle name="Estilo 124" xfId="854"/>
    <cellStyle name="Estilo 124 2" xfId="855"/>
    <cellStyle name="Estilo 125" xfId="856"/>
    <cellStyle name="Estilo 126" xfId="857"/>
    <cellStyle name="Estilo 126 2" xfId="858"/>
    <cellStyle name="Estilo 127" xfId="859"/>
    <cellStyle name="Estilo 127 2" xfId="860"/>
    <cellStyle name="Estilo 128" xfId="861"/>
    <cellStyle name="Estilo 128 2" xfId="862"/>
    <cellStyle name="Estilo 129" xfId="863"/>
    <cellStyle name="Estilo 129 2" xfId="864"/>
    <cellStyle name="Estilo 13" xfId="865"/>
    <cellStyle name="Estilo 13 2" xfId="866"/>
    <cellStyle name="Estilo 130" xfId="867"/>
    <cellStyle name="Estilo 130 2" xfId="868"/>
    <cellStyle name="Estilo 131" xfId="869"/>
    <cellStyle name="Estilo 131 2" xfId="870"/>
    <cellStyle name="Estilo 132" xfId="871"/>
    <cellStyle name="Estilo 132 2" xfId="872"/>
    <cellStyle name="Estilo 133" xfId="873"/>
    <cellStyle name="Estilo 133 2" xfId="874"/>
    <cellStyle name="Estilo 134" xfId="875"/>
    <cellStyle name="Estilo 135" xfId="876"/>
    <cellStyle name="Estilo 135 2" xfId="877"/>
    <cellStyle name="Estilo 136" xfId="878"/>
    <cellStyle name="Estilo 136 2" xfId="879"/>
    <cellStyle name="Estilo 137" xfId="880"/>
    <cellStyle name="Estilo 137 2" xfId="881"/>
    <cellStyle name="Estilo 138" xfId="882"/>
    <cellStyle name="Estilo 138 2" xfId="883"/>
    <cellStyle name="Estilo 139" xfId="884"/>
    <cellStyle name="Estilo 139 2" xfId="885"/>
    <cellStyle name="Estilo 14" xfId="886"/>
    <cellStyle name="Estilo 140" xfId="887"/>
    <cellStyle name="Estilo 140 2" xfId="888"/>
    <cellStyle name="Estilo 141" xfId="889"/>
    <cellStyle name="Estilo 141 2" xfId="890"/>
    <cellStyle name="Estilo 142" xfId="891"/>
    <cellStyle name="Estilo 143" xfId="892"/>
    <cellStyle name="Estilo 143 2" xfId="893"/>
    <cellStyle name="Estilo 144" xfId="894"/>
    <cellStyle name="Estilo 144 2" xfId="895"/>
    <cellStyle name="Estilo 145" xfId="896"/>
    <cellStyle name="Estilo 145 2" xfId="897"/>
    <cellStyle name="Estilo 146" xfId="898"/>
    <cellStyle name="Estilo 146 2" xfId="899"/>
    <cellStyle name="Estilo 147" xfId="900"/>
    <cellStyle name="Estilo 147 2" xfId="901"/>
    <cellStyle name="Estilo 148" xfId="902"/>
    <cellStyle name="Estilo 148 2" xfId="903"/>
    <cellStyle name="Estilo 149" xfId="904"/>
    <cellStyle name="Estilo 149 2" xfId="905"/>
    <cellStyle name="Estilo 15" xfId="906"/>
    <cellStyle name="Estilo 15 2" xfId="907"/>
    <cellStyle name="Estilo 150" xfId="908"/>
    <cellStyle name="Estilo 150 2" xfId="909"/>
    <cellStyle name="Estilo 151" xfId="910"/>
    <cellStyle name="Estilo 152" xfId="911"/>
    <cellStyle name="Estilo 153" xfId="912"/>
    <cellStyle name="Estilo 153 2" xfId="913"/>
    <cellStyle name="Estilo 154" xfId="914"/>
    <cellStyle name="Estilo 154 2" xfId="915"/>
    <cellStyle name="Estilo 155" xfId="916"/>
    <cellStyle name="Estilo 155 2" xfId="917"/>
    <cellStyle name="Estilo 156" xfId="918"/>
    <cellStyle name="Estilo 156 2" xfId="919"/>
    <cellStyle name="Estilo 157" xfId="920"/>
    <cellStyle name="Estilo 157 2" xfId="921"/>
    <cellStyle name="Estilo 158" xfId="922"/>
    <cellStyle name="Estilo 158 2" xfId="923"/>
    <cellStyle name="Estilo 159" xfId="924"/>
    <cellStyle name="Estilo 159 2" xfId="925"/>
    <cellStyle name="Estilo 16" xfId="926"/>
    <cellStyle name="Estilo 160" xfId="927"/>
    <cellStyle name="Estilo 160 2" xfId="928"/>
    <cellStyle name="Estilo 161" xfId="929"/>
    <cellStyle name="Estilo 162" xfId="930"/>
    <cellStyle name="Estilo 162 2" xfId="931"/>
    <cellStyle name="Estilo 163" xfId="932"/>
    <cellStyle name="Estilo 164" xfId="933"/>
    <cellStyle name="Estilo 164 2" xfId="934"/>
    <cellStyle name="Estilo 165" xfId="935"/>
    <cellStyle name="Estilo 165 2" xfId="936"/>
    <cellStyle name="Estilo 166" xfId="937"/>
    <cellStyle name="Estilo 166 2" xfId="938"/>
    <cellStyle name="Estilo 167" xfId="939"/>
    <cellStyle name="Estilo 167 2" xfId="940"/>
    <cellStyle name="Estilo 168" xfId="941"/>
    <cellStyle name="Estilo 168 2" xfId="942"/>
    <cellStyle name="Estilo 169" xfId="943"/>
    <cellStyle name="Estilo 169 2" xfId="944"/>
    <cellStyle name="Estilo 17" xfId="945"/>
    <cellStyle name="Estilo 17 2" xfId="946"/>
    <cellStyle name="Estilo 170" xfId="947"/>
    <cellStyle name="Estilo 170 2" xfId="948"/>
    <cellStyle name="Estilo 171" xfId="949"/>
    <cellStyle name="Estilo 171 2" xfId="950"/>
    <cellStyle name="Estilo 172" xfId="951"/>
    <cellStyle name="Estilo 173" xfId="952"/>
    <cellStyle name="Estilo 173 2" xfId="953"/>
    <cellStyle name="Estilo 174" xfId="954"/>
    <cellStyle name="Estilo 174 2" xfId="955"/>
    <cellStyle name="Estilo 175" xfId="956"/>
    <cellStyle name="Estilo 175 2" xfId="957"/>
    <cellStyle name="Estilo 176" xfId="958"/>
    <cellStyle name="Estilo 176 2" xfId="959"/>
    <cellStyle name="Estilo 177" xfId="960"/>
    <cellStyle name="Estilo 177 2" xfId="961"/>
    <cellStyle name="Estilo 178" xfId="962"/>
    <cellStyle name="Estilo 178 2" xfId="963"/>
    <cellStyle name="Estilo 179" xfId="964"/>
    <cellStyle name="Estilo 179 2" xfId="965"/>
    <cellStyle name="Estilo 18" xfId="966"/>
    <cellStyle name="Estilo 18 2" xfId="967"/>
    <cellStyle name="Estilo 180" xfId="968"/>
    <cellStyle name="Estilo 181" xfId="969"/>
    <cellStyle name="Estilo 181 2" xfId="970"/>
    <cellStyle name="Estilo 182" xfId="971"/>
    <cellStyle name="Estilo 182 2" xfId="972"/>
    <cellStyle name="Estilo 183" xfId="973"/>
    <cellStyle name="Estilo 183 2" xfId="974"/>
    <cellStyle name="Estilo 184" xfId="975"/>
    <cellStyle name="Estilo 184 2" xfId="976"/>
    <cellStyle name="Estilo 185" xfId="977"/>
    <cellStyle name="Estilo 185 2" xfId="978"/>
    <cellStyle name="Estilo 186" xfId="979"/>
    <cellStyle name="Estilo 186 2" xfId="980"/>
    <cellStyle name="Estilo 187" xfId="981"/>
    <cellStyle name="Estilo 187 2" xfId="982"/>
    <cellStyle name="Estilo 188" xfId="983"/>
    <cellStyle name="Estilo 188 2" xfId="984"/>
    <cellStyle name="Estilo 189" xfId="985"/>
    <cellStyle name="Estilo 19" xfId="986"/>
    <cellStyle name="Estilo 19 2" xfId="987"/>
    <cellStyle name="Estilo 190" xfId="988"/>
    <cellStyle name="Estilo 191" xfId="989"/>
    <cellStyle name="Estilo 191 2" xfId="990"/>
    <cellStyle name="Estilo 192" xfId="991"/>
    <cellStyle name="Estilo 192 2" xfId="992"/>
    <cellStyle name="Estilo 193" xfId="993"/>
    <cellStyle name="Estilo 193 2" xfId="994"/>
    <cellStyle name="Estilo 194" xfId="995"/>
    <cellStyle name="Estilo 194 2" xfId="996"/>
    <cellStyle name="Estilo 195" xfId="997"/>
    <cellStyle name="Estilo 195 2" xfId="998"/>
    <cellStyle name="Estilo 196" xfId="999"/>
    <cellStyle name="Estilo 196 2" xfId="1000"/>
    <cellStyle name="Estilo 197" xfId="1001"/>
    <cellStyle name="Estilo 197 2" xfId="1002"/>
    <cellStyle name="Estilo 198" xfId="1003"/>
    <cellStyle name="Estilo 198 2" xfId="1004"/>
    <cellStyle name="Estilo 199" xfId="1005"/>
    <cellStyle name="Estilo 2" xfId="1006"/>
    <cellStyle name="Estilo 2 2" xfId="1007"/>
    <cellStyle name="Estilo 2 2 2" xfId="1008"/>
    <cellStyle name="Estilo 2 3" xfId="1009"/>
    <cellStyle name="Estilo 2 4" xfId="1010"/>
    <cellStyle name="Estilo 2 5" xfId="1011"/>
    <cellStyle name="Estilo 2 6" xfId="1012"/>
    <cellStyle name="Estilo 2_(06) Part Relac Alca Jun'12" xfId="1013"/>
    <cellStyle name="Estilo 20" xfId="1014"/>
    <cellStyle name="Estilo 20 2" xfId="1015"/>
    <cellStyle name="Estilo 200" xfId="1016"/>
    <cellStyle name="Estilo 200 2" xfId="1017"/>
    <cellStyle name="Estilo 201" xfId="1018"/>
    <cellStyle name="Estilo 202" xfId="1019"/>
    <cellStyle name="Estilo 202 2" xfId="1020"/>
    <cellStyle name="Estilo 203" xfId="1021"/>
    <cellStyle name="Estilo 203 2" xfId="1022"/>
    <cellStyle name="Estilo 204" xfId="1023"/>
    <cellStyle name="Estilo 204 2" xfId="1024"/>
    <cellStyle name="Estilo 205" xfId="1025"/>
    <cellStyle name="Estilo 205 2" xfId="1026"/>
    <cellStyle name="Estilo 206" xfId="1027"/>
    <cellStyle name="Estilo 206 2" xfId="1028"/>
    <cellStyle name="Estilo 207" xfId="1029"/>
    <cellStyle name="Estilo 207 2" xfId="1030"/>
    <cellStyle name="Estilo 208" xfId="1031"/>
    <cellStyle name="Estilo 208 2" xfId="1032"/>
    <cellStyle name="Estilo 209" xfId="1033"/>
    <cellStyle name="Estilo 209 2" xfId="1034"/>
    <cellStyle name="Estilo 21" xfId="1035"/>
    <cellStyle name="Estilo 21 2" xfId="1036"/>
    <cellStyle name="Estilo 210" xfId="1037"/>
    <cellStyle name="Estilo 211" xfId="1038"/>
    <cellStyle name="Estilo 211 2" xfId="1039"/>
    <cellStyle name="Estilo 212" xfId="1040"/>
    <cellStyle name="Estilo 212 2" xfId="1041"/>
    <cellStyle name="Estilo 213" xfId="1042"/>
    <cellStyle name="Estilo 213 2" xfId="1043"/>
    <cellStyle name="Estilo 214" xfId="1044"/>
    <cellStyle name="Estilo 214 2" xfId="1045"/>
    <cellStyle name="Estilo 215" xfId="1046"/>
    <cellStyle name="Estilo 215 2" xfId="1047"/>
    <cellStyle name="Estilo 216" xfId="1048"/>
    <cellStyle name="Estilo 216 2" xfId="1049"/>
    <cellStyle name="Estilo 217" xfId="1050"/>
    <cellStyle name="Estilo 217 2" xfId="1051"/>
    <cellStyle name="Estilo 218" xfId="1052"/>
    <cellStyle name="Estilo 219" xfId="1053"/>
    <cellStyle name="Estilo 219 2" xfId="1054"/>
    <cellStyle name="Estilo 22" xfId="1055"/>
    <cellStyle name="Estilo 22 2" xfId="1056"/>
    <cellStyle name="Estilo 220" xfId="1057"/>
    <cellStyle name="Estilo 220 2" xfId="1058"/>
    <cellStyle name="Estilo 221" xfId="1059"/>
    <cellStyle name="Estilo 221 2" xfId="1060"/>
    <cellStyle name="Estilo 222" xfId="1061"/>
    <cellStyle name="Estilo 222 2" xfId="1062"/>
    <cellStyle name="Estilo 223" xfId="1063"/>
    <cellStyle name="Estilo 223 2" xfId="1064"/>
    <cellStyle name="Estilo 224" xfId="1065"/>
    <cellStyle name="Estilo 224 2" xfId="1066"/>
    <cellStyle name="Estilo 225" xfId="1067"/>
    <cellStyle name="Estilo 225 2" xfId="1068"/>
    <cellStyle name="Estilo 226" xfId="1069"/>
    <cellStyle name="Estilo 226 2" xfId="1070"/>
    <cellStyle name="Estilo 227" xfId="1071"/>
    <cellStyle name="Estilo 228" xfId="1072"/>
    <cellStyle name="Estilo 229" xfId="1073"/>
    <cellStyle name="Estilo 229 2" xfId="1074"/>
    <cellStyle name="Estilo 23" xfId="1075"/>
    <cellStyle name="Estilo 230" xfId="1076"/>
    <cellStyle name="Estilo 230 2" xfId="1077"/>
    <cellStyle name="Estilo 231" xfId="1078"/>
    <cellStyle name="Estilo 231 2" xfId="1079"/>
    <cellStyle name="Estilo 232" xfId="1080"/>
    <cellStyle name="Estilo 232 2" xfId="1081"/>
    <cellStyle name="Estilo 233" xfId="1082"/>
    <cellStyle name="Estilo 233 2" xfId="1083"/>
    <cellStyle name="Estilo 234" xfId="1084"/>
    <cellStyle name="Estilo 234 2" xfId="1085"/>
    <cellStyle name="Estilo 235" xfId="1086"/>
    <cellStyle name="Estilo 235 2" xfId="1087"/>
    <cellStyle name="Estilo 236" xfId="1088"/>
    <cellStyle name="Estilo 236 2" xfId="1089"/>
    <cellStyle name="Estilo 237" xfId="1090"/>
    <cellStyle name="Estilo 238" xfId="1091"/>
    <cellStyle name="Estilo 238 2" xfId="1092"/>
    <cellStyle name="Estilo 239" xfId="1093"/>
    <cellStyle name="Estilo 24" xfId="1094"/>
    <cellStyle name="Estilo 24 2" xfId="1095"/>
    <cellStyle name="Estilo 240" xfId="1096"/>
    <cellStyle name="Estilo 240 2" xfId="1097"/>
    <cellStyle name="Estilo 241" xfId="1098"/>
    <cellStyle name="Estilo 241 2" xfId="1099"/>
    <cellStyle name="Estilo 242" xfId="1100"/>
    <cellStyle name="Estilo 242 2" xfId="1101"/>
    <cellStyle name="Estilo 243" xfId="1102"/>
    <cellStyle name="Estilo 243 2" xfId="1103"/>
    <cellStyle name="Estilo 244" xfId="1104"/>
    <cellStyle name="Estilo 244 2" xfId="1105"/>
    <cellStyle name="Estilo 245" xfId="1106"/>
    <cellStyle name="Estilo 245 2" xfId="1107"/>
    <cellStyle name="Estilo 246" xfId="1108"/>
    <cellStyle name="Estilo 246 2" xfId="1109"/>
    <cellStyle name="Estilo 247" xfId="1110"/>
    <cellStyle name="Estilo 247 2" xfId="1111"/>
    <cellStyle name="Estilo 248" xfId="1112"/>
    <cellStyle name="Estilo 249" xfId="1113"/>
    <cellStyle name="Estilo 249 2" xfId="1114"/>
    <cellStyle name="Estilo 25" xfId="1115"/>
    <cellStyle name="Estilo 25 2" xfId="1116"/>
    <cellStyle name="Estilo 250" xfId="1117"/>
    <cellStyle name="Estilo 251" xfId="1118"/>
    <cellStyle name="Estilo 251 2" xfId="1119"/>
    <cellStyle name="Estilo 252" xfId="1120"/>
    <cellStyle name="Estilo 252 2" xfId="1121"/>
    <cellStyle name="Estilo 253" xfId="1122"/>
    <cellStyle name="Estilo 253 2" xfId="1123"/>
    <cellStyle name="Estilo 254" xfId="1124"/>
    <cellStyle name="Estilo 254 2" xfId="1125"/>
    <cellStyle name="Estilo 255" xfId="1126"/>
    <cellStyle name="Estilo 255 2" xfId="1127"/>
    <cellStyle name="Estilo 26" xfId="1128"/>
    <cellStyle name="Estilo 26 2" xfId="1129"/>
    <cellStyle name="Estilo 27" xfId="1130"/>
    <cellStyle name="Estilo 27 2" xfId="1131"/>
    <cellStyle name="Estilo 28" xfId="1132"/>
    <cellStyle name="Estilo 28 2" xfId="1133"/>
    <cellStyle name="Estilo 29" xfId="1134"/>
    <cellStyle name="Estilo 29 2" xfId="1135"/>
    <cellStyle name="Estilo 3" xfId="1136"/>
    <cellStyle name="Estilo 3 2" xfId="1137"/>
    <cellStyle name="Estilo 30" xfId="1138"/>
    <cellStyle name="Estilo 30 2" xfId="1139"/>
    <cellStyle name="Estilo 31" xfId="1140"/>
    <cellStyle name="Estilo 31 2" xfId="1141"/>
    <cellStyle name="Estilo 32" xfId="1142"/>
    <cellStyle name="Estilo 33" xfId="1143"/>
    <cellStyle name="Estilo 34" xfId="1144"/>
    <cellStyle name="Estilo 34 2" xfId="1145"/>
    <cellStyle name="Estilo 35" xfId="1146"/>
    <cellStyle name="Estilo 35 2" xfId="1147"/>
    <cellStyle name="Estilo 36" xfId="1148"/>
    <cellStyle name="Estilo 36 2" xfId="1149"/>
    <cellStyle name="Estilo 37" xfId="1150"/>
    <cellStyle name="Estilo 37 2" xfId="1151"/>
    <cellStyle name="Estilo 38" xfId="1152"/>
    <cellStyle name="Estilo 38 2" xfId="1153"/>
    <cellStyle name="Estilo 39" xfId="1154"/>
    <cellStyle name="Estilo 39 2" xfId="1155"/>
    <cellStyle name="Estilo 4" xfId="1156"/>
    <cellStyle name="Estilo 4 2" xfId="1157"/>
    <cellStyle name="Estilo 40" xfId="1158"/>
    <cellStyle name="Estilo 40 2" xfId="1159"/>
    <cellStyle name="Estilo 41" xfId="1160"/>
    <cellStyle name="Estilo 41 2" xfId="1161"/>
    <cellStyle name="Estilo 42" xfId="1162"/>
    <cellStyle name="Estilo 43" xfId="1163"/>
    <cellStyle name="Estilo 43 2" xfId="1164"/>
    <cellStyle name="Estilo 44" xfId="1165"/>
    <cellStyle name="Estilo 44 2" xfId="1166"/>
    <cellStyle name="Estilo 45" xfId="1167"/>
    <cellStyle name="Estilo 45 2" xfId="1168"/>
    <cellStyle name="Estilo 46" xfId="1169"/>
    <cellStyle name="Estilo 46 2" xfId="1170"/>
    <cellStyle name="Estilo 47" xfId="1171"/>
    <cellStyle name="Estilo 47 2" xfId="1172"/>
    <cellStyle name="Estilo 48" xfId="1173"/>
    <cellStyle name="Estilo 49" xfId="1174"/>
    <cellStyle name="Estilo 49 2" xfId="1175"/>
    <cellStyle name="Estilo 5" xfId="1176"/>
    <cellStyle name="Estilo 50" xfId="1177"/>
    <cellStyle name="Estilo 50 2" xfId="1178"/>
    <cellStyle name="Estilo 51" xfId="1179"/>
    <cellStyle name="Estilo 51 2" xfId="1180"/>
    <cellStyle name="Estilo 52" xfId="1181"/>
    <cellStyle name="Estilo 52 2" xfId="1182"/>
    <cellStyle name="Estilo 53" xfId="1183"/>
    <cellStyle name="Estilo 53 2" xfId="1184"/>
    <cellStyle name="Estilo 54" xfId="1185"/>
    <cellStyle name="Estilo 54 2" xfId="1186"/>
    <cellStyle name="Estilo 55" xfId="1187"/>
    <cellStyle name="Estilo 55 2" xfId="1188"/>
    <cellStyle name="Estilo 56" xfId="1189"/>
    <cellStyle name="Estilo 56 2" xfId="1190"/>
    <cellStyle name="Estilo 57" xfId="1191"/>
    <cellStyle name="Estilo 58" xfId="1192"/>
    <cellStyle name="Estilo 58 2" xfId="1193"/>
    <cellStyle name="Estilo 59" xfId="1194"/>
    <cellStyle name="Estilo 59 2" xfId="1195"/>
    <cellStyle name="Estilo 6" xfId="1196"/>
    <cellStyle name="Estilo 6 2" xfId="1197"/>
    <cellStyle name="Estilo 60" xfId="1198"/>
    <cellStyle name="Estilo 60 2" xfId="1199"/>
    <cellStyle name="Estilo 61" xfId="1200"/>
    <cellStyle name="Estilo 61 2" xfId="1201"/>
    <cellStyle name="Estilo 62" xfId="1202"/>
    <cellStyle name="Estilo 62 2" xfId="1203"/>
    <cellStyle name="Estilo 63" xfId="1204"/>
    <cellStyle name="Estilo 63 2" xfId="1205"/>
    <cellStyle name="Estilo 64" xfId="1206"/>
    <cellStyle name="Estilo 64 2" xfId="1207"/>
    <cellStyle name="Estilo 65" xfId="1208"/>
    <cellStyle name="Estilo 66" xfId="1209"/>
    <cellStyle name="Estilo 66 2" xfId="1210"/>
    <cellStyle name="Estilo 67" xfId="1211"/>
    <cellStyle name="Estilo 67 2" xfId="1212"/>
    <cellStyle name="Estilo 68" xfId="1213"/>
    <cellStyle name="Estilo 68 2" xfId="1214"/>
    <cellStyle name="Estilo 69" xfId="1215"/>
    <cellStyle name="Estilo 69 2" xfId="1216"/>
    <cellStyle name="Estilo 7" xfId="1217"/>
    <cellStyle name="Estilo 7 2" xfId="1218"/>
    <cellStyle name="Estilo 70" xfId="1219"/>
    <cellStyle name="Estilo 70 2" xfId="1220"/>
    <cellStyle name="Estilo 71" xfId="1221"/>
    <cellStyle name="Estilo 71 2" xfId="1222"/>
    <cellStyle name="Estilo 72" xfId="1223"/>
    <cellStyle name="Estilo 72 2" xfId="1224"/>
    <cellStyle name="Estilo 73" xfId="1225"/>
    <cellStyle name="Estilo 73 2" xfId="1226"/>
    <cellStyle name="Estilo 74" xfId="1227"/>
    <cellStyle name="Estilo 75" xfId="1228"/>
    <cellStyle name="Estilo 76" xfId="1229"/>
    <cellStyle name="Estilo 76 2" xfId="1230"/>
    <cellStyle name="Estilo 77" xfId="1231"/>
    <cellStyle name="Estilo 77 2" xfId="1232"/>
    <cellStyle name="Estilo 78" xfId="1233"/>
    <cellStyle name="Estilo 78 2" xfId="1234"/>
    <cellStyle name="Estilo 79" xfId="1235"/>
    <cellStyle name="Estilo 79 2" xfId="1236"/>
    <cellStyle name="Estilo 8" xfId="1237"/>
    <cellStyle name="Estilo 8 2" xfId="1238"/>
    <cellStyle name="Estilo 80" xfId="1239"/>
    <cellStyle name="Estilo 80 2" xfId="1240"/>
    <cellStyle name="Estilo 81" xfId="1241"/>
    <cellStyle name="Estilo 81 2" xfId="1242"/>
    <cellStyle name="Estilo 82" xfId="1243"/>
    <cellStyle name="Estilo 82 2" xfId="1244"/>
    <cellStyle name="Estilo 83" xfId="1245"/>
    <cellStyle name="Estilo 83 2" xfId="1246"/>
    <cellStyle name="Estilo 84" xfId="1247"/>
    <cellStyle name="Estilo 85" xfId="1248"/>
    <cellStyle name="Estilo 86" xfId="1249"/>
    <cellStyle name="Estilo 86 2" xfId="1250"/>
    <cellStyle name="Estilo 87" xfId="1251"/>
    <cellStyle name="Estilo 88" xfId="1252"/>
    <cellStyle name="Estilo 88 2" xfId="1253"/>
    <cellStyle name="Estilo 89" xfId="1254"/>
    <cellStyle name="Estilo 89 2" xfId="1255"/>
    <cellStyle name="Estilo 9" xfId="1256"/>
    <cellStyle name="Estilo 9 2" xfId="1257"/>
    <cellStyle name="Estilo 90" xfId="1258"/>
    <cellStyle name="Estilo 90 2" xfId="1259"/>
    <cellStyle name="Estilo 91" xfId="1260"/>
    <cellStyle name="Estilo 91 2" xfId="1261"/>
    <cellStyle name="Estilo 92" xfId="1262"/>
    <cellStyle name="Estilo 92 2" xfId="1263"/>
    <cellStyle name="Estilo 93" xfId="1264"/>
    <cellStyle name="Estilo 93 2" xfId="1265"/>
    <cellStyle name="Estilo 94" xfId="1266"/>
    <cellStyle name="Estilo 94 2" xfId="1267"/>
    <cellStyle name="Estilo 95" xfId="1268"/>
    <cellStyle name="Estilo 95 2" xfId="1269"/>
    <cellStyle name="Estilo 96" xfId="1270"/>
    <cellStyle name="Estilo 97" xfId="1271"/>
    <cellStyle name="Estilo 97 2" xfId="1272"/>
    <cellStyle name="Estilo 98" xfId="1273"/>
    <cellStyle name="Estilo 98 2" xfId="1274"/>
    <cellStyle name="Estilo 99" xfId="1275"/>
    <cellStyle name="Estilo 99 2" xfId="1276"/>
    <cellStyle name="Euro" xfId="1277"/>
    <cellStyle name="Euro 2" xfId="1278"/>
    <cellStyle name="Euro 2 2" xfId="1279"/>
    <cellStyle name="Euro 2 3" xfId="1280"/>
    <cellStyle name="Euro 3" xfId="1281"/>
    <cellStyle name="Euro 3 2" xfId="1282"/>
    <cellStyle name="Euro 4" xfId="1283"/>
    <cellStyle name="Euro 5" xfId="1284"/>
    <cellStyle name="Euro_(06) Part Relac Alca Jun'12" xfId="1285"/>
    <cellStyle name="Excel.Chart" xfId="1286"/>
    <cellStyle name="Excel.Chart 2" xfId="1287"/>
    <cellStyle name="Excel.Chart 2 2" xfId="1288"/>
    <cellStyle name="Excel.Chart 3" xfId="1289"/>
    <cellStyle name="Explanatory Text 2" xfId="1290"/>
    <cellStyle name="Explanatory Text 2 2" xfId="1291"/>
    <cellStyle name="Fecha" xfId="1292"/>
    <cellStyle name="fechaA" xfId="1293"/>
    <cellStyle name="Fijo" xfId="1294"/>
    <cellStyle name="Financiero" xfId="1295"/>
    <cellStyle name="Fixed" xfId="1296"/>
    <cellStyle name="Followed Hyperlink" xfId="1297"/>
    <cellStyle name="Good 2" xfId="1298"/>
    <cellStyle name="Grey" xfId="1299"/>
    <cellStyle name="Grey 2" xfId="1300"/>
    <cellStyle name="H0" xfId="25"/>
    <cellStyle name="H1" xfId="26"/>
    <cellStyle name="H2" xfId="27"/>
    <cellStyle name="H3" xfId="28"/>
    <cellStyle name="H4" xfId="29"/>
    <cellStyle name="header" xfId="1301"/>
    <cellStyle name="Header Total" xfId="1302"/>
    <cellStyle name="header_Cash Flow Forecast, 12 Months1" xfId="1303"/>
    <cellStyle name="Header1" xfId="1304"/>
    <cellStyle name="Header2" xfId="1305"/>
    <cellStyle name="Header3" xfId="1306"/>
    <cellStyle name="Header4" xfId="1307"/>
    <cellStyle name="HEADING" xfId="1308"/>
    <cellStyle name="Heading 1 2" xfId="1309"/>
    <cellStyle name="Heading 1 2 2" xfId="1310"/>
    <cellStyle name="Heading 2 2" xfId="1311"/>
    <cellStyle name="Heading 2 2 2" xfId="1312"/>
    <cellStyle name="Heading 3 2" xfId="1313"/>
    <cellStyle name="Heading 3 2 2" xfId="1314"/>
    <cellStyle name="Heading 4 2" xfId="1315"/>
    <cellStyle name="Heading1" xfId="1316"/>
    <cellStyle name="Heading2" xfId="1317"/>
    <cellStyle name="Highlight" xfId="32"/>
    <cellStyle name="Hipervínculo" xfId="58" builtinId="8"/>
    <cellStyle name="Hipervínculo 2" xfId="1318"/>
    <cellStyle name="Hipervínculo 8" xfId="1319"/>
    <cellStyle name="Hyperlink 2" xfId="1320"/>
    <cellStyle name="Hyperlink 3" xfId="1321"/>
    <cellStyle name="Hyperlink 4" xfId="1322"/>
    <cellStyle name="Incorrecto 2" xfId="1323"/>
    <cellStyle name="Incorrecto 3" xfId="1324"/>
    <cellStyle name="Input [yellow]" xfId="1325"/>
    <cellStyle name="Input [yellow] 2" xfId="1326"/>
    <cellStyle name="Input 2" xfId="1327"/>
    <cellStyle name="Input 3" xfId="1328"/>
    <cellStyle name="Input 4" xfId="1329"/>
    <cellStyle name="Input 5" xfId="1330"/>
    <cellStyle name="Input 6" xfId="1331"/>
    <cellStyle name="Input 7" xfId="1332"/>
    <cellStyle name="Input 8" xfId="1333"/>
    <cellStyle name="Input 9" xfId="1334"/>
    <cellStyle name="Input calculation" xfId="33"/>
    <cellStyle name="Input data" xfId="34"/>
    <cellStyle name="Input data 3" xfId="62"/>
    <cellStyle name="Input estimate" xfId="35"/>
    <cellStyle name="Input link" xfId="36"/>
    <cellStyle name="Input link (different workbook)" xfId="37"/>
    <cellStyle name="Input parameter" xfId="38"/>
    <cellStyle name="L_BORDER_A" xfId="1335"/>
    <cellStyle name="L_BORDER_A_Soporte para  notas 2007 GT Conc Cont-Fis 07" xfId="1336"/>
    <cellStyle name="L_BORDER_A_Soporte para  notas 2007 GTS Conc Cont-Fis 07" xfId="1337"/>
    <cellStyle name="Link Currency (0)" xfId="1338"/>
    <cellStyle name="Link Currency (2)" xfId="1339"/>
    <cellStyle name="Link Units (0)" xfId="1340"/>
    <cellStyle name="Link Units (1)" xfId="1341"/>
    <cellStyle name="Link Units (2)" xfId="1342"/>
    <cellStyle name="Linked Cell 2" xfId="1343"/>
    <cellStyle name="lugares" xfId="1344"/>
    <cellStyle name="MARQ" xfId="1345"/>
    <cellStyle name="Migliaia (0)_1_netsi9" xfId="1346"/>
    <cellStyle name="Migliaia_1_netsi9" xfId="1347"/>
    <cellStyle name="Millares" xfId="69" builtinId="3"/>
    <cellStyle name="Millares [0] 2" xfId="1348"/>
    <cellStyle name="Millares 2" xfId="1349"/>
    <cellStyle name="Millares 2 2" xfId="1350"/>
    <cellStyle name="Millares 2 2 2" xfId="1351"/>
    <cellStyle name="Millares 2 2 2 2" xfId="1352"/>
    <cellStyle name="Millares 2 2 3" xfId="1353"/>
    <cellStyle name="Millares 2 2 3 2" xfId="1354"/>
    <cellStyle name="Millares 2 2 4" xfId="1355"/>
    <cellStyle name="Millares 2 3" xfId="1356"/>
    <cellStyle name="Millares 2_BALCON" xfId="1357"/>
    <cellStyle name="Millares 3" xfId="1358"/>
    <cellStyle name="Millares 3 2" xfId="1359"/>
    <cellStyle name="Millares 3 3" xfId="1360"/>
    <cellStyle name="Millares 4" xfId="1361"/>
    <cellStyle name="Millares 5" xfId="1362"/>
    <cellStyle name="Millares 6" xfId="1363"/>
    <cellStyle name="Millares 7" xfId="1364"/>
    <cellStyle name="Millares 8" xfId="1365"/>
    <cellStyle name="Millares 9" xfId="1366"/>
    <cellStyle name="Milliers [0]_AR1194" xfId="1367"/>
    <cellStyle name="Milliers_AR1194" xfId="1368"/>
    <cellStyle name="minnum" xfId="1369"/>
    <cellStyle name="Moeda [0]_2003" xfId="1370"/>
    <cellStyle name="Moeda_2003" xfId="1371"/>
    <cellStyle name="Moneda" xfId="7" builtinId="4"/>
    <cellStyle name="Moneda 2" xfId="1372"/>
    <cellStyle name="Moneda 3" xfId="1373"/>
    <cellStyle name="Monétaire [0]_AR1194" xfId="1374"/>
    <cellStyle name="Monétaire_AR1194" xfId="1375"/>
    <cellStyle name="Monetario" xfId="1376"/>
    <cellStyle name="Monetario0" xfId="1377"/>
    <cellStyle name="Mon彋aire [0]_AR1194" xfId="1378"/>
    <cellStyle name="Mon彋aire_AR1194" xfId="1379"/>
    <cellStyle name="Name" xfId="39"/>
    <cellStyle name="Neutral 2" xfId="1380"/>
    <cellStyle name="Neutral 3" xfId="1381"/>
    <cellStyle name="no dec" xfId="1382"/>
    <cellStyle name="No-definido" xfId="1383"/>
    <cellStyle name="NonPrint_Heading" xfId="1384"/>
    <cellStyle name="Normal" xfId="0" builtinId="0"/>
    <cellStyle name="Normal - Style1" xfId="1385"/>
    <cellStyle name="Normal - Style1 2" xfId="1386"/>
    <cellStyle name="Normal - Style1 2 2" xfId="1387"/>
    <cellStyle name="Normal - Style1 2 3" xfId="1388"/>
    <cellStyle name="Normal - Style1 3" xfId="1389"/>
    <cellStyle name="Normal 10" xfId="1390"/>
    <cellStyle name="Normal 10 2" xfId="1391"/>
    <cellStyle name="Normal 10 3" xfId="1392"/>
    <cellStyle name="Normal 10_CXCXP_posición Sep12 GESSI" xfId="1393"/>
    <cellStyle name="Normal 11" xfId="1394"/>
    <cellStyle name="Normal 11 2" xfId="1395"/>
    <cellStyle name="Normal 11 2 2" xfId="1396"/>
    <cellStyle name="Normal 11 3" xfId="1397"/>
    <cellStyle name="Normal 12" xfId="1398"/>
    <cellStyle name="Normal 12 2" xfId="1399"/>
    <cellStyle name="Normal 12 3" xfId="1400"/>
    <cellStyle name="Normal 13" xfId="1401"/>
    <cellStyle name="Normal 13 2" xfId="1402"/>
    <cellStyle name="Normal 14" xfId="1403"/>
    <cellStyle name="Normal 14 2" xfId="1404"/>
    <cellStyle name="Normal 15" xfId="1405"/>
    <cellStyle name="Normal 15 2" xfId="1406"/>
    <cellStyle name="Normal 16" xfId="1407"/>
    <cellStyle name="Normal 16 2" xfId="1408"/>
    <cellStyle name="Normal 17" xfId="1409"/>
    <cellStyle name="Normal 17 2" xfId="1410"/>
    <cellStyle name="Normal 18" xfId="1411"/>
    <cellStyle name="Normal 18 2" xfId="1412"/>
    <cellStyle name="Normal 18 3" xfId="1413"/>
    <cellStyle name="Normal 19" xfId="1414"/>
    <cellStyle name="Normal 19 2" xfId="1415"/>
    <cellStyle name="Normal 2" xfId="59"/>
    <cellStyle name="Normal 2 2" xfId="61"/>
    <cellStyle name="Normal 2 2 2" xfId="1416"/>
    <cellStyle name="Normal 2 3" xfId="1417"/>
    <cellStyle name="Normal 2 4" xfId="1418"/>
    <cellStyle name="Normal 2_CXCXP CN PR TROS" xfId="1419"/>
    <cellStyle name="Normal 20" xfId="1420"/>
    <cellStyle name="Normal 20 2" xfId="1421"/>
    <cellStyle name="Normal 21" xfId="70"/>
    <cellStyle name="Normal 21 2" xfId="1422"/>
    <cellStyle name="Normal 22" xfId="1423"/>
    <cellStyle name="Normal 22 2" xfId="1424"/>
    <cellStyle name="Normal 23" xfId="1425"/>
    <cellStyle name="Normal 23 2" xfId="1426"/>
    <cellStyle name="Normal 24" xfId="1427"/>
    <cellStyle name="Normal 24 2" xfId="1428"/>
    <cellStyle name="Normal 25" xfId="1429"/>
    <cellStyle name="Normal 25 2" xfId="1430"/>
    <cellStyle name="Normal 26" xfId="1431"/>
    <cellStyle name="Normal 26 2" xfId="1432"/>
    <cellStyle name="Normal 27" xfId="1433"/>
    <cellStyle name="Normal 27 2" xfId="1434"/>
    <cellStyle name="Normal 28" xfId="1435"/>
    <cellStyle name="Normal 28 2" xfId="1436"/>
    <cellStyle name="Normal 29" xfId="1437"/>
    <cellStyle name="Normal 29 2" xfId="1438"/>
    <cellStyle name="Normal 3" xfId="65"/>
    <cellStyle name="Normal 3 10" xfId="1439"/>
    <cellStyle name="Normal 3 11" xfId="1440"/>
    <cellStyle name="Normal 3 12" xfId="1441"/>
    <cellStyle name="Normal 3 13" xfId="1442"/>
    <cellStyle name="Normal 3 14" xfId="1443"/>
    <cellStyle name="Normal 3 15" xfId="1444"/>
    <cellStyle name="Normal 3 16" xfId="1445"/>
    <cellStyle name="Normal 3 17" xfId="1446"/>
    <cellStyle name="Normal 3 18" xfId="1447"/>
    <cellStyle name="Normal 3 19" xfId="1448"/>
    <cellStyle name="Normal 3 2" xfId="1449"/>
    <cellStyle name="Normal 3 20" xfId="1450"/>
    <cellStyle name="Normal 3 21" xfId="1451"/>
    <cellStyle name="Normal 3 22" xfId="1452"/>
    <cellStyle name="Normal 3 23" xfId="1453"/>
    <cellStyle name="Normal 3 24" xfId="1454"/>
    <cellStyle name="Normal 3 25" xfId="1455"/>
    <cellStyle name="Normal 3 3" xfId="1456"/>
    <cellStyle name="Normal 3 4" xfId="1457"/>
    <cellStyle name="Normal 3 5" xfId="1458"/>
    <cellStyle name="Normal 3 6" xfId="1459"/>
    <cellStyle name="Normal 3 7" xfId="1460"/>
    <cellStyle name="Normal 3 8" xfId="1461"/>
    <cellStyle name="Normal 3 9" xfId="1462"/>
    <cellStyle name="Normal 3_BALCON" xfId="1463"/>
    <cellStyle name="Normal 30" xfId="1464"/>
    <cellStyle name="Normal 30 2" xfId="1465"/>
    <cellStyle name="Normal 31" xfId="1466"/>
    <cellStyle name="Normal 31 2" xfId="1467"/>
    <cellStyle name="Normal 32" xfId="1468"/>
    <cellStyle name="Normal 32 2" xfId="1469"/>
    <cellStyle name="Normal 33" xfId="1470"/>
    <cellStyle name="Normal 33 2" xfId="1471"/>
    <cellStyle name="Normal 34" xfId="1472"/>
    <cellStyle name="Normal 34 2" xfId="1473"/>
    <cellStyle name="Normal 35" xfId="1474"/>
    <cellStyle name="Normal 35 2" xfId="1475"/>
    <cellStyle name="Normal 36" xfId="1476"/>
    <cellStyle name="Normal 36 2" xfId="1477"/>
    <cellStyle name="Normal 37" xfId="1478"/>
    <cellStyle name="Normal 37 2" xfId="1479"/>
    <cellStyle name="Normal 38" xfId="1480"/>
    <cellStyle name="Normal 39" xfId="1481"/>
    <cellStyle name="Normal 4" xfId="66"/>
    <cellStyle name="Normal 4 2" xfId="1482"/>
    <cellStyle name="Normal 4 2 2" xfId="1483"/>
    <cellStyle name="Normal 4 3" xfId="1484"/>
    <cellStyle name="Normal 4_BALCON" xfId="1485"/>
    <cellStyle name="Normal 40" xfId="1486"/>
    <cellStyle name="Normal 41" xfId="1487"/>
    <cellStyle name="Normal 42" xfId="1488"/>
    <cellStyle name="Normal 43" xfId="1489"/>
    <cellStyle name="Normal 44" xfId="1490"/>
    <cellStyle name="Normal 45" xfId="1491"/>
    <cellStyle name="Normal 46" xfId="1492"/>
    <cellStyle name="Normal 47" xfId="1493"/>
    <cellStyle name="Normal 48" xfId="1494"/>
    <cellStyle name="Normal 49" xfId="1495"/>
    <cellStyle name="Normal 5" xfId="72"/>
    <cellStyle name="Normal 5 2" xfId="1496"/>
    <cellStyle name="Normal 5 2 2" xfId="1497"/>
    <cellStyle name="Normal 5 3" xfId="1498"/>
    <cellStyle name="Normal 50" xfId="1499"/>
    <cellStyle name="Normal 51" xfId="1500"/>
    <cellStyle name="Normal 52" xfId="1501"/>
    <cellStyle name="Normal 53" xfId="1502"/>
    <cellStyle name="Normal 54" xfId="1503"/>
    <cellStyle name="Normal 55" xfId="1504"/>
    <cellStyle name="Normal 56" xfId="1505"/>
    <cellStyle name="Normal 57" xfId="1506"/>
    <cellStyle name="Normal 58" xfId="1507"/>
    <cellStyle name="Normal 59" xfId="1508"/>
    <cellStyle name="Normal 6" xfId="1509"/>
    <cellStyle name="Normal 6 2" xfId="1510"/>
    <cellStyle name="Normal 6 2 2" xfId="1511"/>
    <cellStyle name="Normal 6 3" xfId="1512"/>
    <cellStyle name="Normal 6 4" xfId="1513"/>
    <cellStyle name="Normal 60" xfId="1514"/>
    <cellStyle name="Normal 61" xfId="1515"/>
    <cellStyle name="Normal 62" xfId="1516"/>
    <cellStyle name="Normal 63" xfId="1517"/>
    <cellStyle name="Normal 64" xfId="1518"/>
    <cellStyle name="Normal 65" xfId="1519"/>
    <cellStyle name="Normal 66" xfId="1520"/>
    <cellStyle name="Normal 67" xfId="1521"/>
    <cellStyle name="Normal 68" xfId="1522"/>
    <cellStyle name="Normal 69" xfId="1523"/>
    <cellStyle name="Normal 7" xfId="1524"/>
    <cellStyle name="Normal 7 2" xfId="1525"/>
    <cellStyle name="Normal 7 2 2" xfId="1526"/>
    <cellStyle name="Normal 7 3" xfId="1527"/>
    <cellStyle name="Normal 7 4" xfId="1528"/>
    <cellStyle name="Normal 7_CXCXP_posición Dic12 GESSI" xfId="1529"/>
    <cellStyle name="Normal 70" xfId="1530"/>
    <cellStyle name="Normal 71" xfId="1531"/>
    <cellStyle name="Normal 72" xfId="1532"/>
    <cellStyle name="Normal 73" xfId="1533"/>
    <cellStyle name="Normal 74" xfId="1534"/>
    <cellStyle name="Normal 75" xfId="1535"/>
    <cellStyle name="Normal 76" xfId="1536"/>
    <cellStyle name="Normal 77" xfId="1537"/>
    <cellStyle name="Normal 78" xfId="1538"/>
    <cellStyle name="Normal 79" xfId="1539"/>
    <cellStyle name="Normal 8" xfId="1540"/>
    <cellStyle name="Normal 8 2" xfId="1541"/>
    <cellStyle name="Normal 8 2 2" xfId="1542"/>
    <cellStyle name="Normal 8 3" xfId="1543"/>
    <cellStyle name="Normal 8_CXCXP_posición Dic12 GESSI" xfId="1544"/>
    <cellStyle name="Normal 80" xfId="1545"/>
    <cellStyle name="Normal 81" xfId="1546"/>
    <cellStyle name="Normal 82" xfId="1547"/>
    <cellStyle name="Normal 9" xfId="1548"/>
    <cellStyle name="Normal 9 2" xfId="1549"/>
    <cellStyle name="Normal 9 2 2" xfId="1550"/>
    <cellStyle name="Normal 9 3" xfId="1551"/>
    <cellStyle name="Normal 9_CXCXP_posición Sep12 GESSI" xfId="1552"/>
    <cellStyle name="Normale_1_netsi9" xfId="1553"/>
    <cellStyle name="Notas" xfId="40" builtinId="10" customBuiltin="1"/>
    <cellStyle name="Notas 2" xfId="1554"/>
    <cellStyle name="Notas 2 2" xfId="1555"/>
    <cellStyle name="Notas 3" xfId="1556"/>
    <cellStyle name="Note 2" xfId="1557"/>
    <cellStyle name="Note 3" xfId="1558"/>
    <cellStyle name="Note 3 2" xfId="1559"/>
    <cellStyle name="Note 4" xfId="1560"/>
    <cellStyle name="Note 5" xfId="1561"/>
    <cellStyle name="Number" xfId="41"/>
    <cellStyle name="Number (2dp)" xfId="42"/>
    <cellStyle name="Number 2" xfId="71"/>
    <cellStyle name="NumMIN" xfId="1562"/>
    <cellStyle name="Output 2" xfId="1563"/>
    <cellStyle name="Output 2 2" xfId="1564"/>
    <cellStyle name="pattern" xfId="1565"/>
    <cellStyle name="PEPE" xfId="1566"/>
    <cellStyle name="Percent [0]" xfId="1567"/>
    <cellStyle name="Percent [00]" xfId="1568"/>
    <cellStyle name="Percent [2]" xfId="1569"/>
    <cellStyle name="Percent [2] 2" xfId="1570"/>
    <cellStyle name="Percent [2] 2 2" xfId="1571"/>
    <cellStyle name="Percent [2] 3" xfId="1572"/>
    <cellStyle name="Percent 10" xfId="1573"/>
    <cellStyle name="Percent 11" xfId="1574"/>
    <cellStyle name="Percent 12" xfId="1575"/>
    <cellStyle name="Percent 13" xfId="1576"/>
    <cellStyle name="Percent 14" xfId="1577"/>
    <cellStyle name="Percent 15" xfId="1578"/>
    <cellStyle name="Percent 16" xfId="1579"/>
    <cellStyle name="Percent 2" xfId="1580"/>
    <cellStyle name="Percent 2 2" xfId="1581"/>
    <cellStyle name="Percent 2 3" xfId="1582"/>
    <cellStyle name="Percent 3" xfId="1583"/>
    <cellStyle name="Percent 3 2" xfId="1584"/>
    <cellStyle name="Percent 3 3" xfId="1585"/>
    <cellStyle name="Percent 4" xfId="1586"/>
    <cellStyle name="Percent 5" xfId="1587"/>
    <cellStyle name="Percent 6" xfId="1588"/>
    <cellStyle name="Percent 7" xfId="1589"/>
    <cellStyle name="Percent 8" xfId="1590"/>
    <cellStyle name="Percent 9" xfId="1591"/>
    <cellStyle name="Percentage" xfId="44"/>
    <cellStyle name="Percentage (2dp)" xfId="45"/>
    <cellStyle name="Porcentaje" xfId="1592" builtinId="5"/>
    <cellStyle name="Porcentaje 2" xfId="1593"/>
    <cellStyle name="Porcentaje 2 2" xfId="1594"/>
    <cellStyle name="Porcentaje 3" xfId="1595"/>
    <cellStyle name="Porcentual 2" xfId="1596"/>
    <cellStyle name="Porcentual 2 2" xfId="1597"/>
    <cellStyle name="Porcentual 3" xfId="1598"/>
    <cellStyle name="Porcentual 3 2" xfId="1599"/>
    <cellStyle name="Porcentual 4" xfId="1600"/>
    <cellStyle name="Pourcentage 2" xfId="60"/>
    <cellStyle name="Preisliste" xfId="1601"/>
    <cellStyle name="PrePop Currency (0)" xfId="1602"/>
    <cellStyle name="PrePop Currency (2)" xfId="1603"/>
    <cellStyle name="PrePop Units (0)" xfId="1604"/>
    <cellStyle name="PrePop Units (1)" xfId="1605"/>
    <cellStyle name="PrePop Units (2)" xfId="1606"/>
    <cellStyle name="Product Header" xfId="1607"/>
    <cellStyle name="Product Title" xfId="1608"/>
    <cellStyle name="PropGenCurrencyFormat" xfId="1609"/>
    <cellStyle name="PSChar" xfId="1610"/>
    <cellStyle name="PSDate" xfId="1611"/>
    <cellStyle name="PSDec" xfId="1612"/>
    <cellStyle name="PSHeading" xfId="1613"/>
    <cellStyle name="PSInt" xfId="1614"/>
    <cellStyle name="PSSpacer" xfId="1615"/>
    <cellStyle name="Punto" xfId="1616"/>
    <cellStyle name="Punto0" xfId="1617"/>
    <cellStyle name="Row Heading" xfId="67"/>
    <cellStyle name="Row label" xfId="46"/>
    <cellStyle name="Row label (indent)" xfId="47"/>
    <cellStyle name="Saldos" xfId="1618"/>
    <cellStyle name="Saldos 2" xfId="1619"/>
    <cellStyle name="Saldos 2 2" xfId="1620"/>
    <cellStyle name="Saldos 3" xfId="1621"/>
    <cellStyle name="Saldos_CXCXP CN PR TROS" xfId="1622"/>
    <cellStyle name="Salida" xfId="43" builtinId="21" customBuiltin="1"/>
    <cellStyle name="Salida 2" xfId="1623"/>
    <cellStyle name="Salida 3" xfId="1624"/>
    <cellStyle name="SAPBEXaggData" xfId="1625"/>
    <cellStyle name="SAPBEXaggData 2" xfId="1626"/>
    <cellStyle name="SAPBEXaggDataEmph" xfId="1627"/>
    <cellStyle name="SAPBEXaggItem" xfId="1628"/>
    <cellStyle name="SAPBEXaggItem 2" xfId="1629"/>
    <cellStyle name="SAPBEXaggItemX" xfId="1630"/>
    <cellStyle name="SAPBEXaggItemX 2" xfId="1631"/>
    <cellStyle name="SAPBEXchaText" xfId="1632"/>
    <cellStyle name="SAPBEXchaText 2" xfId="1633"/>
    <cellStyle name="SAPBEXchaText 2 2" xfId="1634"/>
    <cellStyle name="SAPBEXchaText 3" xfId="1635"/>
    <cellStyle name="SAPBEXchaText 4" xfId="1636"/>
    <cellStyle name="SAPBEXchaText_CXCXP_posición Sep12 GESSI" xfId="1637"/>
    <cellStyle name="SAPBEXexcBad7" xfId="1638"/>
    <cellStyle name="SAPBEXexcBad7 2" xfId="1639"/>
    <cellStyle name="SAPBEXexcBad8" xfId="1640"/>
    <cellStyle name="SAPBEXexcBad8 2" xfId="1641"/>
    <cellStyle name="SAPBEXexcBad9" xfId="1642"/>
    <cellStyle name="SAPBEXexcBad9 2" xfId="1643"/>
    <cellStyle name="SAPBEXexcCritical4" xfId="1644"/>
    <cellStyle name="SAPBEXexcCritical4 2" xfId="1645"/>
    <cellStyle name="SAPBEXexcCritical5" xfId="1646"/>
    <cellStyle name="SAPBEXexcCritical5 2" xfId="1647"/>
    <cellStyle name="SAPBEXexcCritical6" xfId="1648"/>
    <cellStyle name="SAPBEXexcCritical6 2" xfId="1649"/>
    <cellStyle name="SAPBEXexcGood1" xfId="1650"/>
    <cellStyle name="SAPBEXexcGood1 2" xfId="1651"/>
    <cellStyle name="SAPBEXexcGood2" xfId="1652"/>
    <cellStyle name="SAPBEXexcGood2 2" xfId="1653"/>
    <cellStyle name="SAPBEXexcGood3" xfId="1654"/>
    <cellStyle name="SAPBEXexcGood3 2" xfId="1655"/>
    <cellStyle name="SAPBEXfilterDrill" xfId="1656"/>
    <cellStyle name="SAPBEXfilterItem" xfId="1657"/>
    <cellStyle name="SAPBEXfilterItem 2" xfId="1658"/>
    <cellStyle name="SAPBEXfilterText" xfId="1659"/>
    <cellStyle name="SAPBEXformats" xfId="1660"/>
    <cellStyle name="SAPBEXformats 2" xfId="1661"/>
    <cellStyle name="SAPBEXformats 2 2" xfId="1662"/>
    <cellStyle name="SAPBEXheaderItem" xfId="1663"/>
    <cellStyle name="SAPBEXheaderItem 2" xfId="1664"/>
    <cellStyle name="SAPBEXheaderItem_CXCXP_posición Dic12 GESSI" xfId="1665"/>
    <cellStyle name="SAPBEXheaderText" xfId="1666"/>
    <cellStyle name="SAPBEXheaderText 2" xfId="1667"/>
    <cellStyle name="SAPBEXheaderText_CXCXP_posición Dic12 GESSI" xfId="1668"/>
    <cellStyle name="SAPBEXHLevel0" xfId="1669"/>
    <cellStyle name="SAPBEXHLevel0 2" xfId="1670"/>
    <cellStyle name="SAPBEXHLevel0 2 2" xfId="1671"/>
    <cellStyle name="SAPBEXHLevel0X" xfId="1672"/>
    <cellStyle name="SAPBEXHLevel0X 2" xfId="1673"/>
    <cellStyle name="SAPBEXHLevel0X 2 2" xfId="1674"/>
    <cellStyle name="SAPBEXHLevel0X_CXCXP_posición Sep12 GESSI" xfId="1675"/>
    <cellStyle name="SAPBEXHLevel1" xfId="1676"/>
    <cellStyle name="SAPBEXHLevel1 2" xfId="1677"/>
    <cellStyle name="SAPBEXHLevel1 2 2" xfId="1678"/>
    <cellStyle name="SAPBEXHLevel1X" xfId="1679"/>
    <cellStyle name="SAPBEXHLevel1X 2" xfId="1680"/>
    <cellStyle name="SAPBEXHLevel1X 2 2" xfId="1681"/>
    <cellStyle name="SAPBEXHLevel2" xfId="1682"/>
    <cellStyle name="SAPBEXHLevel2 2" xfId="1683"/>
    <cellStyle name="SAPBEXHLevel2 2 2" xfId="1684"/>
    <cellStyle name="SAPBEXHLevel2X" xfId="1685"/>
    <cellStyle name="SAPBEXHLevel2X 2" xfId="1686"/>
    <cellStyle name="SAPBEXHLevel2X 2 2" xfId="1687"/>
    <cellStyle name="SAPBEXHLevel3" xfId="1688"/>
    <cellStyle name="SAPBEXHLevel3 2" xfId="1689"/>
    <cellStyle name="SAPBEXHLevel3 2 2" xfId="1690"/>
    <cellStyle name="SAPBEXHLevel3X" xfId="1691"/>
    <cellStyle name="SAPBEXHLevel3X 2" xfId="1692"/>
    <cellStyle name="SAPBEXHLevel3X 2 2" xfId="1693"/>
    <cellStyle name="SAPBEXresData" xfId="1694"/>
    <cellStyle name="SAPBEXresData 2" xfId="1695"/>
    <cellStyle name="SAPBEXresDataEmph" xfId="1696"/>
    <cellStyle name="SAPBEXresItem" xfId="1697"/>
    <cellStyle name="SAPBEXresItem 2" xfId="1698"/>
    <cellStyle name="SAPBEXresItemX" xfId="1699"/>
    <cellStyle name="SAPBEXresItemX 2" xfId="1700"/>
    <cellStyle name="SAPBEXstdData" xfId="1701"/>
    <cellStyle name="SAPBEXstdData 2" xfId="1702"/>
    <cellStyle name="SAPBEXstdData_CXCXP_posición Dic12 GESSI" xfId="1703"/>
    <cellStyle name="SAPBEXstdDataEmph" xfId="1704"/>
    <cellStyle name="SAPBEXstdItem" xfId="1705"/>
    <cellStyle name="SAPBEXstdItem 2" xfId="1706"/>
    <cellStyle name="SAPBEXstdItem 2 2" xfId="1707"/>
    <cellStyle name="SAPBEXstdItem 3" xfId="1708"/>
    <cellStyle name="SAPBEXstdItem 4" xfId="1709"/>
    <cellStyle name="SAPBEXstdItem_CXCXP_posición Sep12 GESSI" xfId="1710"/>
    <cellStyle name="SAPBEXstdItemX" xfId="1711"/>
    <cellStyle name="SAPBEXstdItemX 2" xfId="1712"/>
    <cellStyle name="SAPBEXstdItemX 2 2" xfId="1713"/>
    <cellStyle name="SAPBEXstdItemX 3" xfId="1714"/>
    <cellStyle name="SAPBEXstdItemX 4" xfId="1715"/>
    <cellStyle name="SAPBEXtitle" xfId="1716"/>
    <cellStyle name="SAPBEXundefined" xfId="1717"/>
    <cellStyle name="SAPError" xfId="1718"/>
    <cellStyle name="SAPError 2" xfId="1719"/>
    <cellStyle name="SAPError 2 2" xfId="1720"/>
    <cellStyle name="SAPKey" xfId="1721"/>
    <cellStyle name="SAPKey 2" xfId="1722"/>
    <cellStyle name="SAPKey 2 2" xfId="1723"/>
    <cellStyle name="SAPLocked" xfId="1724"/>
    <cellStyle name="SAPLocked 2" xfId="1725"/>
    <cellStyle name="SAPLocked 2 2" xfId="1726"/>
    <cellStyle name="SAPOutput" xfId="1727"/>
    <cellStyle name="SAPOutput 2" xfId="1728"/>
    <cellStyle name="SAPOutput 2 2" xfId="1729"/>
    <cellStyle name="SAPSpace" xfId="1730"/>
    <cellStyle name="SAPSpace 2" xfId="1731"/>
    <cellStyle name="SAPSpace 2 2" xfId="1732"/>
    <cellStyle name="SAPText" xfId="1733"/>
    <cellStyle name="SAPText 2" xfId="1734"/>
    <cellStyle name="SAPText 2 2" xfId="1735"/>
    <cellStyle name="SAPUnLocked" xfId="1736"/>
    <cellStyle name="SAPUnLocked 2" xfId="1737"/>
    <cellStyle name="SAPUnLocked 2 2" xfId="1738"/>
    <cellStyle name="Separador de milhares [0]_Global" xfId="1739"/>
    <cellStyle name="Separador de milhares 2" xfId="1740"/>
    <cellStyle name="Separador de milhares_Análisis Pasivo Documentado_jul-04 x jul-05" xfId="1741"/>
    <cellStyle name="Short $" xfId="1742"/>
    <cellStyle name="Standard_IMPL10" xfId="1743"/>
    <cellStyle name="Style 1" xfId="1744"/>
    <cellStyle name="Style 1 2" xfId="1745"/>
    <cellStyle name="Style 1 2 2" xfId="1746"/>
    <cellStyle name="Style 1 2 2 2" xfId="1747"/>
    <cellStyle name="Style 1 3" xfId="1748"/>
    <cellStyle name="Style 1_CXCXP EPRs Oct10 CN def" xfId="1749"/>
    <cellStyle name="Style 10" xfId="1750"/>
    <cellStyle name="Style 10 2" xfId="1751"/>
    <cellStyle name="Style 10 2 2" xfId="1752"/>
    <cellStyle name="Style 10 3" xfId="1753"/>
    <cellStyle name="Style 100" xfId="1754"/>
    <cellStyle name="Style 101" xfId="1755"/>
    <cellStyle name="Style 102" xfId="1756"/>
    <cellStyle name="Style 103" xfId="1757"/>
    <cellStyle name="Style 104" xfId="1758"/>
    <cellStyle name="Style 105" xfId="1759"/>
    <cellStyle name="Style 106" xfId="1760"/>
    <cellStyle name="Style 107" xfId="1761"/>
    <cellStyle name="Style 108" xfId="1762"/>
    <cellStyle name="Style 109" xfId="1763"/>
    <cellStyle name="Style 109 2" xfId="1764"/>
    <cellStyle name="Style 11" xfId="1765"/>
    <cellStyle name="Style 11 2" xfId="1766"/>
    <cellStyle name="Style 11 3" xfId="1767"/>
    <cellStyle name="Style 110" xfId="1768"/>
    <cellStyle name="Style 110 2" xfId="1769"/>
    <cellStyle name="Style 111" xfId="1770"/>
    <cellStyle name="Style 112" xfId="1771"/>
    <cellStyle name="Style 113" xfId="1772"/>
    <cellStyle name="Style 114" xfId="1773"/>
    <cellStyle name="Style 115" xfId="1774"/>
    <cellStyle name="Style 116" xfId="1775"/>
    <cellStyle name="Style 117" xfId="1776"/>
    <cellStyle name="Style 118" xfId="1777"/>
    <cellStyle name="Style 119" xfId="1778"/>
    <cellStyle name="Style 12" xfId="1779"/>
    <cellStyle name="Style 12 2" xfId="1780"/>
    <cellStyle name="Style 12 3" xfId="1781"/>
    <cellStyle name="Style 12 4" xfId="1782"/>
    <cellStyle name="Style 120" xfId="1783"/>
    <cellStyle name="Style 120 2" xfId="1784"/>
    <cellStyle name="Style 121" xfId="1785"/>
    <cellStyle name="Style 122" xfId="1786"/>
    <cellStyle name="Style 123" xfId="1787"/>
    <cellStyle name="Style 124" xfId="1788"/>
    <cellStyle name="Style 125" xfId="1789"/>
    <cellStyle name="Style 126" xfId="1790"/>
    <cellStyle name="Style 127" xfId="1791"/>
    <cellStyle name="Style 128" xfId="1792"/>
    <cellStyle name="Style 129" xfId="1793"/>
    <cellStyle name="Style 13" xfId="1794"/>
    <cellStyle name="Style 13 2" xfId="1795"/>
    <cellStyle name="Style 13 2 2" xfId="1796"/>
    <cellStyle name="Style 13 3" xfId="1797"/>
    <cellStyle name="Style 130" xfId="1798"/>
    <cellStyle name="Style 131" xfId="1799"/>
    <cellStyle name="Style 132" xfId="1800"/>
    <cellStyle name="Style 133" xfId="1801"/>
    <cellStyle name="Style 134" xfId="1802"/>
    <cellStyle name="Style 135" xfId="1803"/>
    <cellStyle name="Style 136" xfId="1804"/>
    <cellStyle name="Style 137" xfId="1805"/>
    <cellStyle name="Style 138" xfId="1806"/>
    <cellStyle name="Style 139" xfId="1807"/>
    <cellStyle name="Style 14" xfId="1808"/>
    <cellStyle name="Style 14 2" xfId="1809"/>
    <cellStyle name="Style 140" xfId="1810"/>
    <cellStyle name="Style 141" xfId="1811"/>
    <cellStyle name="Style 142" xfId="1812"/>
    <cellStyle name="Style 143" xfId="1813"/>
    <cellStyle name="Style 144" xfId="1814"/>
    <cellStyle name="Style 145" xfId="1815"/>
    <cellStyle name="Style 146" xfId="1816"/>
    <cellStyle name="Style 147" xfId="1817"/>
    <cellStyle name="Style 148" xfId="1818"/>
    <cellStyle name="Style 149" xfId="1819"/>
    <cellStyle name="Style 15" xfId="1820"/>
    <cellStyle name="Style 15 2" xfId="1821"/>
    <cellStyle name="Style 15 3" xfId="1822"/>
    <cellStyle name="Style 150" xfId="1823"/>
    <cellStyle name="Style 151" xfId="1824"/>
    <cellStyle name="Style 152" xfId="1825"/>
    <cellStyle name="Style 153" xfId="1826"/>
    <cellStyle name="Style 154" xfId="1827"/>
    <cellStyle name="Style 155" xfId="1828"/>
    <cellStyle name="Style 156" xfId="1829"/>
    <cellStyle name="Style 157" xfId="1830"/>
    <cellStyle name="Style 158" xfId="1831"/>
    <cellStyle name="Style 158 2" xfId="1832"/>
    <cellStyle name="Style 159" xfId="1833"/>
    <cellStyle name="Style 16" xfId="1834"/>
    <cellStyle name="Style 16 2" xfId="1835"/>
    <cellStyle name="Style 16 3" xfId="1836"/>
    <cellStyle name="Style 16 4" xfId="1837"/>
    <cellStyle name="Style 160" xfId="1838"/>
    <cellStyle name="Style 161" xfId="1839"/>
    <cellStyle name="Style 162" xfId="1840"/>
    <cellStyle name="Style 163" xfId="1841"/>
    <cellStyle name="Style 164" xfId="1842"/>
    <cellStyle name="Style 164 2" xfId="1843"/>
    <cellStyle name="Style 165" xfId="1844"/>
    <cellStyle name="Style 165 2" xfId="1845"/>
    <cellStyle name="Style 166" xfId="1846"/>
    <cellStyle name="Style 166 2" xfId="1847"/>
    <cellStyle name="Style 167" xfId="1848"/>
    <cellStyle name="Style 167 2" xfId="1849"/>
    <cellStyle name="Style 168" xfId="1850"/>
    <cellStyle name="Style 169" xfId="1851"/>
    <cellStyle name="Style 169 2" xfId="1852"/>
    <cellStyle name="Style 17" xfId="1853"/>
    <cellStyle name="Style 17 2" xfId="1854"/>
    <cellStyle name="Style 170" xfId="1855"/>
    <cellStyle name="Style 170 2" xfId="1856"/>
    <cellStyle name="Style 171" xfId="1857"/>
    <cellStyle name="Style 172" xfId="1858"/>
    <cellStyle name="Style 172 2" xfId="1859"/>
    <cellStyle name="Style 173" xfId="1860"/>
    <cellStyle name="Style 173 2" xfId="1861"/>
    <cellStyle name="Style 174" xfId="1862"/>
    <cellStyle name="Style 175" xfId="1863"/>
    <cellStyle name="Style 176" xfId="1864"/>
    <cellStyle name="Style 176 2" xfId="1865"/>
    <cellStyle name="Style 177" xfId="1866"/>
    <cellStyle name="Style 178" xfId="1867"/>
    <cellStyle name="Style 179" xfId="1868"/>
    <cellStyle name="Style 179 2" xfId="1869"/>
    <cellStyle name="Style 18" xfId="1870"/>
    <cellStyle name="Style 18 2" xfId="1871"/>
    <cellStyle name="Style 18 2 2" xfId="1872"/>
    <cellStyle name="Style 18 2 3" xfId="1873"/>
    <cellStyle name="Style 18 3" xfId="1874"/>
    <cellStyle name="Style 18 3 2" xfId="1875"/>
    <cellStyle name="Style 18 4" xfId="1876"/>
    <cellStyle name="Style 180" xfId="1877"/>
    <cellStyle name="Style 180 2" xfId="1878"/>
    <cellStyle name="Style 181" xfId="1879"/>
    <cellStyle name="Style 182" xfId="1880"/>
    <cellStyle name="Style 182 2" xfId="1881"/>
    <cellStyle name="Style 183" xfId="1882"/>
    <cellStyle name="Style 183 2" xfId="1883"/>
    <cellStyle name="Style 184" xfId="1884"/>
    <cellStyle name="Style 184 2" xfId="1885"/>
    <cellStyle name="Style 185" xfId="1886"/>
    <cellStyle name="Style 186" xfId="1887"/>
    <cellStyle name="Style 187" xfId="1888"/>
    <cellStyle name="Style 188" xfId="1889"/>
    <cellStyle name="Style 189" xfId="1890"/>
    <cellStyle name="Style 19" xfId="1891"/>
    <cellStyle name="Style 19 2" xfId="1892"/>
    <cellStyle name="Style 19 2 2" xfId="1893"/>
    <cellStyle name="Style 19 3" xfId="1894"/>
    <cellStyle name="Style 19 4" xfId="1895"/>
    <cellStyle name="Style 190" xfId="1896"/>
    <cellStyle name="Style 191" xfId="1897"/>
    <cellStyle name="Style 192" xfId="1898"/>
    <cellStyle name="Style 192 2" xfId="1899"/>
    <cellStyle name="Style 193" xfId="1900"/>
    <cellStyle name="Style 194" xfId="1901"/>
    <cellStyle name="Style 194 2" xfId="1902"/>
    <cellStyle name="Style 195" xfId="1903"/>
    <cellStyle name="Style 195 2" xfId="1904"/>
    <cellStyle name="Style 196" xfId="1905"/>
    <cellStyle name="Style 196 2" xfId="1906"/>
    <cellStyle name="Style 197" xfId="1907"/>
    <cellStyle name="Style 197 2" xfId="1908"/>
    <cellStyle name="Style 198" xfId="1909"/>
    <cellStyle name="Style 199" xfId="1910"/>
    <cellStyle name="Style 2" xfId="1911"/>
    <cellStyle name="Style 2 2" xfId="1912"/>
    <cellStyle name="Style 2 2 2" xfId="1913"/>
    <cellStyle name="Style 2 3" xfId="1914"/>
    <cellStyle name="Style 2 3 2" xfId="1915"/>
    <cellStyle name="Style 2_CXCXP CN PR TROS" xfId="1916"/>
    <cellStyle name="Style 20" xfId="1917"/>
    <cellStyle name="Style 20 2" xfId="1918"/>
    <cellStyle name="Style 20 3" xfId="1919"/>
    <cellStyle name="Style 200" xfId="1920"/>
    <cellStyle name="Style 201" xfId="1921"/>
    <cellStyle name="Style 201 2" xfId="1922"/>
    <cellStyle name="Style 202" xfId="1923"/>
    <cellStyle name="Style 202 2" xfId="1924"/>
    <cellStyle name="Style 203" xfId="1925"/>
    <cellStyle name="Style 203 2" xfId="1926"/>
    <cellStyle name="Style 204" xfId="1927"/>
    <cellStyle name="Style 204 2" xfId="1928"/>
    <cellStyle name="Style 205" xfId="1929"/>
    <cellStyle name="Style 205 2" xfId="1930"/>
    <cellStyle name="Style 206" xfId="1931"/>
    <cellStyle name="Style 206 2" xfId="1932"/>
    <cellStyle name="Style 207" xfId="1933"/>
    <cellStyle name="Style 208" xfId="1934"/>
    <cellStyle name="Style 208 2" xfId="1935"/>
    <cellStyle name="Style 209" xfId="1936"/>
    <cellStyle name="Style 209 2" xfId="1937"/>
    <cellStyle name="Style 21" xfId="1938"/>
    <cellStyle name="Style 21 2" xfId="1939"/>
    <cellStyle name="Style 210" xfId="1940"/>
    <cellStyle name="Style 210 2" xfId="1941"/>
    <cellStyle name="Style 211" xfId="1942"/>
    <cellStyle name="Style 211 2" xfId="1943"/>
    <cellStyle name="Style 212" xfId="1944"/>
    <cellStyle name="Style 213" xfId="1945"/>
    <cellStyle name="Style 214" xfId="1946"/>
    <cellStyle name="Style 214 2" xfId="1947"/>
    <cellStyle name="Style 215" xfId="1948"/>
    <cellStyle name="Style 216" xfId="1949"/>
    <cellStyle name="Style 216 2" xfId="1950"/>
    <cellStyle name="Style 217" xfId="1951"/>
    <cellStyle name="Style 218" xfId="1952"/>
    <cellStyle name="Style 219" xfId="1953"/>
    <cellStyle name="Style 22" xfId="1954"/>
    <cellStyle name="Style 22 2" xfId="1955"/>
    <cellStyle name="Style 220" xfId="1956"/>
    <cellStyle name="Style 221" xfId="1957"/>
    <cellStyle name="Style 222" xfId="1958"/>
    <cellStyle name="Style 223" xfId="1959"/>
    <cellStyle name="Style 224" xfId="1960"/>
    <cellStyle name="Style 225" xfId="1961"/>
    <cellStyle name="Style 226" xfId="1962"/>
    <cellStyle name="Style 227" xfId="1963"/>
    <cellStyle name="Style 228" xfId="1964"/>
    <cellStyle name="Style 229" xfId="1965"/>
    <cellStyle name="Style 23" xfId="1966"/>
    <cellStyle name="Style 23 2" xfId="1967"/>
    <cellStyle name="Style 230" xfId="1968"/>
    <cellStyle name="Style 231" xfId="1969"/>
    <cellStyle name="Style 232" xfId="1970"/>
    <cellStyle name="Style 233" xfId="1971"/>
    <cellStyle name="Style 234" xfId="1972"/>
    <cellStyle name="Style 235" xfId="1973"/>
    <cellStyle name="Style 236" xfId="1974"/>
    <cellStyle name="Style 24" xfId="1975"/>
    <cellStyle name="Style 24 2" xfId="1976"/>
    <cellStyle name="Style 25" xfId="1977"/>
    <cellStyle name="Style 25 2" xfId="1978"/>
    <cellStyle name="Style 26" xfId="1979"/>
    <cellStyle name="Style 26 2" xfId="1980"/>
    <cellStyle name="Style 27" xfId="1981"/>
    <cellStyle name="Style 27 2" xfId="1982"/>
    <cellStyle name="Style 28" xfId="1983"/>
    <cellStyle name="Style 29" xfId="1984"/>
    <cellStyle name="Style 3" xfId="1985"/>
    <cellStyle name="Style 3 2" xfId="1986"/>
    <cellStyle name="Style 3 2 2" xfId="1987"/>
    <cellStyle name="Style 3 2 3" xfId="1988"/>
    <cellStyle name="Style 3 3" xfId="1989"/>
    <cellStyle name="Style 30" xfId="1990"/>
    <cellStyle name="Style 31" xfId="1991"/>
    <cellStyle name="Style 32" xfId="1992"/>
    <cellStyle name="Style 33" xfId="1993"/>
    <cellStyle name="Style 34" xfId="1994"/>
    <cellStyle name="Style 35" xfId="1995"/>
    <cellStyle name="Style 36" xfId="1996"/>
    <cellStyle name="Style 37" xfId="1997"/>
    <cellStyle name="Style 38" xfId="1998"/>
    <cellStyle name="Style 39" xfId="1999"/>
    <cellStyle name="Style 4" xfId="2000"/>
    <cellStyle name="Style 4 2" xfId="2001"/>
    <cellStyle name="Style 4 3" xfId="2002"/>
    <cellStyle name="Style 40" xfId="2003"/>
    <cellStyle name="Style 41" xfId="2004"/>
    <cellStyle name="Style 42" xfId="2005"/>
    <cellStyle name="Style 43" xfId="2006"/>
    <cellStyle name="Style 44" xfId="2007"/>
    <cellStyle name="Style 45" xfId="2008"/>
    <cellStyle name="Style 46" xfId="2009"/>
    <cellStyle name="Style 47" xfId="2010"/>
    <cellStyle name="Style 48" xfId="2011"/>
    <cellStyle name="Style 49" xfId="2012"/>
    <cellStyle name="Style 5" xfId="2013"/>
    <cellStyle name="Style 5 2" xfId="2014"/>
    <cellStyle name="Style 5 3" xfId="2015"/>
    <cellStyle name="Style 5 4" xfId="2016"/>
    <cellStyle name="Style 50" xfId="2017"/>
    <cellStyle name="Style 51" xfId="2018"/>
    <cellStyle name="Style 52" xfId="2019"/>
    <cellStyle name="Style 53" xfId="2020"/>
    <cellStyle name="Style 54" xfId="2021"/>
    <cellStyle name="Style 55" xfId="2022"/>
    <cellStyle name="Style 56" xfId="2023"/>
    <cellStyle name="Style 57" xfId="2024"/>
    <cellStyle name="Style 58" xfId="2025"/>
    <cellStyle name="Style 59" xfId="2026"/>
    <cellStyle name="Style 6" xfId="2027"/>
    <cellStyle name="Style 6 2" xfId="2028"/>
    <cellStyle name="Style 6 3" xfId="2029"/>
    <cellStyle name="Style 60" xfId="2030"/>
    <cellStyle name="Style 61" xfId="2031"/>
    <cellStyle name="Style 61 2" xfId="2032"/>
    <cellStyle name="Style 62" xfId="2033"/>
    <cellStyle name="Style 63" xfId="2034"/>
    <cellStyle name="Style 64" xfId="2035"/>
    <cellStyle name="Style 65" xfId="2036"/>
    <cellStyle name="Style 66" xfId="2037"/>
    <cellStyle name="Style 67" xfId="2038"/>
    <cellStyle name="Style 68" xfId="2039"/>
    <cellStyle name="Style 69" xfId="2040"/>
    <cellStyle name="Style 7" xfId="2041"/>
    <cellStyle name="Style 7 2" xfId="2042"/>
    <cellStyle name="Style 7 2 2" xfId="2043"/>
    <cellStyle name="Style 7 3" xfId="2044"/>
    <cellStyle name="Style 70" xfId="2045"/>
    <cellStyle name="Style 71" xfId="2046"/>
    <cellStyle name="Style 71 2" xfId="2047"/>
    <cellStyle name="Style 72" xfId="2048"/>
    <cellStyle name="Style 73" xfId="2049"/>
    <cellStyle name="Style 74" xfId="2050"/>
    <cellStyle name="Style 75" xfId="2051"/>
    <cellStyle name="Style 76" xfId="2052"/>
    <cellStyle name="Style 77" xfId="2053"/>
    <cellStyle name="Style 78" xfId="2054"/>
    <cellStyle name="Style 79" xfId="2055"/>
    <cellStyle name="Style 8" xfId="2056"/>
    <cellStyle name="Style 8 2" xfId="2057"/>
    <cellStyle name="Style 8 3" xfId="2058"/>
    <cellStyle name="Style 80" xfId="2059"/>
    <cellStyle name="Style 81" xfId="2060"/>
    <cellStyle name="Style 82" xfId="2061"/>
    <cellStyle name="Style 83" xfId="2062"/>
    <cellStyle name="Style 84" xfId="2063"/>
    <cellStyle name="Style 85" xfId="2064"/>
    <cellStyle name="Style 86" xfId="2065"/>
    <cellStyle name="Style 87" xfId="2066"/>
    <cellStyle name="Style 88" xfId="2067"/>
    <cellStyle name="Style 89" xfId="2068"/>
    <cellStyle name="Style 9" xfId="2069"/>
    <cellStyle name="Style 9 2" xfId="2070"/>
    <cellStyle name="Style 9 3" xfId="2071"/>
    <cellStyle name="Style 90" xfId="2072"/>
    <cellStyle name="Style 91" xfId="2073"/>
    <cellStyle name="Style 92" xfId="2074"/>
    <cellStyle name="Style 93" xfId="2075"/>
    <cellStyle name="Style 94" xfId="2076"/>
    <cellStyle name="Style 95" xfId="2077"/>
    <cellStyle name="Style 96" xfId="2078"/>
    <cellStyle name="Style 97" xfId="2079"/>
    <cellStyle name="Style 98" xfId="2080"/>
    <cellStyle name="Style 99" xfId="2081"/>
    <cellStyle name="Style 99 2" xfId="2082"/>
    <cellStyle name="Sub-total row" xfId="48"/>
    <cellStyle name="SUPPR" xfId="2083"/>
    <cellStyle name="Table finish row" xfId="49"/>
    <cellStyle name="Table shading" xfId="50"/>
    <cellStyle name="Table unfinish row" xfId="51"/>
    <cellStyle name="Table unshading" xfId="52"/>
    <cellStyle name="Text" xfId="53"/>
    <cellStyle name="Text Indent A" xfId="2084"/>
    <cellStyle name="Text Indent B" xfId="2085"/>
    <cellStyle name="Text Indent C" xfId="2086"/>
    <cellStyle name="texto" xfId="2087"/>
    <cellStyle name="Texto de advertencia 2" xfId="2088"/>
    <cellStyle name="Texto de advertencia 3" xfId="2089"/>
    <cellStyle name="Texto explicativo 2" xfId="2090"/>
    <cellStyle name="Texto explicativo 3" xfId="2091"/>
    <cellStyle name="THIN" xfId="2092"/>
    <cellStyle name="tipo" xfId="2093"/>
    <cellStyle name="Title 2" xfId="2094"/>
    <cellStyle name="Title 2 2" xfId="2095"/>
    <cellStyle name="Título 1 2" xfId="2096"/>
    <cellStyle name="Título 1 3" xfId="2097"/>
    <cellStyle name="Título 2" xfId="31" builtinId="17"/>
    <cellStyle name="Título 2 2" xfId="2098"/>
    <cellStyle name="Título 2 3" xfId="2099"/>
    <cellStyle name="Título 3" xfId="68" builtinId="18"/>
    <cellStyle name="Título 3 2" xfId="2100"/>
    <cellStyle name="Título 3 3" xfId="2101"/>
    <cellStyle name="Título 4" xfId="2102"/>
    <cellStyle name="Título de hoja" xfId="2103"/>
    <cellStyle name="Total" xfId="54" builtinId="25" customBuiltin="1"/>
    <cellStyle name="Total 2" xfId="2104"/>
    <cellStyle name="Total 3" xfId="2105"/>
    <cellStyle name="Total row" xfId="55"/>
    <cellStyle name="Unhighlight" xfId="56"/>
    <cellStyle name="Untotal row" xfId="57"/>
    <cellStyle name="Valuta (0)_1 new STM 16 ring" xfId="2106"/>
    <cellStyle name="Valuta_1 new STM 16 ring" xfId="2107"/>
    <cellStyle name="Währung [0]" xfId="2108"/>
    <cellStyle name="Währung_IPIS-generique" xfId="2109"/>
    <cellStyle name="Warning Text 2" xfId="2110"/>
    <cellStyle name="ZAMORA" xfId="2111"/>
    <cellStyle name="一般_laroux" xfId="2112"/>
    <cellStyle name="千分位[0]_laroux" xfId="2113"/>
    <cellStyle name="千分位_laroux" xfId="2114"/>
    <cellStyle name="標準_level &amp; connection rev1" xfId="2115"/>
    <cellStyle name="貨幣 [0]_laroux" xfId="2116"/>
    <cellStyle name="貨幣_laroux" xfId="2117"/>
  </cellStyles>
  <dxfs count="1">
    <dxf>
      <font>
        <b/>
        <i/>
        <condense val="0"/>
        <extend val="0"/>
        <color indexed="13"/>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1">
    <outlinePr summaryBelow="0"/>
    <pageSetUpPr autoPageBreaks="0"/>
  </sheetPr>
  <dimension ref="A1:E16"/>
  <sheetViews>
    <sheetView showGridLines="0" defaultGridColor="0" colorId="22" zoomScaleNormal="95" zoomScaleSheetLayoutView="75" workbookViewId="0">
      <pane ySplit="16" topLeftCell="A17" activePane="bottomLeft" state="frozen"/>
      <selection pane="bottomLeft" activeCell="B6" sqref="B6"/>
    </sheetView>
  </sheetViews>
  <sheetFormatPr baseColWidth="10" defaultColWidth="12.7109375" defaultRowHeight="12"/>
  <cols>
    <col min="1" max="1" width="21.7109375" style="62" customWidth="1"/>
    <col min="2" max="2" width="16.7109375" style="62" customWidth="1"/>
    <col min="3" max="3" width="39.7109375" style="62" customWidth="1"/>
    <col min="4" max="4" width="16.7109375" style="62" customWidth="1"/>
    <col min="5" max="5" width="62.7109375" style="62" customWidth="1"/>
  </cols>
  <sheetData>
    <row r="1" spans="1:5" s="73" customFormat="1" ht="33.75" customHeight="1">
      <c r="C1" s="74" t="str">
        <f>Workbook.Title</f>
        <v>Modelo de costos de costos evitados WLR y bitsream</v>
      </c>
    </row>
    <row r="2" spans="1:5" s="77" customFormat="1" ht="12" customHeight="1"/>
    <row r="3" spans="1:5" s="2" customFormat="1" ht="18">
      <c r="A3" s="57" t="s">
        <v>15</v>
      </c>
      <c r="C3"/>
    </row>
    <row r="4" spans="1:5" ht="6" customHeight="1">
      <c r="A4"/>
      <c r="B4"/>
      <c r="C4"/>
      <c r="D4"/>
      <c r="E4"/>
    </row>
    <row r="5" spans="1:5">
      <c r="A5" s="58" t="s">
        <v>13</v>
      </c>
      <c r="B5" s="62" t="s">
        <v>774</v>
      </c>
      <c r="C5"/>
      <c r="D5"/>
      <c r="E5"/>
    </row>
    <row r="6" spans="1:5">
      <c r="A6" s="58" t="s">
        <v>12</v>
      </c>
      <c r="B6" s="62" t="s">
        <v>741</v>
      </c>
      <c r="C6"/>
      <c r="D6"/>
      <c r="E6"/>
    </row>
    <row r="7" spans="1:5">
      <c r="A7"/>
      <c r="B7"/>
      <c r="C7"/>
      <c r="D7" s="326"/>
      <c r="E7"/>
    </row>
    <row r="8" spans="1:5">
      <c r="A8" s="58" t="s">
        <v>11</v>
      </c>
      <c r="B8" s="62" t="s">
        <v>793</v>
      </c>
      <c r="C8"/>
      <c r="D8"/>
      <c r="E8"/>
    </row>
    <row r="9" spans="1:5">
      <c r="A9" s="58" t="s">
        <v>0</v>
      </c>
      <c r="B9" s="62" t="s">
        <v>18</v>
      </c>
      <c r="C9"/>
      <c r="D9"/>
      <c r="E9"/>
    </row>
    <row r="10" spans="1:5" hidden="1">
      <c r="A10" s="58"/>
      <c r="B10" s="62" t="s">
        <v>17</v>
      </c>
      <c r="C10"/>
      <c r="D10"/>
      <c r="E10"/>
    </row>
    <row r="11" spans="1:5" hidden="1">
      <c r="A11" s="58"/>
      <c r="B11" s="62" t="s">
        <v>16</v>
      </c>
      <c r="C11"/>
      <c r="D11"/>
      <c r="E11"/>
    </row>
    <row r="12" spans="1:5" hidden="1">
      <c r="A12" s="58"/>
      <c r="B12" s="62" t="s">
        <v>22</v>
      </c>
      <c r="C12"/>
      <c r="D12"/>
      <c r="E12"/>
    </row>
    <row r="13" spans="1:5" hidden="1">
      <c r="A13" s="58"/>
      <c r="B13" s="62" t="s">
        <v>18</v>
      </c>
      <c r="C13"/>
      <c r="D13"/>
      <c r="E13"/>
    </row>
    <row r="14" spans="1:5">
      <c r="A14" s="58" t="s">
        <v>14</v>
      </c>
      <c r="C14"/>
      <c r="D14"/>
      <c r="E14"/>
    </row>
    <row r="15" spans="1:5">
      <c r="A15" s="58" t="s">
        <v>19</v>
      </c>
      <c r="B15" s="136"/>
      <c r="C15"/>
      <c r="D15"/>
      <c r="E15"/>
    </row>
    <row r="16" spans="1:5">
      <c r="A16"/>
      <c r="B16" s="100"/>
      <c r="C16"/>
      <c r="D16"/>
      <c r="E16"/>
    </row>
  </sheetData>
  <phoneticPr fontId="0" type="noConversion"/>
  <dataValidations count="1">
    <dataValidation type="list" allowBlank="1" sqref="B9">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fitToPage="1"/>
  </sheetPr>
  <dimension ref="A1:M141"/>
  <sheetViews>
    <sheetView showGridLines="0" defaultGridColor="0" colorId="22" zoomScaleNormal="100" workbookViewId="0">
      <pane ySplit="1" topLeftCell="A2" activePane="bottomLeft" state="frozen"/>
      <selection pane="bottomLeft"/>
    </sheetView>
  </sheetViews>
  <sheetFormatPr baseColWidth="10" defaultColWidth="12.7109375" defaultRowHeight="12"/>
  <cols>
    <col min="1" max="1" width="2.7109375" style="326" customWidth="1"/>
    <col min="2" max="2" width="36.140625" style="326" customWidth="1"/>
    <col min="3" max="4" width="12.7109375" style="326"/>
    <col min="5" max="5" width="12.7109375" style="326" customWidth="1"/>
    <col min="6" max="256" width="12.7109375" style="326"/>
    <col min="257" max="257" width="2.7109375" style="326" customWidth="1"/>
    <col min="258" max="258" width="36.140625" style="326" customWidth="1"/>
    <col min="259" max="260" width="12.7109375" style="326"/>
    <col min="261" max="261" width="12.7109375" style="326" customWidth="1"/>
    <col min="262" max="512" width="12.7109375" style="326"/>
    <col min="513" max="513" width="2.7109375" style="326" customWidth="1"/>
    <col min="514" max="514" width="36.140625" style="326" customWidth="1"/>
    <col min="515" max="516" width="12.7109375" style="326"/>
    <col min="517" max="517" width="12.7109375" style="326" customWidth="1"/>
    <col min="518" max="768" width="12.7109375" style="326"/>
    <col min="769" max="769" width="2.7109375" style="326" customWidth="1"/>
    <col min="770" max="770" width="36.140625" style="326" customWidth="1"/>
    <col min="771" max="772" width="12.7109375" style="326"/>
    <col min="773" max="773" width="12.7109375" style="326" customWidth="1"/>
    <col min="774" max="1024" width="12.7109375" style="326"/>
    <col min="1025" max="1025" width="2.7109375" style="326" customWidth="1"/>
    <col min="1026" max="1026" width="36.140625" style="326" customWidth="1"/>
    <col min="1027" max="1028" width="12.7109375" style="326"/>
    <col min="1029" max="1029" width="12.7109375" style="326" customWidth="1"/>
    <col min="1030" max="1280" width="12.7109375" style="326"/>
    <col min="1281" max="1281" width="2.7109375" style="326" customWidth="1"/>
    <col min="1282" max="1282" width="36.140625" style="326" customWidth="1"/>
    <col min="1283" max="1284" width="12.7109375" style="326"/>
    <col min="1285" max="1285" width="12.7109375" style="326" customWidth="1"/>
    <col min="1286" max="1536" width="12.7109375" style="326"/>
    <col min="1537" max="1537" width="2.7109375" style="326" customWidth="1"/>
    <col min="1538" max="1538" width="36.140625" style="326" customWidth="1"/>
    <col min="1539" max="1540" width="12.7109375" style="326"/>
    <col min="1541" max="1541" width="12.7109375" style="326" customWidth="1"/>
    <col min="1542" max="1792" width="12.7109375" style="326"/>
    <col min="1793" max="1793" width="2.7109375" style="326" customWidth="1"/>
    <col min="1794" max="1794" width="36.140625" style="326" customWidth="1"/>
    <col min="1795" max="1796" width="12.7109375" style="326"/>
    <col min="1797" max="1797" width="12.7109375" style="326" customWidth="1"/>
    <col min="1798" max="2048" width="12.7109375" style="326"/>
    <col min="2049" max="2049" width="2.7109375" style="326" customWidth="1"/>
    <col min="2050" max="2050" width="36.140625" style="326" customWidth="1"/>
    <col min="2051" max="2052" width="12.7109375" style="326"/>
    <col min="2053" max="2053" width="12.7109375" style="326" customWidth="1"/>
    <col min="2054" max="2304" width="12.7109375" style="326"/>
    <col min="2305" max="2305" width="2.7109375" style="326" customWidth="1"/>
    <col min="2306" max="2306" width="36.140625" style="326" customWidth="1"/>
    <col min="2307" max="2308" width="12.7109375" style="326"/>
    <col min="2309" max="2309" width="12.7109375" style="326" customWidth="1"/>
    <col min="2310" max="2560" width="12.7109375" style="326"/>
    <col min="2561" max="2561" width="2.7109375" style="326" customWidth="1"/>
    <col min="2562" max="2562" width="36.140625" style="326" customWidth="1"/>
    <col min="2563" max="2564" width="12.7109375" style="326"/>
    <col min="2565" max="2565" width="12.7109375" style="326" customWidth="1"/>
    <col min="2566" max="2816" width="12.7109375" style="326"/>
    <col min="2817" max="2817" width="2.7109375" style="326" customWidth="1"/>
    <col min="2818" max="2818" width="36.140625" style="326" customWidth="1"/>
    <col min="2819" max="2820" width="12.7109375" style="326"/>
    <col min="2821" max="2821" width="12.7109375" style="326" customWidth="1"/>
    <col min="2822" max="3072" width="12.7109375" style="326"/>
    <col min="3073" max="3073" width="2.7109375" style="326" customWidth="1"/>
    <col min="3074" max="3074" width="36.140625" style="326" customWidth="1"/>
    <col min="3075" max="3076" width="12.7109375" style="326"/>
    <col min="3077" max="3077" width="12.7109375" style="326" customWidth="1"/>
    <col min="3078" max="3328" width="12.7109375" style="326"/>
    <col min="3329" max="3329" width="2.7109375" style="326" customWidth="1"/>
    <col min="3330" max="3330" width="36.140625" style="326" customWidth="1"/>
    <col min="3331" max="3332" width="12.7109375" style="326"/>
    <col min="3333" max="3333" width="12.7109375" style="326" customWidth="1"/>
    <col min="3334" max="3584" width="12.7109375" style="326"/>
    <col min="3585" max="3585" width="2.7109375" style="326" customWidth="1"/>
    <col min="3586" max="3586" width="36.140625" style="326" customWidth="1"/>
    <col min="3587" max="3588" width="12.7109375" style="326"/>
    <col min="3589" max="3589" width="12.7109375" style="326" customWidth="1"/>
    <col min="3590" max="3840" width="12.7109375" style="326"/>
    <col min="3841" max="3841" width="2.7109375" style="326" customWidth="1"/>
    <col min="3842" max="3842" width="36.140625" style="326" customWidth="1"/>
    <col min="3843" max="3844" width="12.7109375" style="326"/>
    <col min="3845" max="3845" width="12.7109375" style="326" customWidth="1"/>
    <col min="3846" max="4096" width="12.7109375" style="326"/>
    <col min="4097" max="4097" width="2.7109375" style="326" customWidth="1"/>
    <col min="4098" max="4098" width="36.140625" style="326" customWidth="1"/>
    <col min="4099" max="4100" width="12.7109375" style="326"/>
    <col min="4101" max="4101" width="12.7109375" style="326" customWidth="1"/>
    <col min="4102" max="4352" width="12.7109375" style="326"/>
    <col min="4353" max="4353" width="2.7109375" style="326" customWidth="1"/>
    <col min="4354" max="4354" width="36.140625" style="326" customWidth="1"/>
    <col min="4355" max="4356" width="12.7109375" style="326"/>
    <col min="4357" max="4357" width="12.7109375" style="326" customWidth="1"/>
    <col min="4358" max="4608" width="12.7109375" style="326"/>
    <col min="4609" max="4609" width="2.7109375" style="326" customWidth="1"/>
    <col min="4610" max="4610" width="36.140625" style="326" customWidth="1"/>
    <col min="4611" max="4612" width="12.7109375" style="326"/>
    <col min="4613" max="4613" width="12.7109375" style="326" customWidth="1"/>
    <col min="4614" max="4864" width="12.7109375" style="326"/>
    <col min="4865" max="4865" width="2.7109375" style="326" customWidth="1"/>
    <col min="4866" max="4866" width="36.140625" style="326" customWidth="1"/>
    <col min="4867" max="4868" width="12.7109375" style="326"/>
    <col min="4869" max="4869" width="12.7109375" style="326" customWidth="1"/>
    <col min="4870" max="5120" width="12.7109375" style="326"/>
    <col min="5121" max="5121" width="2.7109375" style="326" customWidth="1"/>
    <col min="5122" max="5122" width="36.140625" style="326" customWidth="1"/>
    <col min="5123" max="5124" width="12.7109375" style="326"/>
    <col min="5125" max="5125" width="12.7109375" style="326" customWidth="1"/>
    <col min="5126" max="5376" width="12.7109375" style="326"/>
    <col min="5377" max="5377" width="2.7109375" style="326" customWidth="1"/>
    <col min="5378" max="5378" width="36.140625" style="326" customWidth="1"/>
    <col min="5379" max="5380" width="12.7109375" style="326"/>
    <col min="5381" max="5381" width="12.7109375" style="326" customWidth="1"/>
    <col min="5382" max="5632" width="12.7109375" style="326"/>
    <col min="5633" max="5633" width="2.7109375" style="326" customWidth="1"/>
    <col min="5634" max="5634" width="36.140625" style="326" customWidth="1"/>
    <col min="5635" max="5636" width="12.7109375" style="326"/>
    <col min="5637" max="5637" width="12.7109375" style="326" customWidth="1"/>
    <col min="5638" max="5888" width="12.7109375" style="326"/>
    <col min="5889" max="5889" width="2.7109375" style="326" customWidth="1"/>
    <col min="5890" max="5890" width="36.140625" style="326" customWidth="1"/>
    <col min="5891" max="5892" width="12.7109375" style="326"/>
    <col min="5893" max="5893" width="12.7109375" style="326" customWidth="1"/>
    <col min="5894" max="6144" width="12.7109375" style="326"/>
    <col min="6145" max="6145" width="2.7109375" style="326" customWidth="1"/>
    <col min="6146" max="6146" width="36.140625" style="326" customWidth="1"/>
    <col min="6147" max="6148" width="12.7109375" style="326"/>
    <col min="6149" max="6149" width="12.7109375" style="326" customWidth="1"/>
    <col min="6150" max="6400" width="12.7109375" style="326"/>
    <col min="6401" max="6401" width="2.7109375" style="326" customWidth="1"/>
    <col min="6402" max="6402" width="36.140625" style="326" customWidth="1"/>
    <col min="6403" max="6404" width="12.7109375" style="326"/>
    <col min="6405" max="6405" width="12.7109375" style="326" customWidth="1"/>
    <col min="6406" max="6656" width="12.7109375" style="326"/>
    <col min="6657" max="6657" width="2.7109375" style="326" customWidth="1"/>
    <col min="6658" max="6658" width="36.140625" style="326" customWidth="1"/>
    <col min="6659" max="6660" width="12.7109375" style="326"/>
    <col min="6661" max="6661" width="12.7109375" style="326" customWidth="1"/>
    <col min="6662" max="6912" width="12.7109375" style="326"/>
    <col min="6913" max="6913" width="2.7109375" style="326" customWidth="1"/>
    <col min="6914" max="6914" width="36.140625" style="326" customWidth="1"/>
    <col min="6915" max="6916" width="12.7109375" style="326"/>
    <col min="6917" max="6917" width="12.7109375" style="326" customWidth="1"/>
    <col min="6918" max="7168" width="12.7109375" style="326"/>
    <col min="7169" max="7169" width="2.7109375" style="326" customWidth="1"/>
    <col min="7170" max="7170" width="36.140625" style="326" customWidth="1"/>
    <col min="7171" max="7172" width="12.7109375" style="326"/>
    <col min="7173" max="7173" width="12.7109375" style="326" customWidth="1"/>
    <col min="7174" max="7424" width="12.7109375" style="326"/>
    <col min="7425" max="7425" width="2.7109375" style="326" customWidth="1"/>
    <col min="7426" max="7426" width="36.140625" style="326" customWidth="1"/>
    <col min="7427" max="7428" width="12.7109375" style="326"/>
    <col min="7429" max="7429" width="12.7109375" style="326" customWidth="1"/>
    <col min="7430" max="7680" width="12.7109375" style="326"/>
    <col min="7681" max="7681" width="2.7109375" style="326" customWidth="1"/>
    <col min="7682" max="7682" width="36.140625" style="326" customWidth="1"/>
    <col min="7683" max="7684" width="12.7109375" style="326"/>
    <col min="7685" max="7685" width="12.7109375" style="326" customWidth="1"/>
    <col min="7686" max="7936" width="12.7109375" style="326"/>
    <col min="7937" max="7937" width="2.7109375" style="326" customWidth="1"/>
    <col min="7938" max="7938" width="36.140625" style="326" customWidth="1"/>
    <col min="7939" max="7940" width="12.7109375" style="326"/>
    <col min="7941" max="7941" width="12.7109375" style="326" customWidth="1"/>
    <col min="7942" max="8192" width="12.7109375" style="326"/>
    <col min="8193" max="8193" width="2.7109375" style="326" customWidth="1"/>
    <col min="8194" max="8194" width="36.140625" style="326" customWidth="1"/>
    <col min="8195" max="8196" width="12.7109375" style="326"/>
    <col min="8197" max="8197" width="12.7109375" style="326" customWidth="1"/>
    <col min="8198" max="8448" width="12.7109375" style="326"/>
    <col min="8449" max="8449" width="2.7109375" style="326" customWidth="1"/>
    <col min="8450" max="8450" width="36.140625" style="326" customWidth="1"/>
    <col min="8451" max="8452" width="12.7109375" style="326"/>
    <col min="8453" max="8453" width="12.7109375" style="326" customWidth="1"/>
    <col min="8454" max="8704" width="12.7109375" style="326"/>
    <col min="8705" max="8705" width="2.7109375" style="326" customWidth="1"/>
    <col min="8706" max="8706" width="36.140625" style="326" customWidth="1"/>
    <col min="8707" max="8708" width="12.7109375" style="326"/>
    <col min="8709" max="8709" width="12.7109375" style="326" customWidth="1"/>
    <col min="8710" max="8960" width="12.7109375" style="326"/>
    <col min="8961" max="8961" width="2.7109375" style="326" customWidth="1"/>
    <col min="8962" max="8962" width="36.140625" style="326" customWidth="1"/>
    <col min="8963" max="8964" width="12.7109375" style="326"/>
    <col min="8965" max="8965" width="12.7109375" style="326" customWidth="1"/>
    <col min="8966" max="9216" width="12.7109375" style="326"/>
    <col min="9217" max="9217" width="2.7109375" style="326" customWidth="1"/>
    <col min="9218" max="9218" width="36.140625" style="326" customWidth="1"/>
    <col min="9219" max="9220" width="12.7109375" style="326"/>
    <col min="9221" max="9221" width="12.7109375" style="326" customWidth="1"/>
    <col min="9222" max="9472" width="12.7109375" style="326"/>
    <col min="9473" max="9473" width="2.7109375" style="326" customWidth="1"/>
    <col min="9474" max="9474" width="36.140625" style="326" customWidth="1"/>
    <col min="9475" max="9476" width="12.7109375" style="326"/>
    <col min="9477" max="9477" width="12.7109375" style="326" customWidth="1"/>
    <col min="9478" max="9728" width="12.7109375" style="326"/>
    <col min="9729" max="9729" width="2.7109375" style="326" customWidth="1"/>
    <col min="9730" max="9730" width="36.140625" style="326" customWidth="1"/>
    <col min="9731" max="9732" width="12.7109375" style="326"/>
    <col min="9733" max="9733" width="12.7109375" style="326" customWidth="1"/>
    <col min="9734" max="9984" width="12.7109375" style="326"/>
    <col min="9985" max="9985" width="2.7109375" style="326" customWidth="1"/>
    <col min="9986" max="9986" width="36.140625" style="326" customWidth="1"/>
    <col min="9987" max="9988" width="12.7109375" style="326"/>
    <col min="9989" max="9989" width="12.7109375" style="326" customWidth="1"/>
    <col min="9990" max="10240" width="12.7109375" style="326"/>
    <col min="10241" max="10241" width="2.7109375" style="326" customWidth="1"/>
    <col min="10242" max="10242" width="36.140625" style="326" customWidth="1"/>
    <col min="10243" max="10244" width="12.7109375" style="326"/>
    <col min="10245" max="10245" width="12.7109375" style="326" customWidth="1"/>
    <col min="10246" max="10496" width="12.7109375" style="326"/>
    <col min="10497" max="10497" width="2.7109375" style="326" customWidth="1"/>
    <col min="10498" max="10498" width="36.140625" style="326" customWidth="1"/>
    <col min="10499" max="10500" width="12.7109375" style="326"/>
    <col min="10501" max="10501" width="12.7109375" style="326" customWidth="1"/>
    <col min="10502" max="10752" width="12.7109375" style="326"/>
    <col min="10753" max="10753" width="2.7109375" style="326" customWidth="1"/>
    <col min="10754" max="10754" width="36.140625" style="326" customWidth="1"/>
    <col min="10755" max="10756" width="12.7109375" style="326"/>
    <col min="10757" max="10757" width="12.7109375" style="326" customWidth="1"/>
    <col min="10758" max="11008" width="12.7109375" style="326"/>
    <col min="11009" max="11009" width="2.7109375" style="326" customWidth="1"/>
    <col min="11010" max="11010" width="36.140625" style="326" customWidth="1"/>
    <col min="11011" max="11012" width="12.7109375" style="326"/>
    <col min="11013" max="11013" width="12.7109375" style="326" customWidth="1"/>
    <col min="11014" max="11264" width="12.7109375" style="326"/>
    <col min="11265" max="11265" width="2.7109375" style="326" customWidth="1"/>
    <col min="11266" max="11266" width="36.140625" style="326" customWidth="1"/>
    <col min="11267" max="11268" width="12.7109375" style="326"/>
    <col min="11269" max="11269" width="12.7109375" style="326" customWidth="1"/>
    <col min="11270" max="11520" width="12.7109375" style="326"/>
    <col min="11521" max="11521" width="2.7109375" style="326" customWidth="1"/>
    <col min="11522" max="11522" width="36.140625" style="326" customWidth="1"/>
    <col min="11523" max="11524" width="12.7109375" style="326"/>
    <col min="11525" max="11525" width="12.7109375" style="326" customWidth="1"/>
    <col min="11526" max="11776" width="12.7109375" style="326"/>
    <col min="11777" max="11777" width="2.7109375" style="326" customWidth="1"/>
    <col min="11778" max="11778" width="36.140625" style="326" customWidth="1"/>
    <col min="11779" max="11780" width="12.7109375" style="326"/>
    <col min="11781" max="11781" width="12.7109375" style="326" customWidth="1"/>
    <col min="11782" max="12032" width="12.7109375" style="326"/>
    <col min="12033" max="12033" width="2.7109375" style="326" customWidth="1"/>
    <col min="12034" max="12034" width="36.140625" style="326" customWidth="1"/>
    <col min="12035" max="12036" width="12.7109375" style="326"/>
    <col min="12037" max="12037" width="12.7109375" style="326" customWidth="1"/>
    <col min="12038" max="12288" width="12.7109375" style="326"/>
    <col min="12289" max="12289" width="2.7109375" style="326" customWidth="1"/>
    <col min="12290" max="12290" width="36.140625" style="326" customWidth="1"/>
    <col min="12291" max="12292" width="12.7109375" style="326"/>
    <col min="12293" max="12293" width="12.7109375" style="326" customWidth="1"/>
    <col min="12294" max="12544" width="12.7109375" style="326"/>
    <col min="12545" max="12545" width="2.7109375" style="326" customWidth="1"/>
    <col min="12546" max="12546" width="36.140625" style="326" customWidth="1"/>
    <col min="12547" max="12548" width="12.7109375" style="326"/>
    <col min="12549" max="12549" width="12.7109375" style="326" customWidth="1"/>
    <col min="12550" max="12800" width="12.7109375" style="326"/>
    <col min="12801" max="12801" width="2.7109375" style="326" customWidth="1"/>
    <col min="12802" max="12802" width="36.140625" style="326" customWidth="1"/>
    <col min="12803" max="12804" width="12.7109375" style="326"/>
    <col min="12805" max="12805" width="12.7109375" style="326" customWidth="1"/>
    <col min="12806" max="13056" width="12.7109375" style="326"/>
    <col min="13057" max="13057" width="2.7109375" style="326" customWidth="1"/>
    <col min="13058" max="13058" width="36.140625" style="326" customWidth="1"/>
    <col min="13059" max="13060" width="12.7109375" style="326"/>
    <col min="13061" max="13061" width="12.7109375" style="326" customWidth="1"/>
    <col min="13062" max="13312" width="12.7109375" style="326"/>
    <col min="13313" max="13313" width="2.7109375" style="326" customWidth="1"/>
    <col min="13314" max="13314" width="36.140625" style="326" customWidth="1"/>
    <col min="13315" max="13316" width="12.7109375" style="326"/>
    <col min="13317" max="13317" width="12.7109375" style="326" customWidth="1"/>
    <col min="13318" max="13568" width="12.7109375" style="326"/>
    <col min="13569" max="13569" width="2.7109375" style="326" customWidth="1"/>
    <col min="13570" max="13570" width="36.140625" style="326" customWidth="1"/>
    <col min="13571" max="13572" width="12.7109375" style="326"/>
    <col min="13573" max="13573" width="12.7109375" style="326" customWidth="1"/>
    <col min="13574" max="13824" width="12.7109375" style="326"/>
    <col min="13825" max="13825" width="2.7109375" style="326" customWidth="1"/>
    <col min="13826" max="13826" width="36.140625" style="326" customWidth="1"/>
    <col min="13827" max="13828" width="12.7109375" style="326"/>
    <col min="13829" max="13829" width="12.7109375" style="326" customWidth="1"/>
    <col min="13830" max="14080" width="12.7109375" style="326"/>
    <col min="14081" max="14081" width="2.7109375" style="326" customWidth="1"/>
    <col min="14082" max="14082" width="36.140625" style="326" customWidth="1"/>
    <col min="14083" max="14084" width="12.7109375" style="326"/>
    <col min="14085" max="14085" width="12.7109375" style="326" customWidth="1"/>
    <col min="14086" max="14336" width="12.7109375" style="326"/>
    <col min="14337" max="14337" width="2.7109375" style="326" customWidth="1"/>
    <col min="14338" max="14338" width="36.140625" style="326" customWidth="1"/>
    <col min="14339" max="14340" width="12.7109375" style="326"/>
    <col min="14341" max="14341" width="12.7109375" style="326" customWidth="1"/>
    <col min="14342" max="14592" width="12.7109375" style="326"/>
    <col min="14593" max="14593" width="2.7109375" style="326" customWidth="1"/>
    <col min="14594" max="14594" width="36.140625" style="326" customWidth="1"/>
    <col min="14595" max="14596" width="12.7109375" style="326"/>
    <col min="14597" max="14597" width="12.7109375" style="326" customWidth="1"/>
    <col min="14598" max="14848" width="12.7109375" style="326"/>
    <col min="14849" max="14849" width="2.7109375" style="326" customWidth="1"/>
    <col min="14850" max="14850" width="36.140625" style="326" customWidth="1"/>
    <col min="14851" max="14852" width="12.7109375" style="326"/>
    <col min="14853" max="14853" width="12.7109375" style="326" customWidth="1"/>
    <col min="14854" max="15104" width="12.7109375" style="326"/>
    <col min="15105" max="15105" width="2.7109375" style="326" customWidth="1"/>
    <col min="15106" max="15106" width="36.140625" style="326" customWidth="1"/>
    <col min="15107" max="15108" width="12.7109375" style="326"/>
    <col min="15109" max="15109" width="12.7109375" style="326" customWidth="1"/>
    <col min="15110" max="15360" width="12.7109375" style="326"/>
    <col min="15361" max="15361" width="2.7109375" style="326" customWidth="1"/>
    <col min="15362" max="15362" width="36.140625" style="326" customWidth="1"/>
    <col min="15363" max="15364" width="12.7109375" style="326"/>
    <col min="15365" max="15365" width="12.7109375" style="326" customWidth="1"/>
    <col min="15366" max="15616" width="12.7109375" style="326"/>
    <col min="15617" max="15617" width="2.7109375" style="326" customWidth="1"/>
    <col min="15618" max="15618" width="36.140625" style="326" customWidth="1"/>
    <col min="15619" max="15620" width="12.7109375" style="326"/>
    <col min="15621" max="15621" width="12.7109375" style="326" customWidth="1"/>
    <col min="15622" max="15872" width="12.7109375" style="326"/>
    <col min="15873" max="15873" width="2.7109375" style="326" customWidth="1"/>
    <col min="15874" max="15874" width="36.140625" style="326" customWidth="1"/>
    <col min="15875" max="15876" width="12.7109375" style="326"/>
    <col min="15877" max="15877" width="12.7109375" style="326" customWidth="1"/>
    <col min="15878" max="16128" width="12.7109375" style="326"/>
    <col min="16129" max="16129" width="2.7109375" style="326" customWidth="1"/>
    <col min="16130" max="16130" width="36.140625" style="326" customWidth="1"/>
    <col min="16131" max="16132" width="12.7109375" style="326"/>
    <col min="16133" max="16133" width="12.7109375" style="326" customWidth="1"/>
    <col min="16134" max="16384" width="12.7109375" style="326"/>
  </cols>
  <sheetData>
    <row r="1" spans="1:13" s="71" customFormat="1" ht="33.75" customHeight="1">
      <c r="C1" s="164" t="s">
        <v>374</v>
      </c>
    </row>
    <row r="2" spans="1:13" s="152" customFormat="1" ht="12" customHeight="1"/>
    <row r="3" spans="1:13">
      <c r="A3" s="24" t="s">
        <v>375</v>
      </c>
    </row>
    <row r="4" spans="1:13">
      <c r="A4" s="46" t="s">
        <v>376</v>
      </c>
    </row>
    <row r="6" spans="1:13" ht="18.75">
      <c r="A6" s="8" t="s">
        <v>377</v>
      </c>
    </row>
    <row r="7" spans="1:13">
      <c r="A7" s="45" t="s">
        <v>378</v>
      </c>
      <c r="B7" s="44"/>
      <c r="C7" s="44"/>
      <c r="D7" s="44"/>
      <c r="E7" s="44"/>
    </row>
    <row r="8" spans="1:13">
      <c r="A8" s="24" t="s">
        <v>379</v>
      </c>
    </row>
    <row r="10" spans="1:13">
      <c r="B10" s="55" t="s">
        <v>380</v>
      </c>
      <c r="C10" s="328">
        <v>100</v>
      </c>
      <c r="D10" s="24" t="s">
        <v>381</v>
      </c>
      <c r="E10" s="326" t="s">
        <v>382</v>
      </c>
    </row>
    <row r="12" spans="1:13">
      <c r="B12" s="5" t="s">
        <v>380</v>
      </c>
      <c r="C12" s="328">
        <v>250</v>
      </c>
      <c r="D12" s="24" t="s">
        <v>381</v>
      </c>
      <c r="E12" s="51" t="s">
        <v>383</v>
      </c>
      <c r="F12" s="51"/>
      <c r="G12" s="51"/>
      <c r="H12" s="51"/>
      <c r="I12" s="51"/>
      <c r="J12" s="51"/>
      <c r="K12" s="51"/>
    </row>
    <row r="13" spans="1:13" hidden="1">
      <c r="B13" s="4" t="s">
        <v>6</v>
      </c>
      <c r="C13" s="327">
        <v>100</v>
      </c>
    </row>
    <row r="14" spans="1:13" hidden="1">
      <c r="B14" s="4" t="s">
        <v>7</v>
      </c>
      <c r="C14" s="327">
        <v>300</v>
      </c>
    </row>
    <row r="16" spans="1:13">
      <c r="B16" s="5" t="s">
        <v>380</v>
      </c>
      <c r="C16" s="328">
        <v>300</v>
      </c>
      <c r="D16" s="24" t="s">
        <v>381</v>
      </c>
      <c r="E16" s="51" t="s">
        <v>384</v>
      </c>
      <c r="F16" s="51"/>
      <c r="G16" s="51"/>
      <c r="H16" s="51"/>
      <c r="I16" s="51"/>
      <c r="J16" s="51"/>
      <c r="K16" s="51"/>
      <c r="L16" s="51"/>
      <c r="M16" s="51"/>
    </row>
    <row r="17" spans="1:5" hidden="1">
      <c r="B17" s="4" t="s">
        <v>5</v>
      </c>
      <c r="C17" s="327">
        <v>100</v>
      </c>
    </row>
    <row r="18" spans="1:5" hidden="1">
      <c r="C18" s="327">
        <v>200</v>
      </c>
    </row>
    <row r="19" spans="1:5" hidden="1">
      <c r="C19" s="327">
        <v>300</v>
      </c>
    </row>
    <row r="21" spans="1:5">
      <c r="B21" s="5" t="s">
        <v>385</v>
      </c>
      <c r="C21" s="330">
        <v>100</v>
      </c>
      <c r="D21" s="24" t="s">
        <v>381</v>
      </c>
      <c r="E21" s="326" t="s">
        <v>386</v>
      </c>
    </row>
    <row r="23" spans="1:5">
      <c r="B23" s="5" t="s">
        <v>387</v>
      </c>
      <c r="C23" s="54">
        <v>100</v>
      </c>
      <c r="D23" s="24" t="s">
        <v>381</v>
      </c>
      <c r="E23" s="326" t="s">
        <v>388</v>
      </c>
    </row>
    <row r="25" spans="1:5">
      <c r="B25" s="5" t="s">
        <v>389</v>
      </c>
      <c r="C25" s="329">
        <v>100</v>
      </c>
      <c r="D25" s="24" t="s">
        <v>390</v>
      </c>
      <c r="E25" s="326" t="s">
        <v>391</v>
      </c>
    </row>
    <row r="27" spans="1:5">
      <c r="B27" s="5" t="s">
        <v>392</v>
      </c>
      <c r="C27" s="331">
        <v>100</v>
      </c>
      <c r="D27" s="24" t="s">
        <v>390</v>
      </c>
      <c r="E27" s="326" t="s">
        <v>393</v>
      </c>
    </row>
    <row r="29" spans="1:5">
      <c r="B29" s="5" t="s">
        <v>394</v>
      </c>
      <c r="C29" s="63">
        <v>100</v>
      </c>
      <c r="D29" s="24" t="s">
        <v>390</v>
      </c>
      <c r="E29" s="326" t="s">
        <v>395</v>
      </c>
    </row>
    <row r="31" spans="1:5" ht="18">
      <c r="A31" s="8" t="s">
        <v>396</v>
      </c>
    </row>
    <row r="32" spans="1:5">
      <c r="A32" s="45" t="s">
        <v>397</v>
      </c>
      <c r="B32" s="44"/>
      <c r="C32" s="44"/>
      <c r="D32" s="44"/>
      <c r="E32" s="44"/>
    </row>
    <row r="33" spans="1:11">
      <c r="A33" s="24" t="s">
        <v>398</v>
      </c>
    </row>
    <row r="35" spans="1:11">
      <c r="B35" s="5" t="s">
        <v>399</v>
      </c>
      <c r="C35" s="332">
        <v>100</v>
      </c>
      <c r="D35" s="24" t="s">
        <v>390</v>
      </c>
      <c r="E35" s="326" t="s">
        <v>400</v>
      </c>
    </row>
    <row r="36" spans="1:11">
      <c r="C36" s="332"/>
    </row>
    <row r="37" spans="1:11">
      <c r="B37" s="5" t="s">
        <v>10</v>
      </c>
      <c r="C37" s="67">
        <v>123.45</v>
      </c>
      <c r="E37" s="326" t="s">
        <v>401</v>
      </c>
    </row>
    <row r="39" spans="1:11">
      <c r="B39" s="5" t="s">
        <v>402</v>
      </c>
      <c r="C39" s="64">
        <v>0</v>
      </c>
      <c r="D39" s="24" t="s">
        <v>390</v>
      </c>
      <c r="E39" s="326" t="s">
        <v>403</v>
      </c>
      <c r="F39" s="51"/>
      <c r="G39" s="51"/>
      <c r="H39" s="51"/>
      <c r="I39" s="51"/>
      <c r="J39" s="51"/>
      <c r="K39" s="51"/>
    </row>
    <row r="41" spans="1:11">
      <c r="B41" s="5" t="s">
        <v>402</v>
      </c>
      <c r="C41" s="64">
        <v>0.1</v>
      </c>
      <c r="D41" s="24" t="s">
        <v>390</v>
      </c>
      <c r="E41" s="51" t="s">
        <v>404</v>
      </c>
      <c r="F41" s="51"/>
      <c r="G41" s="51"/>
      <c r="H41" s="51"/>
      <c r="I41" s="51"/>
      <c r="J41" s="51"/>
      <c r="K41" s="51"/>
    </row>
    <row r="43" spans="1:11">
      <c r="B43" s="5" t="s">
        <v>405</v>
      </c>
      <c r="C43" s="333">
        <v>100</v>
      </c>
      <c r="E43" s="326" t="s">
        <v>406</v>
      </c>
    </row>
    <row r="45" spans="1:11">
      <c r="B45" s="5" t="s">
        <v>407</v>
      </c>
      <c r="C45" s="40" t="s">
        <v>407</v>
      </c>
      <c r="D45" s="24" t="s">
        <v>390</v>
      </c>
      <c r="E45" s="326" t="s">
        <v>408</v>
      </c>
    </row>
    <row r="47" spans="1:11">
      <c r="B47" s="5" t="s">
        <v>409</v>
      </c>
      <c r="C47" s="41" t="s">
        <v>409</v>
      </c>
      <c r="E47" s="326" t="s">
        <v>410</v>
      </c>
    </row>
    <row r="49" spans="1:10" ht="10.5" customHeight="1">
      <c r="B49" s="5" t="s">
        <v>411</v>
      </c>
      <c r="C49" s="15">
        <v>100</v>
      </c>
      <c r="E49" s="326" t="s">
        <v>412</v>
      </c>
    </row>
    <row r="50" spans="1:10">
      <c r="B50" s="5"/>
    </row>
    <row r="51" spans="1:10">
      <c r="B51" s="5" t="s">
        <v>413</v>
      </c>
      <c r="C51" s="52">
        <v>100</v>
      </c>
      <c r="E51" s="326" t="s">
        <v>414</v>
      </c>
    </row>
    <row r="53" spans="1:10" ht="18">
      <c r="A53" s="8" t="s">
        <v>415</v>
      </c>
    </row>
    <row r="54" spans="1:10">
      <c r="A54" s="45" t="s">
        <v>416</v>
      </c>
      <c r="B54" s="44"/>
      <c r="C54" s="44"/>
      <c r="D54" s="44"/>
      <c r="E54" s="44"/>
    </row>
    <row r="55" spans="1:10">
      <c r="A55" s="24" t="s">
        <v>417</v>
      </c>
    </row>
    <row r="56" spans="1:10">
      <c r="A56" s="24" t="s">
        <v>418</v>
      </c>
    </row>
    <row r="58" spans="1:10" ht="24">
      <c r="B58" s="340"/>
      <c r="C58" s="340" t="s">
        <v>419</v>
      </c>
      <c r="D58" s="340" t="s">
        <v>420</v>
      </c>
      <c r="E58" s="340" t="s">
        <v>421</v>
      </c>
      <c r="F58" s="340" t="s">
        <v>422</v>
      </c>
      <c r="G58" s="340" t="s">
        <v>423</v>
      </c>
      <c r="H58" s="340" t="s">
        <v>424</v>
      </c>
      <c r="I58" s="340" t="s">
        <v>425</v>
      </c>
      <c r="J58" s="340" t="s">
        <v>421</v>
      </c>
    </row>
    <row r="59" spans="1:10">
      <c r="B59" s="5" t="s">
        <v>426</v>
      </c>
      <c r="C59" s="327">
        <v>1234.56</v>
      </c>
      <c r="D59" s="16">
        <v>123.45</v>
      </c>
      <c r="E59" s="49">
        <v>0.1234</v>
      </c>
      <c r="F59" s="50">
        <v>0.1234</v>
      </c>
      <c r="G59" s="17">
        <v>1234.56</v>
      </c>
      <c r="H59" s="18">
        <v>123.45</v>
      </c>
      <c r="I59" s="47">
        <v>1234.56</v>
      </c>
      <c r="J59" s="48">
        <v>0.1234</v>
      </c>
    </row>
    <row r="60" spans="1:10">
      <c r="B60" s="5" t="s">
        <v>427</v>
      </c>
      <c r="C60" s="327">
        <v>-1234.56</v>
      </c>
      <c r="D60" s="16">
        <v>-123.45</v>
      </c>
      <c r="E60" s="49">
        <v>-0.1234</v>
      </c>
      <c r="F60" s="50">
        <v>-0.1234</v>
      </c>
      <c r="G60" s="17">
        <v>-1234.56</v>
      </c>
      <c r="H60" s="18">
        <v>-123.45</v>
      </c>
      <c r="I60" s="47">
        <v>-1234.56</v>
      </c>
      <c r="J60" s="48">
        <v>-0.1234</v>
      </c>
    </row>
    <row r="61" spans="1:10">
      <c r="B61" s="5" t="s">
        <v>428</v>
      </c>
      <c r="C61" s="327">
        <v>0</v>
      </c>
      <c r="D61" s="16">
        <v>0</v>
      </c>
      <c r="E61" s="49">
        <v>0</v>
      </c>
      <c r="F61" s="50">
        <v>0</v>
      </c>
      <c r="G61" s="17">
        <v>0</v>
      </c>
      <c r="H61" s="18">
        <v>0</v>
      </c>
      <c r="I61" s="47">
        <v>0</v>
      </c>
      <c r="J61" s="48">
        <v>0</v>
      </c>
    </row>
    <row r="62" spans="1:10" ht="12.75" thickBot="1">
      <c r="B62" s="5" t="s">
        <v>429</v>
      </c>
      <c r="C62" s="327" t="s">
        <v>429</v>
      </c>
      <c r="D62" s="16" t="s">
        <v>429</v>
      </c>
      <c r="E62" s="49" t="s">
        <v>429</v>
      </c>
      <c r="F62" s="50" t="s">
        <v>429</v>
      </c>
      <c r="G62" s="17" t="s">
        <v>429</v>
      </c>
      <c r="H62" s="18" t="s">
        <v>429</v>
      </c>
      <c r="I62" s="47" t="s">
        <v>429</v>
      </c>
      <c r="J62" s="48" t="s">
        <v>429</v>
      </c>
    </row>
    <row r="63" spans="1:10">
      <c r="B63" s="39"/>
      <c r="C63" s="39"/>
      <c r="D63" s="39"/>
      <c r="E63" s="39"/>
      <c r="F63" s="39"/>
      <c r="G63" s="39"/>
      <c r="H63" s="39"/>
      <c r="I63" s="39"/>
      <c r="J63" s="39"/>
    </row>
    <row r="64" spans="1:10" ht="24">
      <c r="B64" s="340"/>
      <c r="C64" s="340" t="s">
        <v>430</v>
      </c>
      <c r="D64" s="340" t="s">
        <v>431</v>
      </c>
      <c r="E64" s="340" t="s">
        <v>432</v>
      </c>
      <c r="F64" s="340" t="s">
        <v>433</v>
      </c>
    </row>
    <row r="65" spans="2:6">
      <c r="B65" s="5" t="s">
        <v>426</v>
      </c>
      <c r="C65" s="21">
        <v>1234.56</v>
      </c>
      <c r="D65" s="22">
        <v>123.45</v>
      </c>
      <c r="E65" s="19">
        <v>1234.56</v>
      </c>
      <c r="F65" s="20">
        <v>123.45</v>
      </c>
    </row>
    <row r="66" spans="2:6">
      <c r="B66" s="5" t="s">
        <v>427</v>
      </c>
      <c r="C66" s="21">
        <v>-1234.56</v>
      </c>
      <c r="D66" s="22">
        <v>-123.45</v>
      </c>
      <c r="E66" s="19">
        <v>-1234.56</v>
      </c>
      <c r="F66" s="20">
        <v>-123.45</v>
      </c>
    </row>
    <row r="67" spans="2:6">
      <c r="B67" s="5" t="s">
        <v>428</v>
      </c>
      <c r="C67" s="21">
        <v>0</v>
      </c>
      <c r="D67" s="22">
        <v>0</v>
      </c>
      <c r="E67" s="19">
        <v>0</v>
      </c>
      <c r="F67" s="20">
        <v>0</v>
      </c>
    </row>
    <row r="68" spans="2:6" ht="12.75" thickBot="1">
      <c r="B68" s="5" t="s">
        <v>429</v>
      </c>
      <c r="C68" s="21" t="s">
        <v>429</v>
      </c>
      <c r="D68" s="22" t="s">
        <v>429</v>
      </c>
      <c r="E68" s="19" t="s">
        <v>429</v>
      </c>
      <c r="F68" s="20" t="s">
        <v>429</v>
      </c>
    </row>
    <row r="69" spans="2:6">
      <c r="B69" s="39"/>
      <c r="C69" s="39"/>
      <c r="D69" s="39"/>
      <c r="E69" s="39"/>
      <c r="F69" s="39"/>
    </row>
    <row r="70" spans="2:6" ht="24">
      <c r="B70" s="340"/>
      <c r="C70" s="340" t="s">
        <v>434</v>
      </c>
      <c r="D70" s="340" t="s">
        <v>435</v>
      </c>
      <c r="E70" s="340" t="s">
        <v>436</v>
      </c>
      <c r="F70" s="340" t="s">
        <v>437</v>
      </c>
    </row>
    <row r="71" spans="2:6">
      <c r="B71" s="5" t="s">
        <v>426</v>
      </c>
      <c r="C71" s="27">
        <v>1234.56</v>
      </c>
      <c r="D71" s="28">
        <v>123.45</v>
      </c>
      <c r="E71" s="25">
        <v>1234.56</v>
      </c>
      <c r="F71" s="26">
        <v>123.45</v>
      </c>
    </row>
    <row r="72" spans="2:6">
      <c r="B72" s="5" t="s">
        <v>427</v>
      </c>
      <c r="C72" s="27">
        <v>-1234.56</v>
      </c>
      <c r="D72" s="28">
        <v>-123.45</v>
      </c>
      <c r="E72" s="25">
        <v>-1234.56</v>
      </c>
      <c r="F72" s="26">
        <v>-123.45</v>
      </c>
    </row>
    <row r="73" spans="2:6">
      <c r="B73" s="5" t="s">
        <v>428</v>
      </c>
      <c r="C73" s="27">
        <v>0</v>
      </c>
      <c r="D73" s="28">
        <v>0</v>
      </c>
      <c r="E73" s="25">
        <v>0</v>
      </c>
      <c r="F73" s="26">
        <v>0</v>
      </c>
    </row>
    <row r="74" spans="2:6" ht="12.75" thickBot="1">
      <c r="B74" s="5" t="s">
        <v>429</v>
      </c>
      <c r="C74" s="27" t="s">
        <v>429</v>
      </c>
      <c r="D74" s="28" t="s">
        <v>429</v>
      </c>
      <c r="E74" s="25" t="s">
        <v>429</v>
      </c>
      <c r="F74" s="26" t="s">
        <v>429</v>
      </c>
    </row>
    <row r="75" spans="2:6">
      <c r="B75" s="39"/>
      <c r="C75" s="39"/>
      <c r="D75" s="39"/>
      <c r="E75" s="39"/>
      <c r="F75" s="39"/>
    </row>
    <row r="76" spans="2:6" ht="24">
      <c r="B76" s="340"/>
      <c r="C76" s="340" t="s">
        <v>438</v>
      </c>
      <c r="D76" s="340" t="s">
        <v>439</v>
      </c>
      <c r="E76" s="340" t="s">
        <v>440</v>
      </c>
      <c r="F76" s="340" t="s">
        <v>441</v>
      </c>
    </row>
    <row r="77" spans="2:6">
      <c r="B77" s="5" t="s">
        <v>426</v>
      </c>
      <c r="C77" s="31">
        <v>1234.56</v>
      </c>
      <c r="D77" s="32">
        <v>123.45</v>
      </c>
      <c r="E77" s="29">
        <v>1234.56</v>
      </c>
      <c r="F77" s="30">
        <v>123.45</v>
      </c>
    </row>
    <row r="78" spans="2:6">
      <c r="B78" s="5" t="s">
        <v>427</v>
      </c>
      <c r="C78" s="31">
        <v>-1234.56</v>
      </c>
      <c r="D78" s="32">
        <v>-123.45</v>
      </c>
      <c r="E78" s="29">
        <v>-1234.56</v>
      </c>
      <c r="F78" s="30">
        <v>-123.45</v>
      </c>
    </row>
    <row r="79" spans="2:6">
      <c r="B79" s="5" t="s">
        <v>428</v>
      </c>
      <c r="C79" s="31">
        <v>0</v>
      </c>
      <c r="D79" s="32">
        <v>0</v>
      </c>
      <c r="E79" s="29">
        <v>0</v>
      </c>
      <c r="F79" s="30">
        <v>0</v>
      </c>
    </row>
    <row r="80" spans="2:6" ht="12.75" thickBot="1">
      <c r="B80" s="5" t="s">
        <v>429</v>
      </c>
      <c r="C80" s="31" t="s">
        <v>429</v>
      </c>
      <c r="D80" s="32" t="s">
        <v>429</v>
      </c>
      <c r="E80" s="29" t="s">
        <v>429</v>
      </c>
      <c r="F80" s="30" t="s">
        <v>429</v>
      </c>
    </row>
    <row r="81" spans="1:6">
      <c r="B81" s="39"/>
      <c r="C81" s="39"/>
      <c r="D81" s="39"/>
      <c r="E81" s="39"/>
      <c r="F81" s="39"/>
    </row>
    <row r="82" spans="1:6">
      <c r="B82" s="340"/>
      <c r="C82" s="340" t="s">
        <v>442</v>
      </c>
      <c r="D82" s="340" t="s">
        <v>443</v>
      </c>
      <c r="E82" s="340" t="s">
        <v>444</v>
      </c>
    </row>
    <row r="83" spans="1:6" ht="12.75" thickBot="1">
      <c r="B83" s="5" t="s">
        <v>442</v>
      </c>
      <c r="C83" s="23">
        <v>37591</v>
      </c>
      <c r="D83" s="69">
        <v>37591</v>
      </c>
      <c r="E83" s="33">
        <v>37591</v>
      </c>
    </row>
    <row r="84" spans="1:6">
      <c r="B84" s="39"/>
      <c r="C84" s="39"/>
      <c r="D84" s="39"/>
      <c r="E84" s="39"/>
    </row>
    <row r="85" spans="1:6" ht="18">
      <c r="A85" s="8" t="s">
        <v>445</v>
      </c>
    </row>
    <row r="86" spans="1:6">
      <c r="A86" s="45" t="s">
        <v>446</v>
      </c>
      <c r="B86" s="44"/>
      <c r="C86" s="44"/>
      <c r="D86" s="44"/>
      <c r="E86" s="44"/>
    </row>
    <row r="87" spans="1:6">
      <c r="A87" s="24" t="s">
        <v>398</v>
      </c>
    </row>
    <row r="89" spans="1:6" ht="23.25">
      <c r="B89" s="42" t="s">
        <v>1</v>
      </c>
      <c r="C89" s="42" t="s">
        <v>447</v>
      </c>
      <c r="E89" s="326" t="s">
        <v>448</v>
      </c>
    </row>
    <row r="91" spans="1:6" ht="18">
      <c r="B91" s="8" t="s">
        <v>2</v>
      </c>
      <c r="C91" s="8" t="s">
        <v>447</v>
      </c>
      <c r="E91" s="326" t="s">
        <v>449</v>
      </c>
    </row>
    <row r="93" spans="1:6" ht="15.75">
      <c r="B93" s="35" t="s">
        <v>3</v>
      </c>
      <c r="C93" s="35" t="s">
        <v>447</v>
      </c>
      <c r="E93" s="326" t="s">
        <v>450</v>
      </c>
    </row>
    <row r="95" spans="1:6">
      <c r="B95" s="172" t="s">
        <v>4</v>
      </c>
      <c r="C95" s="172" t="s">
        <v>447</v>
      </c>
      <c r="E95" s="326" t="s">
        <v>451</v>
      </c>
    </row>
    <row r="97" spans="1:7" ht="18">
      <c r="A97" s="8" t="s">
        <v>452</v>
      </c>
    </row>
    <row r="98" spans="1:7">
      <c r="A98" s="45" t="s">
        <v>453</v>
      </c>
      <c r="B98" s="44"/>
      <c r="C98" s="44"/>
      <c r="D98" s="44"/>
      <c r="E98" s="44"/>
    </row>
    <row r="99" spans="1:7">
      <c r="A99" s="24" t="s">
        <v>454</v>
      </c>
    </row>
    <row r="101" spans="1:7" ht="15.75">
      <c r="A101" s="35" t="s">
        <v>455</v>
      </c>
    </row>
    <row r="102" spans="1:7" ht="24">
      <c r="B102" s="65" t="s">
        <v>456</v>
      </c>
      <c r="C102" s="340" t="s">
        <v>457</v>
      </c>
      <c r="D102" s="340" t="s">
        <v>457</v>
      </c>
      <c r="E102" s="340" t="s">
        <v>457</v>
      </c>
      <c r="F102" s="340" t="s">
        <v>457</v>
      </c>
    </row>
    <row r="103" spans="1:7">
      <c r="B103" s="5" t="s">
        <v>458</v>
      </c>
    </row>
    <row r="104" spans="1:7">
      <c r="B104" s="5" t="s">
        <v>458</v>
      </c>
    </row>
    <row r="105" spans="1:7" ht="12.75" thickBot="1">
      <c r="B105" s="5" t="s">
        <v>458</v>
      </c>
    </row>
    <row r="106" spans="1:7">
      <c r="B106" s="39" t="s">
        <v>459</v>
      </c>
      <c r="C106" s="39"/>
      <c r="D106" s="39"/>
      <c r="E106" s="39"/>
      <c r="F106" s="39"/>
    </row>
    <row r="108" spans="1:7" ht="15.75">
      <c r="A108" s="35" t="s">
        <v>460</v>
      </c>
    </row>
    <row r="109" spans="1:7">
      <c r="B109" s="65"/>
      <c r="C109" s="68"/>
      <c r="D109" s="68" t="s">
        <v>461</v>
      </c>
      <c r="E109" s="68"/>
      <c r="F109" s="68" t="s">
        <v>462</v>
      </c>
      <c r="G109" s="68"/>
    </row>
    <row r="110" spans="1:7" ht="36">
      <c r="B110" s="65" t="s">
        <v>456</v>
      </c>
      <c r="C110" s="342" t="s">
        <v>463</v>
      </c>
      <c r="D110" s="340" t="s">
        <v>457</v>
      </c>
      <c r="E110" s="340" t="s">
        <v>457</v>
      </c>
      <c r="F110" s="340" t="s">
        <v>457</v>
      </c>
      <c r="G110" s="340" t="s">
        <v>457</v>
      </c>
    </row>
    <row r="111" spans="1:7">
      <c r="B111" s="5" t="s">
        <v>458</v>
      </c>
      <c r="D111" s="53" t="s">
        <v>464</v>
      </c>
      <c r="E111" s="53"/>
      <c r="F111" s="38" t="s">
        <v>465</v>
      </c>
      <c r="G111" s="38"/>
    </row>
    <row r="112" spans="1:7" ht="12.75" thickBot="1">
      <c r="B112" s="343" t="s">
        <v>466</v>
      </c>
      <c r="D112" s="53"/>
      <c r="E112" s="53"/>
      <c r="F112" s="38"/>
      <c r="G112" s="38"/>
    </row>
    <row r="113" spans="1:9" ht="12.75" thickBot="1">
      <c r="B113" s="7" t="s">
        <v>467</v>
      </c>
      <c r="C113" s="36"/>
      <c r="D113" s="36"/>
      <c r="E113" s="36"/>
      <c r="F113" s="59"/>
      <c r="G113" s="59"/>
    </row>
    <row r="114" spans="1:9">
      <c r="B114" s="6" t="s">
        <v>468</v>
      </c>
      <c r="C114" s="37"/>
      <c r="D114" s="37"/>
      <c r="E114" s="37"/>
      <c r="F114" s="37"/>
      <c r="G114" s="37"/>
    </row>
    <row r="117" spans="1:9" ht="23.25">
      <c r="A117" s="42" t="s">
        <v>469</v>
      </c>
    </row>
    <row r="118" spans="1:9">
      <c r="A118" s="24" t="s">
        <v>470</v>
      </c>
    </row>
    <row r="120" spans="1:9" ht="15.75">
      <c r="A120" s="35" t="s">
        <v>471</v>
      </c>
    </row>
    <row r="121" spans="1:9">
      <c r="B121" s="65" t="s">
        <v>472</v>
      </c>
      <c r="C121" s="342" t="s">
        <v>473</v>
      </c>
      <c r="D121" s="342" t="s">
        <v>233</v>
      </c>
      <c r="E121" s="340">
        <v>2000</v>
      </c>
      <c r="F121" s="340">
        <v>2001</v>
      </c>
      <c r="G121" s="340">
        <v>2002</v>
      </c>
      <c r="H121" s="340">
        <v>2003</v>
      </c>
      <c r="I121" s="334" t="s">
        <v>474</v>
      </c>
    </row>
    <row r="122" spans="1:9">
      <c r="B122" s="5" t="s">
        <v>9</v>
      </c>
      <c r="C122" s="326" t="s">
        <v>475</v>
      </c>
      <c r="D122" s="24" t="s">
        <v>476</v>
      </c>
      <c r="E122" s="330">
        <v>1000000</v>
      </c>
      <c r="F122" s="329">
        <f t="shared" ref="F122:G124" si="0">E122+($H122-$E122)/3</f>
        <v>1000000</v>
      </c>
      <c r="G122" s="329">
        <f t="shared" si="0"/>
        <v>1000000</v>
      </c>
      <c r="H122" s="328">
        <v>1000000</v>
      </c>
    </row>
    <row r="123" spans="1:9">
      <c r="B123" s="5" t="s">
        <v>8</v>
      </c>
      <c r="C123" s="326" t="s">
        <v>475</v>
      </c>
      <c r="D123" s="24" t="s">
        <v>476</v>
      </c>
      <c r="E123" s="330">
        <v>100000</v>
      </c>
      <c r="F123" s="329">
        <f t="shared" si="0"/>
        <v>133333.33333333334</v>
      </c>
      <c r="G123" s="329">
        <f t="shared" si="0"/>
        <v>166666.66666666669</v>
      </c>
      <c r="H123" s="328">
        <v>200000</v>
      </c>
    </row>
    <row r="124" spans="1:9">
      <c r="B124" s="5" t="s">
        <v>477</v>
      </c>
      <c r="C124" s="326" t="s">
        <v>475</v>
      </c>
      <c r="D124" s="24" t="s">
        <v>476</v>
      </c>
      <c r="E124" s="54">
        <v>50000</v>
      </c>
      <c r="F124" s="329">
        <f t="shared" si="0"/>
        <v>100000</v>
      </c>
      <c r="G124" s="329">
        <f t="shared" si="0"/>
        <v>150000</v>
      </c>
      <c r="H124" s="328">
        <v>200000</v>
      </c>
    </row>
    <row r="125" spans="1:9">
      <c r="B125" s="6" t="s">
        <v>10</v>
      </c>
      <c r="C125" s="37" t="s">
        <v>475</v>
      </c>
      <c r="D125" s="37"/>
      <c r="E125" s="56">
        <f>SUM(E122:E124)</f>
        <v>1150000</v>
      </c>
      <c r="F125" s="56">
        <f>SUM(F122:F124)</f>
        <v>1233333.3333333333</v>
      </c>
      <c r="G125" s="56">
        <f>SUM(G122:G124)</f>
        <v>1316666.6666666667</v>
      </c>
      <c r="H125" s="56">
        <f>SUM(H122:H124)</f>
        <v>1400000</v>
      </c>
    </row>
    <row r="126" spans="1:9">
      <c r="B126" s="152"/>
      <c r="D126" s="152"/>
      <c r="E126" s="152"/>
      <c r="F126" s="152"/>
      <c r="G126" s="152"/>
    </row>
    <row r="127" spans="1:9" ht="15.75">
      <c r="A127" s="35" t="s">
        <v>471</v>
      </c>
    </row>
    <row r="128" spans="1:9">
      <c r="B128" s="65" t="s">
        <v>472</v>
      </c>
      <c r="C128" s="342" t="s">
        <v>473</v>
      </c>
      <c r="D128" s="342" t="s">
        <v>233</v>
      </c>
      <c r="E128" s="340">
        <v>2000</v>
      </c>
      <c r="F128" s="340">
        <v>2001</v>
      </c>
      <c r="G128" s="340">
        <v>2002</v>
      </c>
      <c r="H128" s="340">
        <v>2003</v>
      </c>
    </row>
    <row r="129" spans="1:9">
      <c r="B129" s="5" t="s">
        <v>9</v>
      </c>
      <c r="C129" s="326" t="s">
        <v>475</v>
      </c>
      <c r="D129" s="24" t="s">
        <v>478</v>
      </c>
      <c r="E129" s="331">
        <f t="array" ref="E129:H131">$E$122:$H$124</f>
        <v>1000000</v>
      </c>
      <c r="F129" s="331">
        <v>1000000</v>
      </c>
      <c r="G129" s="331">
        <v>1000000</v>
      </c>
      <c r="H129" s="331">
        <v>1000000</v>
      </c>
    </row>
    <row r="130" spans="1:9">
      <c r="B130" s="5" t="s">
        <v>8</v>
      </c>
      <c r="C130" s="326" t="s">
        <v>475</v>
      </c>
      <c r="D130" s="24" t="s">
        <v>478</v>
      </c>
      <c r="E130" s="331">
        <v>100000</v>
      </c>
      <c r="F130" s="331">
        <v>133333.33333333334</v>
      </c>
      <c r="G130" s="331">
        <v>166666.66666666669</v>
      </c>
      <c r="H130" s="331">
        <v>200000</v>
      </c>
    </row>
    <row r="131" spans="1:9">
      <c r="B131" s="5" t="s">
        <v>477</v>
      </c>
      <c r="C131" s="326" t="s">
        <v>475</v>
      </c>
      <c r="D131" s="24" t="s">
        <v>479</v>
      </c>
      <c r="E131" s="66">
        <v>50000</v>
      </c>
      <c r="F131" s="66">
        <v>100000</v>
      </c>
      <c r="G131" s="66">
        <v>150000</v>
      </c>
      <c r="H131" s="66">
        <v>200000</v>
      </c>
    </row>
    <row r="132" spans="1:9">
      <c r="B132" s="6" t="s">
        <v>10</v>
      </c>
      <c r="C132" s="37" t="s">
        <v>475</v>
      </c>
      <c r="D132" s="37"/>
      <c r="E132" s="56">
        <f>SUM(E129:E131)</f>
        <v>1150000</v>
      </c>
      <c r="F132" s="56">
        <f>SUM(F129:F131)</f>
        <v>1233333.3333333333</v>
      </c>
      <c r="G132" s="56">
        <f>SUM(G129:G131)</f>
        <v>1316666.6666666667</v>
      </c>
      <c r="H132" s="56">
        <f>SUM(H129:H131)</f>
        <v>1400000</v>
      </c>
    </row>
    <row r="133" spans="1:9">
      <c r="B133" s="152"/>
      <c r="C133" s="152"/>
      <c r="D133" s="152"/>
      <c r="E133" s="152"/>
      <c r="F133" s="152"/>
      <c r="G133" s="152"/>
    </row>
    <row r="135" spans="1:9" ht="15.75">
      <c r="A135" s="35" t="s">
        <v>480</v>
      </c>
    </row>
    <row r="136" spans="1:9">
      <c r="B136" s="65" t="s">
        <v>472</v>
      </c>
      <c r="C136" s="342" t="s">
        <v>473</v>
      </c>
      <c r="D136" s="342" t="s">
        <v>233</v>
      </c>
      <c r="E136" s="340">
        <v>2000</v>
      </c>
      <c r="F136" s="340">
        <v>2001</v>
      </c>
      <c r="G136" s="340">
        <v>2002</v>
      </c>
      <c r="H136" s="340">
        <v>2003</v>
      </c>
    </row>
    <row r="137" spans="1:9">
      <c r="B137" s="5" t="s">
        <v>9</v>
      </c>
      <c r="C137" s="326" t="s">
        <v>475</v>
      </c>
      <c r="D137" s="24"/>
      <c r="E137" s="327"/>
      <c r="F137" s="332">
        <f t="shared" ref="F137:H139" si="1">(F129+E129)/2</f>
        <v>1000000</v>
      </c>
      <c r="G137" s="332">
        <f t="shared" si="1"/>
        <v>1000000</v>
      </c>
      <c r="H137" s="332">
        <f t="shared" si="1"/>
        <v>1000000</v>
      </c>
    </row>
    <row r="138" spans="1:9">
      <c r="B138" s="5" t="s">
        <v>8</v>
      </c>
      <c r="C138" s="326" t="s">
        <v>475</v>
      </c>
      <c r="D138" s="24"/>
      <c r="E138" s="327"/>
      <c r="F138" s="332">
        <f t="shared" si="1"/>
        <v>116666.66666666667</v>
      </c>
      <c r="G138" s="332">
        <f t="shared" si="1"/>
        <v>150000</v>
      </c>
      <c r="H138" s="332">
        <f t="shared" si="1"/>
        <v>183333.33333333334</v>
      </c>
    </row>
    <row r="139" spans="1:9">
      <c r="B139" s="5" t="s">
        <v>477</v>
      </c>
      <c r="C139" s="326" t="s">
        <v>475</v>
      </c>
      <c r="D139" s="24"/>
      <c r="E139" s="327"/>
      <c r="F139" s="332">
        <f t="shared" si="1"/>
        <v>75000</v>
      </c>
      <c r="G139" s="332">
        <f t="shared" si="1"/>
        <v>125000</v>
      </c>
      <c r="H139" s="332">
        <f t="shared" si="1"/>
        <v>175000</v>
      </c>
    </row>
    <row r="140" spans="1:9">
      <c r="B140" s="61" t="s">
        <v>10</v>
      </c>
      <c r="C140" s="70" t="s">
        <v>475</v>
      </c>
      <c r="D140" s="70"/>
      <c r="E140" s="60"/>
      <c r="F140" s="60">
        <f>SUM(F137:F139)</f>
        <v>1191666.6666666667</v>
      </c>
      <c r="G140" s="60">
        <f>SUM(G137:G139)</f>
        <v>1275000</v>
      </c>
      <c r="H140" s="60">
        <f>SUM(H137:H139)</f>
        <v>1358333.3333333333</v>
      </c>
      <c r="I140" s="334" t="s">
        <v>481</v>
      </c>
    </row>
    <row r="141" spans="1:9">
      <c r="B141" s="152"/>
      <c r="C141" s="152"/>
      <c r="D141" s="152"/>
      <c r="E141" s="152"/>
      <c r="F141" s="152"/>
    </row>
  </sheetData>
  <conditionalFormatting sqref="C41">
    <cfRule type="cellIs" dxfId="0" priority="1" stopIfTrue="1" operator="notEqual">
      <formula>0</formula>
    </cfRule>
  </conditionalFormatting>
  <dataValidations count="2">
    <dataValidation type="decimal" showInputMessage="1" showErrorMessage="1" errorTitle="Input Parameter" error="Value must lie between 100 and 300" promptTitle="Input Parameter" prompt="Value must lie between 100 and 300"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C13</formula1>
      <formula2>C14</formula2>
    </dataValidation>
    <dataValidation type="list" showInputMessage="1" showErrorMessage="1" errorTitle="Input Parameter" error="Please select value from list" promptTitle="Input Parameter" prompt="Select from list"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17"/>
  <sheetViews>
    <sheetView showGridLines="0" defaultGridColor="0" colorId="22" zoomScaleNormal="100" workbookViewId="0">
      <pane ySplit="1" topLeftCell="A2" activePane="bottomLeft" state="frozen"/>
      <selection pane="bottomLeft" activeCell="C32" sqref="C32"/>
    </sheetView>
  </sheetViews>
  <sheetFormatPr baseColWidth="10" defaultColWidth="12.7109375" defaultRowHeight="12"/>
  <cols>
    <col min="1" max="1" width="6.7109375" customWidth="1"/>
  </cols>
  <sheetData>
    <row r="1" spans="2:12" s="75" customFormat="1" ht="33.75" customHeight="1">
      <c r="D1" s="80" t="s">
        <v>33</v>
      </c>
      <c r="L1" s="75" t="s">
        <v>20</v>
      </c>
    </row>
    <row r="3" spans="2:12" s="105" customFormat="1">
      <c r="B3" s="151" t="s">
        <v>227</v>
      </c>
      <c r="C3" s="150"/>
      <c r="D3" s="151" t="s">
        <v>228</v>
      </c>
    </row>
    <row r="4" spans="2:12">
      <c r="B4" s="1" t="s">
        <v>34</v>
      </c>
      <c r="D4" s="1" t="s">
        <v>226</v>
      </c>
    </row>
    <row r="5" spans="2:12">
      <c r="B5" s="81">
        <v>2008</v>
      </c>
      <c r="D5" s="129">
        <v>0.16</v>
      </c>
      <c r="F5" s="11">
        <v>12</v>
      </c>
      <c r="G5" s="43" t="s">
        <v>197</v>
      </c>
    </row>
    <row r="6" spans="2:12">
      <c r="B6" s="82">
        <f>B5+1</f>
        <v>2009</v>
      </c>
      <c r="D6" s="43" t="s">
        <v>190</v>
      </c>
    </row>
    <row r="7" spans="2:12">
      <c r="B7" s="82">
        <f t="shared" ref="B7:B16" si="0">B6+1</f>
        <v>2010</v>
      </c>
    </row>
    <row r="8" spans="2:12">
      <c r="B8" s="82">
        <f t="shared" si="0"/>
        <v>2011</v>
      </c>
    </row>
    <row r="9" spans="2:12">
      <c r="B9" s="82">
        <f t="shared" si="0"/>
        <v>2012</v>
      </c>
    </row>
    <row r="10" spans="2:12">
      <c r="B10" s="82">
        <f t="shared" si="0"/>
        <v>2013</v>
      </c>
    </row>
    <row r="11" spans="2:12" s="105" customFormat="1">
      <c r="B11" s="82">
        <f t="shared" si="0"/>
        <v>2014</v>
      </c>
    </row>
    <row r="12" spans="2:12" s="105" customFormat="1">
      <c r="B12" s="82">
        <f t="shared" si="0"/>
        <v>2015</v>
      </c>
    </row>
    <row r="13" spans="2:12">
      <c r="B13" s="82">
        <f t="shared" si="0"/>
        <v>2016</v>
      </c>
    </row>
    <row r="14" spans="2:12">
      <c r="B14" s="82">
        <f t="shared" si="0"/>
        <v>2017</v>
      </c>
    </row>
    <row r="15" spans="2:12">
      <c r="B15" s="82">
        <f t="shared" si="0"/>
        <v>2018</v>
      </c>
    </row>
    <row r="16" spans="2:12">
      <c r="B16" s="82">
        <f t="shared" si="0"/>
        <v>2019</v>
      </c>
    </row>
    <row r="17" spans="2:2">
      <c r="B17" s="43" t="s">
        <v>34</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O41"/>
  <sheetViews>
    <sheetView showGridLines="0" tabSelected="1" defaultGridColor="0" colorId="22" zoomScaleNormal="100" workbookViewId="0">
      <pane ySplit="1" topLeftCell="A8" activePane="bottomLeft" state="frozen"/>
      <selection pane="bottomLeft"/>
    </sheetView>
  </sheetViews>
  <sheetFormatPr baseColWidth="10" defaultColWidth="12.7109375" defaultRowHeight="12"/>
  <cols>
    <col min="1" max="1" width="6.7109375" style="105" customWidth="1"/>
    <col min="2" max="2" width="12.7109375" style="105"/>
    <col min="3" max="3" width="42.140625" style="105" customWidth="1"/>
    <col min="4" max="4" width="24.42578125" style="105" bestFit="1" customWidth="1"/>
    <col min="5" max="8" width="12.7109375" style="105"/>
    <col min="9" max="9" width="42.5703125" style="105" bestFit="1" customWidth="1"/>
    <col min="10" max="10" width="12.7109375" style="105"/>
    <col min="11" max="11" width="12.85546875" style="105" customWidth="1"/>
    <col min="12" max="16384" width="12.7109375" style="105"/>
  </cols>
  <sheetData>
    <row r="1" spans="2:12" s="106" customFormat="1" ht="33.75" customHeight="1">
      <c r="D1" s="108" t="s">
        <v>70</v>
      </c>
      <c r="L1" s="106" t="s">
        <v>20</v>
      </c>
    </row>
    <row r="3" spans="2:12">
      <c r="B3" s="336" t="s">
        <v>699</v>
      </c>
    </row>
    <row r="4" spans="2:12">
      <c r="B4" s="157" t="s">
        <v>700</v>
      </c>
    </row>
    <row r="5" spans="2:12">
      <c r="C5" s="326" t="s">
        <v>676</v>
      </c>
    </row>
    <row r="6" spans="2:12">
      <c r="C6" s="142" t="s">
        <v>677</v>
      </c>
    </row>
    <row r="7" spans="2:12">
      <c r="D7" s="502">
        <v>2</v>
      </c>
      <c r="E7" s="334" t="s">
        <v>678</v>
      </c>
    </row>
    <row r="9" spans="2:12">
      <c r="B9" s="466" t="s">
        <v>716</v>
      </c>
      <c r="C9" s="326"/>
      <c r="D9" s="326"/>
      <c r="E9" s="326"/>
    </row>
    <row r="10" spans="2:12">
      <c r="B10" s="467" t="s">
        <v>717</v>
      </c>
      <c r="C10" s="326"/>
      <c r="D10" s="503">
        <v>0.6</v>
      </c>
      <c r="E10" s="334" t="s">
        <v>718</v>
      </c>
    </row>
    <row r="13" spans="2:12">
      <c r="B13" s="336" t="s">
        <v>739</v>
      </c>
    </row>
    <row r="14" spans="2:12">
      <c r="B14" s="157" t="s">
        <v>740</v>
      </c>
    </row>
    <row r="15" spans="2:12">
      <c r="C15"/>
      <c r="D15" s="155" t="s">
        <v>795</v>
      </c>
      <c r="E15" s="334" t="s">
        <v>701</v>
      </c>
    </row>
    <row r="16" spans="2:12">
      <c r="D16" s="347" t="s">
        <v>561</v>
      </c>
      <c r="E16" s="334" t="s">
        <v>703</v>
      </c>
      <c r="H16" s="158"/>
    </row>
    <row r="17" spans="2:12">
      <c r="D17" s="347" t="s">
        <v>795</v>
      </c>
      <c r="E17" s="334" t="s">
        <v>704</v>
      </c>
    </row>
    <row r="19" spans="2:12" s="326" customFormat="1"/>
    <row r="20" spans="2:12">
      <c r="B20" s="336" t="s">
        <v>796</v>
      </c>
      <c r="J20"/>
    </row>
    <row r="21" spans="2:12" ht="24">
      <c r="B21" s="157" t="s">
        <v>797</v>
      </c>
      <c r="I21" s="340" t="s">
        <v>705</v>
      </c>
      <c r="J21" s="340" t="s">
        <v>772</v>
      </c>
      <c r="K21" s="340" t="s">
        <v>713</v>
      </c>
    </row>
    <row r="22" spans="2:12" customFormat="1">
      <c r="D22" s="472">
        <f>SUM(Broadband.subscribers.supuesto)</f>
        <v>1</v>
      </c>
      <c r="I22" s="94" t="s">
        <v>528</v>
      </c>
      <c r="J22" s="498" t="e">
        <f>Mercado!L134/Mercado!L128</f>
        <v>#DIV/0!</v>
      </c>
      <c r="K22" s="498">
        <f>D27+D28</f>
        <v>0.19</v>
      </c>
      <c r="L22" s="105"/>
    </row>
    <row r="23" spans="2:12">
      <c r="C23" s="335" t="str">
        <f t="array" ref="C23:C34">Broadband.plans</f>
        <v>Paquete Acerques (5 Mbps)</v>
      </c>
      <c r="D23" s="501">
        <v>0.45</v>
      </c>
      <c r="I23" s="94" t="s">
        <v>529</v>
      </c>
      <c r="J23" s="499" t="e">
        <f>J22</f>
        <v>#DIV/0!</v>
      </c>
      <c r="K23" s="499">
        <f>K22</f>
        <v>0.19</v>
      </c>
    </row>
    <row r="24" spans="2:12">
      <c r="C24" s="335" t="str">
        <v>Paquete Conectes (3 Mbps)</v>
      </c>
      <c r="D24" s="501">
        <v>1.4999999999999999E-2</v>
      </c>
      <c r="K24" s="326"/>
    </row>
    <row r="25" spans="2:12" ht="24">
      <c r="C25" s="335" t="str">
        <v>Paquete Conectes Frontera (3 Mbps)</v>
      </c>
      <c r="D25" s="501">
        <v>1.4999999999999999E-2</v>
      </c>
      <c r="I25" s="340" t="s">
        <v>706</v>
      </c>
      <c r="J25" s="340" t="s">
        <v>772</v>
      </c>
      <c r="K25" s="340" t="s">
        <v>713</v>
      </c>
    </row>
    <row r="26" spans="2:12">
      <c r="C26" s="335" t="str">
        <v>Paquete Conectes Negocio (3 Mbps)</v>
      </c>
      <c r="D26" s="501">
        <v>0.01</v>
      </c>
      <c r="I26" s="94" t="s">
        <v>526</v>
      </c>
      <c r="J26" s="500">
        <f>'Inputs de conexiones'!J105/SUM('Inputs de conexiones'!J$105:J$107)</f>
        <v>5.6658938787531386E-2</v>
      </c>
      <c r="K26" s="500">
        <f>SUM(D24:D26)+D29</f>
        <v>5.5E-2</v>
      </c>
    </row>
    <row r="27" spans="2:12">
      <c r="C27" s="335" t="str">
        <v>Infinitum 10 Mb</v>
      </c>
      <c r="D27" s="501">
        <v>0.01</v>
      </c>
      <c r="I27" s="94" t="s">
        <v>603</v>
      </c>
      <c r="J27" s="500">
        <f t="array" ref="J27:K29">J26:K26</f>
        <v>5.6658938787531386E-2</v>
      </c>
      <c r="K27" s="500">
        <v>5.5E-2</v>
      </c>
    </row>
    <row r="28" spans="2:12">
      <c r="C28" s="335" t="str">
        <v>Infinitum 5 Mb</v>
      </c>
      <c r="D28" s="501">
        <v>0.18</v>
      </c>
      <c r="I28" s="94" t="s">
        <v>527</v>
      </c>
      <c r="J28" s="500">
        <v>5.6658938787531386E-2</v>
      </c>
      <c r="K28" s="500">
        <v>5.5E-2</v>
      </c>
    </row>
    <row r="29" spans="2:12">
      <c r="C29" s="354" t="str">
        <v>Paquete Mi Negocio (3 Mbps)</v>
      </c>
      <c r="D29" s="501">
        <v>1.4999999999999999E-2</v>
      </c>
      <c r="I29" s="94" t="s">
        <v>530</v>
      </c>
      <c r="J29" s="500">
        <v>5.6658938787531386E-2</v>
      </c>
      <c r="K29" s="500">
        <v>5.5E-2</v>
      </c>
    </row>
    <row r="30" spans="2:12">
      <c r="C30" s="354" t="str">
        <v>Paquete SuperNegocio (5 Mbps)</v>
      </c>
      <c r="D30" s="501">
        <v>0.12</v>
      </c>
      <c r="K30" s="326"/>
    </row>
    <row r="31" spans="2:12" ht="24">
      <c r="C31" s="354" t="str">
        <v>Paquete Telmex Negocio Sin Límites 1 (10 Mbps)</v>
      </c>
      <c r="D31" s="501">
        <v>0.08</v>
      </c>
      <c r="I31" s="340" t="s">
        <v>707</v>
      </c>
      <c r="J31" s="340" t="s">
        <v>772</v>
      </c>
      <c r="K31" s="340" t="s">
        <v>713</v>
      </c>
    </row>
    <row r="32" spans="2:12">
      <c r="C32" s="354" t="str">
        <v>Paquete Telmex Negocio Sin Límites 2 (10 Mbps)</v>
      </c>
      <c r="D32" s="501">
        <v>0.05</v>
      </c>
      <c r="I32" s="94" t="s">
        <v>602</v>
      </c>
      <c r="J32" s="498">
        <f>'Inputs de conexiones'!J106/SUM('Inputs de conexiones'!J$105:J$107)</f>
        <v>0.74077371004646708</v>
      </c>
      <c r="K32" s="498">
        <f>D23+D28+D30</f>
        <v>0.75</v>
      </c>
    </row>
    <row r="33" spans="3:15">
      <c r="C33" s="354" t="str">
        <v>Paquete Telmex Negocio Sin Límites 3 (10 Mbps)</v>
      </c>
      <c r="D33" s="501">
        <v>2.5000000000000001E-2</v>
      </c>
      <c r="I33" s="94" t="s">
        <v>529</v>
      </c>
      <c r="J33" s="500">
        <f t="array" ref="J33:K34">J32:K32</f>
        <v>0.74077371004646708</v>
      </c>
      <c r="K33" s="500">
        <v>0.75</v>
      </c>
    </row>
    <row r="34" spans="3:15">
      <c r="C34" s="354" t="str">
        <v>Paquete Telmex Todo México Sin Límites (10 Mbps)</v>
      </c>
      <c r="D34" s="501">
        <v>0.03</v>
      </c>
      <c r="I34" s="94" t="s">
        <v>531</v>
      </c>
      <c r="J34" s="500">
        <v>0.74077371004646708</v>
      </c>
      <c r="K34" s="500">
        <v>0.75</v>
      </c>
    </row>
    <row r="35" spans="3:15">
      <c r="D35" s="334" t="s">
        <v>719</v>
      </c>
      <c r="J35"/>
      <c r="K35" s="326"/>
      <c r="L35"/>
    </row>
    <row r="36" spans="3:15" ht="24">
      <c r="I36" s="340" t="s">
        <v>708</v>
      </c>
      <c r="J36" s="340" t="s">
        <v>772</v>
      </c>
      <c r="K36" s="340" t="s">
        <v>713</v>
      </c>
      <c r="L36"/>
    </row>
    <row r="37" spans="3:15">
      <c r="I37" s="94" t="s">
        <v>528</v>
      </c>
      <c r="J37" s="500">
        <f>'Inputs de conexiones'!J107/SUM('Inputs de conexiones'!J$105:J$107)</f>
        <v>0.20256735116600147</v>
      </c>
      <c r="K37" s="500">
        <f>D27+SUM(D31:D34)</f>
        <v>0.19500000000000001</v>
      </c>
    </row>
    <row r="38" spans="3:15">
      <c r="D38"/>
      <c r="E38"/>
      <c r="F38"/>
      <c r="G38"/>
      <c r="H38"/>
      <c r="I38" s="94" t="s">
        <v>532</v>
      </c>
      <c r="J38" s="500">
        <f t="array" ref="J38:K41">J37:K37</f>
        <v>0.20256735116600147</v>
      </c>
      <c r="K38" s="500">
        <v>0.19500000000000001</v>
      </c>
      <c r="M38"/>
      <c r="N38"/>
      <c r="O38"/>
    </row>
    <row r="39" spans="3:15">
      <c r="D39"/>
      <c r="E39"/>
      <c r="F39"/>
      <c r="G39"/>
      <c r="H39"/>
      <c r="I39" s="94" t="s">
        <v>533</v>
      </c>
      <c r="J39" s="500">
        <v>0.20256735116600147</v>
      </c>
      <c r="K39" s="500">
        <v>0.19500000000000001</v>
      </c>
      <c r="M39"/>
      <c r="N39"/>
      <c r="O39"/>
    </row>
    <row r="40" spans="3:15">
      <c r="I40" s="94" t="s">
        <v>534</v>
      </c>
      <c r="J40" s="500">
        <v>0.20256735116600147</v>
      </c>
      <c r="K40" s="500">
        <v>0.19500000000000001</v>
      </c>
    </row>
    <row r="41" spans="3:15">
      <c r="I41" s="94" t="s">
        <v>535</v>
      </c>
      <c r="J41" s="500">
        <v>0.20256735116600147</v>
      </c>
      <c r="K41" s="500">
        <v>0.19500000000000001</v>
      </c>
    </row>
  </sheetData>
  <dataValidations count="1">
    <dataValidation type="list" allowBlank="1" showInputMessage="1" showErrorMessage="1" sqref="D15">
      <formula1>$D$16:$D$17</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X115"/>
  <sheetViews>
    <sheetView showGridLines="0" defaultGridColor="0" colorId="22" zoomScale="80" zoomScaleNormal="80" workbookViewId="0">
      <pane ySplit="2" topLeftCell="A47" activePane="bottomLeft" state="frozen"/>
      <selection pane="bottomLeft" activeCell="L68" sqref="L68"/>
    </sheetView>
  </sheetViews>
  <sheetFormatPr baseColWidth="10" defaultColWidth="12.7109375" defaultRowHeight="12"/>
  <cols>
    <col min="1" max="1" width="6.7109375" customWidth="1"/>
    <col min="3" max="3" width="41.140625" customWidth="1"/>
    <col min="5" max="5" width="33.42578125" customWidth="1"/>
    <col min="7" max="7" width="18" customWidth="1"/>
  </cols>
  <sheetData>
    <row r="1" spans="1:24" s="72" customFormat="1" ht="33.75" customHeight="1">
      <c r="A1" s="72" t="s">
        <v>20</v>
      </c>
      <c r="D1" s="165" t="s">
        <v>245</v>
      </c>
    </row>
    <row r="2" spans="1:24" s="161" customFormat="1" ht="33.75" customHeight="1">
      <c r="D2" s="76" t="s">
        <v>124</v>
      </c>
    </row>
    <row r="4" spans="1:24" s="160" customFormat="1" ht="20.25" thickBot="1">
      <c r="A4" s="162" t="s">
        <v>243</v>
      </c>
      <c r="B4" s="162"/>
      <c r="C4" s="162"/>
      <c r="D4" s="162"/>
      <c r="E4" s="162"/>
    </row>
    <row r="5" spans="1:24" ht="21" thickTop="1" thickBot="1">
      <c r="A5" s="79" t="s">
        <v>23</v>
      </c>
      <c r="B5" s="79"/>
      <c r="C5" s="79"/>
      <c r="D5" s="79"/>
      <c r="E5" s="79"/>
      <c r="F5" s="79"/>
      <c r="G5" s="79"/>
      <c r="H5" s="79"/>
      <c r="I5" s="79"/>
      <c r="J5" s="79"/>
      <c r="K5" s="79"/>
      <c r="L5" s="79"/>
      <c r="M5" s="79"/>
      <c r="N5" s="79"/>
      <c r="O5" s="79"/>
      <c r="P5" s="79"/>
      <c r="Q5" s="153"/>
      <c r="R5" s="153"/>
      <c r="S5" s="153"/>
      <c r="T5" s="153"/>
      <c r="U5" s="153"/>
      <c r="V5" s="153"/>
      <c r="W5" s="153"/>
      <c r="X5" s="153"/>
    </row>
    <row r="6" spans="1:24" ht="12.75" thickTop="1"/>
    <row r="7" spans="1:24" s="326" customFormat="1" ht="17.25" thickBot="1">
      <c r="B7" s="198" t="s">
        <v>536</v>
      </c>
      <c r="C7" s="198"/>
    </row>
    <row r="8" spans="1:24" s="326" customFormat="1" ht="18" thickTop="1" thickBot="1">
      <c r="B8" s="198" t="s">
        <v>537</v>
      </c>
      <c r="C8" s="198"/>
      <c r="D8" s="198"/>
      <c r="E8" s="198"/>
      <c r="F8" s="198"/>
      <c r="G8" s="198"/>
      <c r="H8" s="198"/>
      <c r="I8" s="198"/>
      <c r="J8" s="198"/>
      <c r="K8" s="198"/>
      <c r="L8" s="198"/>
      <c r="M8" s="198"/>
      <c r="N8" s="198"/>
      <c r="O8" s="198"/>
      <c r="P8" s="198"/>
    </row>
    <row r="9" spans="1:24" s="326" customFormat="1" ht="12.75" thickTop="1"/>
    <row r="10" spans="1:24" s="326" customFormat="1">
      <c r="C10" s="340" t="s">
        <v>525</v>
      </c>
      <c r="D10" s="340">
        <f t="array" ref="D10:O10">TRANSPOSE(Years)</f>
        <v>2008</v>
      </c>
      <c r="E10" s="340">
        <v>2009</v>
      </c>
      <c r="F10" s="340">
        <v>2010</v>
      </c>
      <c r="G10" s="340">
        <v>2011</v>
      </c>
      <c r="H10" s="340">
        <v>2012</v>
      </c>
      <c r="I10" s="340">
        <v>2013</v>
      </c>
      <c r="J10" s="340">
        <v>2014</v>
      </c>
      <c r="K10" s="340">
        <v>2015</v>
      </c>
      <c r="L10" s="340">
        <v>2016</v>
      </c>
      <c r="M10" s="340">
        <v>2017</v>
      </c>
      <c r="N10" s="340">
        <v>2018</v>
      </c>
      <c r="O10" s="340">
        <v>2019</v>
      </c>
    </row>
    <row r="11" spans="1:24" s="326" customFormat="1">
      <c r="C11" s="347" t="s">
        <v>602</v>
      </c>
      <c r="E11" s="358">
        <f t="array" ref="E11:J22">'11'!E19:J30</f>
        <v>419.7808</v>
      </c>
      <c r="F11" s="358">
        <v>561.39359999999999</v>
      </c>
      <c r="G11" s="358">
        <v>556.33600000000001</v>
      </c>
      <c r="H11" s="358">
        <v>611.96960000000001</v>
      </c>
      <c r="I11" s="471">
        <v>440.01119999999997</v>
      </c>
      <c r="J11" s="358">
        <v>606.91199999999992</v>
      </c>
      <c r="K11"/>
      <c r="L11"/>
      <c r="M11"/>
      <c r="N11"/>
      <c r="O11"/>
    </row>
    <row r="12" spans="1:24" s="326" customFormat="1">
      <c r="C12" s="347" t="s">
        <v>526</v>
      </c>
      <c r="E12" s="358">
        <v>318.58679999999998</v>
      </c>
      <c r="F12" s="358">
        <v>341.57760000000002</v>
      </c>
      <c r="G12" s="358">
        <v>357.99960000000004</v>
      </c>
      <c r="H12" s="358">
        <v>387.55919999999998</v>
      </c>
      <c r="I12" s="471">
        <v>348.14640000000003</v>
      </c>
      <c r="J12" s="358">
        <v>400.6968</v>
      </c>
      <c r="K12"/>
      <c r="L12"/>
      <c r="M12"/>
      <c r="N12"/>
      <c r="O12"/>
    </row>
    <row r="13" spans="1:24" s="326" customFormat="1">
      <c r="C13" s="347" t="s">
        <v>603</v>
      </c>
      <c r="E13" s="358">
        <v>0</v>
      </c>
      <c r="F13" s="358">
        <v>0</v>
      </c>
      <c r="G13" s="358">
        <v>0</v>
      </c>
      <c r="H13" s="358">
        <v>252.89879999999999</v>
      </c>
      <c r="I13" s="471">
        <v>285.74279999999999</v>
      </c>
      <c r="J13" s="358">
        <v>344.86200000000002</v>
      </c>
      <c r="K13"/>
      <c r="L13"/>
      <c r="M13"/>
      <c r="N13"/>
      <c r="O13"/>
    </row>
    <row r="14" spans="1:24" s="326" customFormat="1">
      <c r="C14" s="347" t="s">
        <v>527</v>
      </c>
      <c r="E14" s="358">
        <v>0</v>
      </c>
      <c r="F14" s="358">
        <v>0</v>
      </c>
      <c r="G14" s="358">
        <v>272.88900000000001</v>
      </c>
      <c r="H14" s="358">
        <v>289.73399999999998</v>
      </c>
      <c r="I14" s="471">
        <v>404.28</v>
      </c>
      <c r="J14" s="358">
        <v>316.68599999999998</v>
      </c>
      <c r="K14"/>
      <c r="L14"/>
      <c r="M14"/>
      <c r="N14"/>
      <c r="O14"/>
    </row>
    <row r="15" spans="1:24" s="326" customFormat="1">
      <c r="C15" s="347" t="s">
        <v>528</v>
      </c>
      <c r="E15" s="358">
        <v>0</v>
      </c>
      <c r="F15" s="358">
        <v>0</v>
      </c>
      <c r="G15" s="358">
        <v>0</v>
      </c>
      <c r="H15" s="358">
        <v>395.75640000000004</v>
      </c>
      <c r="I15" s="471">
        <v>516.20399999999995</v>
      </c>
      <c r="J15" s="358">
        <v>524.80740000000003</v>
      </c>
      <c r="K15"/>
      <c r="L15"/>
      <c r="M15"/>
      <c r="N15"/>
      <c r="O15"/>
    </row>
    <row r="16" spans="1:24" s="326" customFormat="1">
      <c r="C16" s="347" t="s">
        <v>529</v>
      </c>
      <c r="E16" s="358">
        <v>0</v>
      </c>
      <c r="F16" s="358">
        <v>0</v>
      </c>
      <c r="G16" s="358">
        <v>0</v>
      </c>
      <c r="H16" s="358">
        <v>385.10344827586209</v>
      </c>
      <c r="I16" s="471">
        <v>288.82758620689657</v>
      </c>
      <c r="J16" s="358">
        <v>345.99137931034483</v>
      </c>
      <c r="K16"/>
      <c r="L16"/>
      <c r="M16"/>
      <c r="N16"/>
      <c r="O16"/>
    </row>
    <row r="17" spans="2:16" s="326" customFormat="1">
      <c r="C17" s="351" t="s">
        <v>530</v>
      </c>
      <c r="E17" s="358">
        <v>417.19499999999999</v>
      </c>
      <c r="F17" s="358">
        <v>343.02699999999999</v>
      </c>
      <c r="G17" s="358">
        <v>398.65300000000002</v>
      </c>
      <c r="H17" s="358">
        <v>398.65300000000002</v>
      </c>
      <c r="I17" s="471">
        <v>523.81149999999991</v>
      </c>
      <c r="J17" s="358">
        <v>528.447</v>
      </c>
      <c r="K17"/>
      <c r="L17"/>
      <c r="M17"/>
      <c r="N17"/>
      <c r="O17"/>
    </row>
    <row r="18" spans="2:16" s="326" customFormat="1">
      <c r="C18" s="351" t="s">
        <v>531</v>
      </c>
      <c r="E18" s="358">
        <v>748.85040000000004</v>
      </c>
      <c r="F18" s="358">
        <v>546.45839999999998</v>
      </c>
      <c r="G18" s="358">
        <v>586.93679999999995</v>
      </c>
      <c r="H18" s="358">
        <v>512.72640000000001</v>
      </c>
      <c r="I18" s="471">
        <v>735.35760000000005</v>
      </c>
      <c r="J18" s="358">
        <v>775.8359999999999</v>
      </c>
      <c r="K18"/>
      <c r="L18"/>
      <c r="M18"/>
      <c r="N18"/>
      <c r="O18"/>
    </row>
    <row r="19" spans="2:16" s="326" customFormat="1">
      <c r="C19" s="351" t="s">
        <v>532</v>
      </c>
      <c r="E19" s="358">
        <v>1072.7935</v>
      </c>
      <c r="F19" s="358">
        <v>1442.8524</v>
      </c>
      <c r="G19" s="358">
        <v>1645.3580000000002</v>
      </c>
      <c r="H19" s="358">
        <v>1442.8524</v>
      </c>
      <c r="I19" s="471">
        <v>1290.9732000000001</v>
      </c>
      <c r="J19" s="358">
        <v>999.87140000000011</v>
      </c>
      <c r="K19"/>
      <c r="L19"/>
      <c r="M19"/>
      <c r="N19"/>
      <c r="O19"/>
    </row>
    <row r="20" spans="2:16" s="326" customFormat="1">
      <c r="C20" s="351" t="s">
        <v>533</v>
      </c>
      <c r="E20" s="358">
        <v>1238.6919999999998</v>
      </c>
      <c r="F20" s="358">
        <v>1601.1512</v>
      </c>
      <c r="G20" s="358">
        <v>1857.9395999999999</v>
      </c>
      <c r="H20" s="358">
        <v>1480.3096</v>
      </c>
      <c r="I20" s="471">
        <v>1827.7292</v>
      </c>
      <c r="J20" s="358">
        <v>1706.8875999999998</v>
      </c>
      <c r="K20"/>
      <c r="L20"/>
      <c r="M20"/>
      <c r="N20"/>
      <c r="O20"/>
    </row>
    <row r="21" spans="2:16" s="326" customFormat="1">
      <c r="C21" s="351" t="s">
        <v>534</v>
      </c>
      <c r="E21" s="358">
        <v>2025.5340000000001</v>
      </c>
      <c r="F21" s="358">
        <v>1546.152</v>
      </c>
      <c r="G21" s="358">
        <v>1758.7479000000001</v>
      </c>
      <c r="H21" s="358">
        <v>2415.8625000000002</v>
      </c>
      <c r="I21" s="471">
        <v>2125.9590000000003</v>
      </c>
      <c r="J21" s="358">
        <v>1797.4017000000001</v>
      </c>
      <c r="K21"/>
      <c r="L21"/>
      <c r="M21"/>
      <c r="N21"/>
      <c r="O21"/>
    </row>
    <row r="22" spans="2:16" s="326" customFormat="1">
      <c r="C22" s="351" t="s">
        <v>535</v>
      </c>
      <c r="E22" s="358">
        <v>624.18999999999994</v>
      </c>
      <c r="F22" s="358">
        <v>995.32999999999993</v>
      </c>
      <c r="G22" s="358">
        <v>851.93500000000006</v>
      </c>
      <c r="H22" s="358">
        <v>1012.1999999999999</v>
      </c>
      <c r="I22" s="471">
        <v>1096.55</v>
      </c>
      <c r="J22" s="358">
        <v>936.28500000000008</v>
      </c>
      <c r="K22"/>
      <c r="L22"/>
      <c r="M22"/>
      <c r="N22"/>
      <c r="O22"/>
    </row>
    <row r="23" spans="2:16" s="326" customFormat="1">
      <c r="C23" s="334" t="s">
        <v>37</v>
      </c>
    </row>
    <row r="24" spans="2:16" s="326" customFormat="1"/>
    <row r="25" spans="2:16" s="326" customFormat="1" ht="17.25" thickBot="1">
      <c r="B25" s="198" t="s">
        <v>538</v>
      </c>
      <c r="C25" s="198"/>
      <c r="J25" s="327"/>
    </row>
    <row r="26" spans="2:16" s="326" customFormat="1" ht="18" thickTop="1" thickBot="1">
      <c r="B26" s="198" t="s">
        <v>539</v>
      </c>
      <c r="C26" s="198"/>
      <c r="D26" s="198"/>
      <c r="E26" s="198"/>
      <c r="F26" s="198"/>
      <c r="G26" s="198"/>
      <c r="H26" s="198"/>
      <c r="I26" s="198"/>
      <c r="J26" s="198"/>
      <c r="K26" s="198"/>
      <c r="L26" s="198"/>
      <c r="M26" s="198"/>
      <c r="N26" s="198"/>
      <c r="O26" s="198"/>
      <c r="P26" s="198"/>
    </row>
    <row r="27" spans="2:16" s="326" customFormat="1" ht="12.75" thickTop="1"/>
    <row r="28" spans="2:16" s="326" customFormat="1">
      <c r="C28" s="340" t="s">
        <v>525</v>
      </c>
      <c r="D28" s="340">
        <f t="array" ref="D28:O28">TRANSPOSE(Years)</f>
        <v>2008</v>
      </c>
      <c r="E28" s="340">
        <v>2009</v>
      </c>
      <c r="F28" s="340">
        <v>2010</v>
      </c>
      <c r="G28" s="340">
        <v>2011</v>
      </c>
      <c r="H28" s="340">
        <v>2012</v>
      </c>
      <c r="I28" s="340">
        <v>2013</v>
      </c>
      <c r="J28" s="340">
        <v>2014</v>
      </c>
      <c r="K28" s="340">
        <v>2015</v>
      </c>
      <c r="L28" s="340">
        <v>2016</v>
      </c>
      <c r="M28" s="340">
        <v>2017</v>
      </c>
      <c r="N28" s="340">
        <v>2018</v>
      </c>
      <c r="O28" s="340">
        <v>2019</v>
      </c>
    </row>
    <row r="29" spans="2:16" s="326" customFormat="1">
      <c r="C29" s="335" t="str">
        <f t="array" ref="C29:C40">Broadband.plans</f>
        <v>Paquete Acerques (5 Mbps)</v>
      </c>
      <c r="E29" s="358">
        <f t="array" ref="E29:J40">'11'!E39:J50</f>
        <v>1356</v>
      </c>
      <c r="F29" s="358">
        <v>1333.3999999999999</v>
      </c>
      <c r="G29" s="358">
        <v>1028.3</v>
      </c>
      <c r="H29" s="358">
        <v>1175.2</v>
      </c>
      <c r="I29" s="471">
        <v>1073.5</v>
      </c>
      <c r="J29" s="358">
        <v>994.4</v>
      </c>
    </row>
    <row r="30" spans="2:16" s="326" customFormat="1">
      <c r="C30" s="335" t="str">
        <v>Paquete Conectes (3 Mbps)</v>
      </c>
      <c r="E30" s="358">
        <v>1062.2</v>
      </c>
      <c r="F30" s="358">
        <v>1209.1000000000001</v>
      </c>
      <c r="G30" s="358">
        <v>1050.9000000000001</v>
      </c>
      <c r="H30" s="358">
        <v>1401.2</v>
      </c>
      <c r="I30" s="471">
        <v>1389.9</v>
      </c>
      <c r="J30" s="358">
        <v>1084.8</v>
      </c>
    </row>
    <row r="31" spans="2:16" s="326" customFormat="1">
      <c r="C31" s="335" t="str">
        <v>Paquete Conectes Frontera (3 Mbps)</v>
      </c>
      <c r="E31" s="358">
        <v>0</v>
      </c>
      <c r="F31" s="358">
        <v>0</v>
      </c>
      <c r="G31" s="358">
        <v>0</v>
      </c>
      <c r="H31" s="358">
        <v>1017</v>
      </c>
      <c r="I31" s="471">
        <v>983.1</v>
      </c>
      <c r="J31" s="358">
        <v>1457.7</v>
      </c>
    </row>
    <row r="32" spans="2:16" s="326" customFormat="1">
      <c r="C32" s="335" t="str">
        <v>Paquete Conectes Negocio (3 Mbps)</v>
      </c>
      <c r="E32" s="358">
        <v>0</v>
      </c>
      <c r="F32" s="358">
        <v>0</v>
      </c>
      <c r="G32" s="358">
        <v>1050.9000000000001</v>
      </c>
      <c r="H32" s="358">
        <v>892.7</v>
      </c>
      <c r="I32" s="471">
        <v>1254.3000000000002</v>
      </c>
      <c r="J32" s="358">
        <v>0</v>
      </c>
    </row>
    <row r="33" spans="1:16" s="326" customFormat="1">
      <c r="C33" s="335" t="str">
        <v>Infinitum 10 Mb</v>
      </c>
      <c r="E33" s="358">
        <v>0</v>
      </c>
      <c r="F33" s="358">
        <v>0</v>
      </c>
      <c r="G33" s="358">
        <v>0</v>
      </c>
      <c r="H33" s="358">
        <v>0</v>
      </c>
      <c r="I33" s="471">
        <v>0</v>
      </c>
      <c r="J33" s="358">
        <v>0</v>
      </c>
    </row>
    <row r="34" spans="1:16" s="326" customFormat="1">
      <c r="C34" s="335" t="str">
        <v>Infinitum 5 Mb</v>
      </c>
      <c r="E34" s="358">
        <v>0</v>
      </c>
      <c r="F34" s="358">
        <v>0</v>
      </c>
      <c r="G34" s="358">
        <v>0</v>
      </c>
      <c r="H34" s="358">
        <v>0</v>
      </c>
      <c r="I34" s="471">
        <v>0</v>
      </c>
      <c r="J34" s="358">
        <v>0</v>
      </c>
    </row>
    <row r="35" spans="1:16" s="326" customFormat="1">
      <c r="C35" s="354" t="str">
        <v>Paquete Mi Negocio (3 Mbps)</v>
      </c>
      <c r="E35" s="358">
        <v>1435.1</v>
      </c>
      <c r="F35" s="358">
        <v>960.5</v>
      </c>
      <c r="G35" s="358">
        <v>1378.6</v>
      </c>
      <c r="H35" s="358">
        <v>1322.1</v>
      </c>
      <c r="I35" s="471">
        <v>937.9</v>
      </c>
      <c r="J35" s="358">
        <v>1469</v>
      </c>
    </row>
    <row r="36" spans="1:16" s="326" customFormat="1">
      <c r="C36" s="354" t="str">
        <v>Paquete SuperNegocio (5 Mbps)</v>
      </c>
      <c r="E36" s="358">
        <v>1175.2</v>
      </c>
      <c r="F36" s="358">
        <v>1028.3</v>
      </c>
      <c r="G36" s="358">
        <v>1333.3999999999999</v>
      </c>
      <c r="H36" s="358">
        <v>971.8</v>
      </c>
      <c r="I36" s="471">
        <v>1073.5</v>
      </c>
      <c r="J36" s="358">
        <v>1050.9000000000001</v>
      </c>
    </row>
    <row r="37" spans="1:16" s="326" customFormat="1">
      <c r="C37" s="354" t="str">
        <v>Paquete Telmex Negocio Sin Límites 1 (10 Mbps)</v>
      </c>
      <c r="E37" s="358">
        <v>1265.6000000000001</v>
      </c>
      <c r="F37" s="358">
        <v>1231.7</v>
      </c>
      <c r="G37" s="358">
        <v>904</v>
      </c>
      <c r="H37" s="358">
        <v>1175.2</v>
      </c>
      <c r="I37" s="471">
        <v>1265.6000000000001</v>
      </c>
      <c r="J37" s="358">
        <v>1209.1000000000001</v>
      </c>
    </row>
    <row r="38" spans="1:16" s="326" customFormat="1">
      <c r="C38" s="354" t="str">
        <v>Paquete Telmex Negocio Sin Límites 2 (10 Mbps)</v>
      </c>
      <c r="E38" s="358">
        <v>1243</v>
      </c>
      <c r="F38" s="358">
        <v>1231.7</v>
      </c>
      <c r="G38" s="358">
        <v>836.2</v>
      </c>
      <c r="H38" s="358">
        <v>1220.4000000000001</v>
      </c>
      <c r="I38" s="471">
        <v>1265.6000000000001</v>
      </c>
      <c r="J38" s="358">
        <v>1412.5</v>
      </c>
    </row>
    <row r="39" spans="1:16" s="326" customFormat="1">
      <c r="C39" s="354" t="str">
        <v>Paquete Telmex Negocio Sin Límites 3 (10 Mbps)</v>
      </c>
      <c r="E39" s="358">
        <v>1322.1</v>
      </c>
      <c r="F39" s="358">
        <v>1175.2</v>
      </c>
      <c r="G39" s="358">
        <v>802.3</v>
      </c>
      <c r="H39" s="358">
        <v>870.1</v>
      </c>
      <c r="I39" s="471">
        <v>1243</v>
      </c>
      <c r="J39" s="358">
        <v>791</v>
      </c>
    </row>
    <row r="40" spans="1:16" s="326" customFormat="1">
      <c r="C40" s="354" t="str">
        <v>Paquete Telmex Todo México Sin Límites (10 Mbps)</v>
      </c>
      <c r="E40" s="358">
        <v>1005.7</v>
      </c>
      <c r="F40" s="358">
        <v>994.4</v>
      </c>
      <c r="G40" s="358">
        <v>1028.3</v>
      </c>
      <c r="H40" s="358">
        <v>1356</v>
      </c>
      <c r="I40" s="471">
        <v>1231.7</v>
      </c>
      <c r="J40" s="358">
        <v>892.7</v>
      </c>
    </row>
    <row r="41" spans="1:16" s="326" customFormat="1"/>
    <row r="42" spans="1:16" s="326" customFormat="1"/>
    <row r="43" spans="1:16" s="326" customFormat="1" ht="17.25" thickBot="1">
      <c r="B43" s="198" t="s">
        <v>556</v>
      </c>
      <c r="C43" s="198"/>
    </row>
    <row r="44" spans="1:16" s="326" customFormat="1" ht="18" thickTop="1" thickBot="1">
      <c r="B44" s="198" t="s">
        <v>555</v>
      </c>
      <c r="C44" s="198"/>
      <c r="D44" s="198"/>
      <c r="E44" s="198"/>
      <c r="F44" s="198"/>
      <c r="G44" s="198"/>
      <c r="H44" s="198"/>
      <c r="I44" s="198"/>
      <c r="J44" s="198"/>
      <c r="K44" s="198"/>
      <c r="L44" s="198"/>
      <c r="M44" s="198"/>
      <c r="N44" s="198"/>
      <c r="O44" s="198"/>
      <c r="P44" s="198"/>
    </row>
    <row r="45" spans="1:16" s="326" customFormat="1" ht="12.75" thickTop="1"/>
    <row r="46" spans="1:16" s="326" customFormat="1" ht="132">
      <c r="E46" s="144" t="s">
        <v>536</v>
      </c>
      <c r="F46" s="144" t="s">
        <v>538</v>
      </c>
      <c r="H46" s="144" t="s">
        <v>271</v>
      </c>
      <c r="J46" s="144" t="s">
        <v>487</v>
      </c>
      <c r="K46" s="144" t="s">
        <v>489</v>
      </c>
      <c r="L46" s="144" t="s">
        <v>491</v>
      </c>
      <c r="M46" s="144" t="s">
        <v>563</v>
      </c>
      <c r="O46" s="144" t="s">
        <v>231</v>
      </c>
      <c r="P46" s="144" t="s">
        <v>232</v>
      </c>
    </row>
    <row r="47" spans="1:16" s="326" customFormat="1" ht="60">
      <c r="C47" s="340" t="s">
        <v>525</v>
      </c>
      <c r="D47"/>
      <c r="E47" s="144" t="s">
        <v>537</v>
      </c>
      <c r="F47" s="144" t="s">
        <v>539</v>
      </c>
      <c r="H47" s="144" t="s">
        <v>29</v>
      </c>
      <c r="I47"/>
      <c r="J47" s="144" t="s">
        <v>488</v>
      </c>
      <c r="K47" s="144" t="s">
        <v>490</v>
      </c>
      <c r="L47" s="144" t="s">
        <v>492</v>
      </c>
      <c r="M47" s="144" t="s">
        <v>497</v>
      </c>
      <c r="N47"/>
      <c r="O47" s="144" t="s">
        <v>183</v>
      </c>
      <c r="P47" s="144" t="s">
        <v>184</v>
      </c>
    </row>
    <row r="48" spans="1:16" s="326" customFormat="1">
      <c r="A48"/>
      <c r="C48" s="335" t="str">
        <f t="array" ref="C48:C59">Broadband.plans</f>
        <v>Paquete Acerques (5 Mbps)</v>
      </c>
      <c r="E48" s="93">
        <f t="array" ref="E48:E59">I11:I22</f>
        <v>440.01119999999997</v>
      </c>
      <c r="F48" s="358">
        <f>I29</f>
        <v>1073.5</v>
      </c>
      <c r="H48" s="156">
        <f>$E$71</f>
        <v>156.55000000000001</v>
      </c>
      <c r="I48"/>
      <c r="J48" s="345" t="s">
        <v>557</v>
      </c>
      <c r="K48" s="360" t="s">
        <v>558</v>
      </c>
      <c r="L48" s="360" t="s">
        <v>558</v>
      </c>
      <c r="M48" s="345" t="s">
        <v>557</v>
      </c>
      <c r="O48" s="94" t="s">
        <v>234</v>
      </c>
      <c r="P48" s="330">
        <v>69</v>
      </c>
    </row>
    <row r="49" spans="1:24" s="326" customFormat="1">
      <c r="A49"/>
      <c r="C49" s="335" t="str">
        <v>Paquete Conectes (3 Mbps)</v>
      </c>
      <c r="E49" s="93">
        <v>348.14640000000003</v>
      </c>
      <c r="F49" s="358">
        <f>I30</f>
        <v>1389.9</v>
      </c>
      <c r="H49" s="156">
        <f>$E$71</f>
        <v>156.55000000000001</v>
      </c>
      <c r="I49"/>
      <c r="J49" s="330">
        <v>100</v>
      </c>
      <c r="K49" s="330">
        <v>200</v>
      </c>
      <c r="L49" s="360" t="s">
        <v>558</v>
      </c>
      <c r="M49" s="345" t="s">
        <v>557</v>
      </c>
      <c r="O49" s="94" t="s">
        <v>234</v>
      </c>
      <c r="P49" s="330">
        <v>69</v>
      </c>
    </row>
    <row r="50" spans="1:24" s="326" customFormat="1">
      <c r="C50" s="335" t="str">
        <v>Paquete Conectes Frontera (3 Mbps)</v>
      </c>
      <c r="E50" s="93">
        <v>285.74279999999999</v>
      </c>
      <c r="F50" s="358">
        <f>I31</f>
        <v>983.1</v>
      </c>
      <c r="H50" s="156">
        <f>$E$71</f>
        <v>156.55000000000001</v>
      </c>
      <c r="I50"/>
      <c r="J50" s="330">
        <v>100</v>
      </c>
      <c r="K50" s="330">
        <v>200</v>
      </c>
      <c r="L50" s="360" t="s">
        <v>558</v>
      </c>
      <c r="M50" s="345" t="s">
        <v>557</v>
      </c>
      <c r="O50" s="94" t="s">
        <v>234</v>
      </c>
      <c r="P50" s="330">
        <v>69</v>
      </c>
    </row>
    <row r="51" spans="1:24" s="326" customFormat="1">
      <c r="C51" s="335" t="str">
        <v>Paquete Conectes Negocio (3 Mbps)</v>
      </c>
      <c r="E51" s="93">
        <v>404.28</v>
      </c>
      <c r="F51" s="358">
        <f>I32</f>
        <v>1254.3000000000002</v>
      </c>
      <c r="H51" s="156">
        <f>$E$72</f>
        <v>198</v>
      </c>
      <c r="I51"/>
      <c r="J51" s="330">
        <v>30</v>
      </c>
      <c r="K51" s="330">
        <v>100</v>
      </c>
      <c r="L51" s="330">
        <v>0</v>
      </c>
      <c r="M51" s="330">
        <v>0</v>
      </c>
      <c r="N51" s="326" t="s">
        <v>559</v>
      </c>
      <c r="O51" s="347" t="s">
        <v>560</v>
      </c>
      <c r="P51" s="347" t="s">
        <v>561</v>
      </c>
    </row>
    <row r="52" spans="1:24" s="326" customFormat="1">
      <c r="C52" s="335" t="str">
        <v>Infinitum 10 Mb</v>
      </c>
      <c r="E52" s="93">
        <v>516.20399999999995</v>
      </c>
      <c r="F52" s="359">
        <f>RIGHT(I33,3)*1</f>
        <v>0</v>
      </c>
      <c r="H52" s="328">
        <v>0</v>
      </c>
      <c r="I52" s="338" t="s">
        <v>236</v>
      </c>
      <c r="J52" s="361">
        <v>0</v>
      </c>
      <c r="K52" s="361">
        <v>0</v>
      </c>
      <c r="L52" s="361">
        <v>0</v>
      </c>
      <c r="M52" s="361">
        <v>0</v>
      </c>
      <c r="O52" s="347" t="s">
        <v>560</v>
      </c>
      <c r="P52" s="347" t="s">
        <v>561</v>
      </c>
    </row>
    <row r="53" spans="1:24" s="326" customFormat="1">
      <c r="C53" s="335" t="str">
        <v>Infinitum 5 Mb</v>
      </c>
      <c r="E53" s="93">
        <v>288.82758620689657</v>
      </c>
      <c r="F53" s="359">
        <f>RIGHT(I34,3)*1</f>
        <v>0</v>
      </c>
      <c r="H53" s="328">
        <v>0</v>
      </c>
      <c r="I53" s="338" t="s">
        <v>236</v>
      </c>
      <c r="J53" s="361">
        <v>0</v>
      </c>
      <c r="K53" s="361">
        <v>0</v>
      </c>
      <c r="L53" s="361">
        <v>0</v>
      </c>
      <c r="M53" s="361">
        <v>0</v>
      </c>
      <c r="O53" s="347" t="s">
        <v>560</v>
      </c>
      <c r="P53" s="347" t="s">
        <v>561</v>
      </c>
    </row>
    <row r="54" spans="1:24" s="326" customFormat="1">
      <c r="C54" s="354" t="str">
        <v>Paquete Mi Negocio (3 Mbps)</v>
      </c>
      <c r="E54" s="93">
        <v>523.81149999999991</v>
      </c>
      <c r="F54" s="358">
        <f t="shared" ref="F54:F59" si="0">I35</f>
        <v>937.9</v>
      </c>
      <c r="H54" s="156">
        <f t="shared" ref="H54:H58" si="1">$E$72</f>
        <v>198</v>
      </c>
      <c r="I54"/>
      <c r="J54" s="330">
        <v>125</v>
      </c>
      <c r="K54" s="330">
        <v>100</v>
      </c>
      <c r="L54" s="330">
        <v>0</v>
      </c>
      <c r="M54" s="330">
        <v>0</v>
      </c>
      <c r="N54" s="326" t="s">
        <v>559</v>
      </c>
      <c r="O54" s="347" t="s">
        <v>560</v>
      </c>
      <c r="P54" s="347" t="s">
        <v>561</v>
      </c>
    </row>
    <row r="55" spans="1:24" s="326" customFormat="1">
      <c r="C55" s="354" t="str">
        <v>Paquete SuperNegocio (5 Mbps)</v>
      </c>
      <c r="E55" s="93">
        <v>735.35760000000005</v>
      </c>
      <c r="F55" s="358">
        <f t="shared" si="0"/>
        <v>1073.5</v>
      </c>
      <c r="H55" s="156">
        <f t="shared" si="1"/>
        <v>198</v>
      </c>
      <c r="I55"/>
      <c r="J55" s="330">
        <v>200</v>
      </c>
      <c r="K55" s="330">
        <v>100</v>
      </c>
      <c r="L55" s="330">
        <v>100</v>
      </c>
      <c r="M55" s="330">
        <v>0</v>
      </c>
      <c r="N55" s="326" t="s">
        <v>562</v>
      </c>
      <c r="O55" s="347" t="s">
        <v>560</v>
      </c>
      <c r="P55" s="347" t="s">
        <v>561</v>
      </c>
    </row>
    <row r="56" spans="1:24" s="326" customFormat="1">
      <c r="C56" s="354" t="str">
        <v>Paquete Telmex Negocio Sin Límites 1 (10 Mbps)</v>
      </c>
      <c r="E56" s="93">
        <v>1290.9732000000001</v>
      </c>
      <c r="F56" s="358">
        <f t="shared" si="0"/>
        <v>1265.6000000000001</v>
      </c>
      <c r="H56" s="156">
        <f t="shared" si="1"/>
        <v>198</v>
      </c>
      <c r="I56"/>
      <c r="J56" s="345" t="s">
        <v>557</v>
      </c>
      <c r="K56" s="327"/>
      <c r="L56" s="330">
        <v>300</v>
      </c>
      <c r="M56" s="330">
        <v>0</v>
      </c>
      <c r="N56" s="326" t="s">
        <v>562</v>
      </c>
      <c r="O56" s="347" t="s">
        <v>560</v>
      </c>
      <c r="P56" s="347" t="s">
        <v>561</v>
      </c>
    </row>
    <row r="57" spans="1:24" s="326" customFormat="1">
      <c r="C57" s="354" t="str">
        <v>Paquete Telmex Negocio Sin Límites 2 (10 Mbps)</v>
      </c>
      <c r="E57" s="93">
        <v>1827.7292</v>
      </c>
      <c r="F57" s="358">
        <f t="shared" si="0"/>
        <v>1265.6000000000001</v>
      </c>
      <c r="H57" s="156">
        <f t="shared" si="1"/>
        <v>198</v>
      </c>
      <c r="I57"/>
      <c r="J57" s="363" t="s">
        <v>580</v>
      </c>
      <c r="K57" s="363" t="s">
        <v>580</v>
      </c>
      <c r="L57" s="363" t="s">
        <v>580</v>
      </c>
      <c r="M57" s="363" t="s">
        <v>580</v>
      </c>
      <c r="O57" s="347" t="s">
        <v>560</v>
      </c>
      <c r="P57" s="347" t="s">
        <v>561</v>
      </c>
    </row>
    <row r="58" spans="1:24" s="326" customFormat="1">
      <c r="C58" s="354" t="str">
        <v>Paquete Telmex Negocio Sin Límites 3 (10 Mbps)</v>
      </c>
      <c r="E58" s="93">
        <v>2125.9590000000003</v>
      </c>
      <c r="F58" s="358">
        <f t="shared" si="0"/>
        <v>1243</v>
      </c>
      <c r="H58" s="156">
        <f t="shared" si="1"/>
        <v>198</v>
      </c>
      <c r="I58"/>
      <c r="J58" s="363" t="s">
        <v>580</v>
      </c>
      <c r="K58" s="363" t="s">
        <v>580</v>
      </c>
      <c r="L58" s="363" t="s">
        <v>580</v>
      </c>
      <c r="M58" s="363" t="s">
        <v>580</v>
      </c>
      <c r="O58" s="347" t="s">
        <v>560</v>
      </c>
      <c r="P58" s="347" t="s">
        <v>561</v>
      </c>
    </row>
    <row r="59" spans="1:24" s="326" customFormat="1">
      <c r="C59" s="354" t="str">
        <v>Paquete Telmex Todo México Sin Límites (10 Mbps)</v>
      </c>
      <c r="E59" s="93">
        <v>1096.55</v>
      </c>
      <c r="F59" s="358">
        <f t="shared" si="0"/>
        <v>1231.7</v>
      </c>
      <c r="H59" s="156">
        <f>$E$71</f>
        <v>156.55000000000001</v>
      </c>
      <c r="I59"/>
      <c r="J59" s="345" t="s">
        <v>557</v>
      </c>
      <c r="K59" s="360" t="s">
        <v>558</v>
      </c>
      <c r="L59" s="360" t="s">
        <v>558</v>
      </c>
      <c r="M59" s="345" t="s">
        <v>557</v>
      </c>
      <c r="O59" s="94" t="s">
        <v>234</v>
      </c>
      <c r="P59" s="330">
        <v>69</v>
      </c>
    </row>
    <row r="60" spans="1:24" s="326" customFormat="1">
      <c r="E60" s="334" t="s">
        <v>186</v>
      </c>
      <c r="H60" s="334" t="s">
        <v>199</v>
      </c>
      <c r="Q60" s="334" t="s">
        <v>566</v>
      </c>
    </row>
    <row r="61" spans="1:24" s="326" customFormat="1"/>
    <row r="62" spans="1:24" s="326" customFormat="1"/>
    <row r="63" spans="1:24" s="160" customFormat="1" ht="20.25" thickBot="1">
      <c r="A63" s="162" t="s">
        <v>244</v>
      </c>
      <c r="B63" s="162"/>
      <c r="C63" s="162"/>
    </row>
    <row r="64" spans="1:24" ht="21" thickTop="1" thickBot="1">
      <c r="A64" s="79" t="s">
        <v>29</v>
      </c>
      <c r="B64" s="79"/>
      <c r="C64" s="79"/>
      <c r="D64" s="79"/>
      <c r="E64" s="79"/>
      <c r="F64" s="79"/>
      <c r="G64" s="79"/>
      <c r="H64" s="79"/>
      <c r="I64" s="79"/>
      <c r="J64" s="79"/>
      <c r="K64" s="79"/>
      <c r="L64" s="79"/>
      <c r="M64" s="79"/>
      <c r="N64" s="79"/>
      <c r="O64" s="79"/>
      <c r="P64" s="79"/>
      <c r="Q64" s="153"/>
      <c r="R64" s="153"/>
      <c r="S64" s="153"/>
      <c r="T64" s="153"/>
      <c r="U64" s="153"/>
      <c r="V64" s="153"/>
      <c r="W64" s="153"/>
      <c r="X64" s="153"/>
    </row>
    <row r="65" spans="1:24" ht="12.75" thickTop="1"/>
    <row r="66" spans="1:24" s="154" customFormat="1" ht="36">
      <c r="C66" s="534" t="s">
        <v>238</v>
      </c>
      <c r="D66" s="533"/>
      <c r="E66" s="535" t="s">
        <v>239</v>
      </c>
      <c r="F66" s="533"/>
      <c r="G66" s="145" t="s">
        <v>240</v>
      </c>
    </row>
    <row r="67" spans="1:24" s="154" customFormat="1">
      <c r="C67" s="144" t="s">
        <v>241</v>
      </c>
      <c r="D67" s="144" t="s">
        <v>242</v>
      </c>
      <c r="E67" s="144" t="s">
        <v>241</v>
      </c>
      <c r="F67" s="144" t="s">
        <v>242</v>
      </c>
      <c r="G67" s="145"/>
    </row>
    <row r="68" spans="1:24" ht="36">
      <c r="C68" s="534" t="s">
        <v>26</v>
      </c>
      <c r="D68" s="533"/>
      <c r="E68" s="535" t="s">
        <v>27</v>
      </c>
      <c r="F68" s="533"/>
      <c r="G68" s="145" t="s">
        <v>28</v>
      </c>
    </row>
    <row r="69" spans="1:24" s="105" customFormat="1">
      <c r="C69" s="144" t="s">
        <v>191</v>
      </c>
      <c r="D69" s="144" t="s">
        <v>192</v>
      </c>
      <c r="E69" s="144" t="s">
        <v>191</v>
      </c>
      <c r="F69" s="144" t="s">
        <v>192</v>
      </c>
      <c r="G69" s="145"/>
    </row>
    <row r="70" spans="1:24">
      <c r="E70" s="334" t="s">
        <v>512</v>
      </c>
    </row>
    <row r="71" spans="1:24">
      <c r="B71" t="s">
        <v>141</v>
      </c>
      <c r="C71" s="346">
        <v>1130</v>
      </c>
      <c r="D71" s="346">
        <v>1310.8</v>
      </c>
      <c r="E71" s="346">
        <v>156.55000000000001</v>
      </c>
      <c r="F71" s="346">
        <v>187.05</v>
      </c>
      <c r="G71" s="94" t="s">
        <v>504</v>
      </c>
      <c r="I71" s="326"/>
    </row>
    <row r="72" spans="1:24" s="105" customFormat="1">
      <c r="B72" s="105" t="s">
        <v>142</v>
      </c>
      <c r="C72" s="346">
        <v>1130</v>
      </c>
      <c r="D72" s="346">
        <v>1310.8</v>
      </c>
      <c r="E72" s="346">
        <v>198</v>
      </c>
      <c r="F72" s="120">
        <v>236.57</v>
      </c>
      <c r="G72" s="94"/>
      <c r="H72" s="163" t="s">
        <v>230</v>
      </c>
      <c r="I72" s="326"/>
    </row>
    <row r="73" spans="1:24">
      <c r="C73" s="43" t="s">
        <v>193</v>
      </c>
      <c r="D73" s="43" t="s">
        <v>195</v>
      </c>
      <c r="E73" s="43" t="s">
        <v>777</v>
      </c>
      <c r="F73" s="43" t="s">
        <v>196</v>
      </c>
      <c r="H73" s="85" t="s">
        <v>180</v>
      </c>
      <c r="I73" s="326"/>
    </row>
    <row r="74" spans="1:24">
      <c r="E74" s="334" t="s">
        <v>194</v>
      </c>
    </row>
    <row r="77" spans="1:24" ht="20.25" thickBot="1">
      <c r="A77" s="214" t="s">
        <v>485</v>
      </c>
      <c r="B77" s="214"/>
      <c r="C77" s="214"/>
      <c r="D77" s="326"/>
      <c r="E77" s="326"/>
      <c r="F77" s="326"/>
      <c r="G77" s="326"/>
      <c r="H77" s="326"/>
      <c r="I77" s="326"/>
      <c r="J77" s="326"/>
      <c r="K77" s="326"/>
      <c r="L77" s="326"/>
      <c r="M77" s="326"/>
      <c r="N77" s="326"/>
      <c r="O77" s="326"/>
      <c r="P77" s="326"/>
      <c r="Q77" s="326"/>
      <c r="R77" s="326"/>
      <c r="S77" s="326"/>
      <c r="T77" s="326"/>
      <c r="U77" s="326"/>
      <c r="V77" s="326"/>
      <c r="W77" s="326"/>
      <c r="X77" s="326"/>
    </row>
    <row r="78" spans="1:24" ht="21" thickTop="1" thickBot="1">
      <c r="A78" s="214" t="s">
        <v>486</v>
      </c>
      <c r="B78" s="214"/>
      <c r="C78" s="214"/>
      <c r="D78" s="214"/>
      <c r="E78" s="214"/>
      <c r="F78" s="214"/>
      <c r="G78" s="214"/>
      <c r="H78" s="214"/>
      <c r="I78" s="214"/>
      <c r="J78" s="214"/>
      <c r="K78" s="214"/>
      <c r="L78" s="214"/>
      <c r="M78" s="214"/>
      <c r="N78" s="214"/>
      <c r="O78" s="214"/>
      <c r="P78" s="214"/>
      <c r="Q78" s="214"/>
      <c r="R78" s="214"/>
      <c r="S78" s="214"/>
      <c r="T78" s="214"/>
      <c r="U78" s="214"/>
      <c r="V78" s="214"/>
      <c r="W78" s="214"/>
      <c r="X78" s="214"/>
    </row>
    <row r="79" spans="1:24" ht="12.75" thickTop="1"/>
    <row r="80" spans="1:24">
      <c r="D80" s="163" t="s">
        <v>582</v>
      </c>
      <c r="E80" s="257"/>
    </row>
    <row r="81" spans="3:12" s="326" customFormat="1">
      <c r="D81" s="163" t="s">
        <v>583</v>
      </c>
      <c r="E81" s="257"/>
    </row>
    <row r="82" spans="3:12" ht="17.25" thickBot="1">
      <c r="C82" s="198" t="s">
        <v>581</v>
      </c>
      <c r="D82" s="198"/>
    </row>
    <row r="83" spans="3:12" ht="18" thickTop="1" thickBot="1">
      <c r="C83" s="198" t="s">
        <v>488</v>
      </c>
      <c r="D83" s="198"/>
      <c r="E83" s="198"/>
      <c r="F83" s="198"/>
      <c r="G83" s="198"/>
      <c r="H83" s="198"/>
      <c r="I83" s="198"/>
      <c r="J83" s="198"/>
      <c r="K83" s="198"/>
      <c r="L83" s="198"/>
    </row>
    <row r="84" spans="3:12" ht="12.75" thickTop="1">
      <c r="C84" s="326"/>
    </row>
    <row r="85" spans="3:12" s="326" customFormat="1" ht="36">
      <c r="D85" s="340" t="s">
        <v>485</v>
      </c>
      <c r="E85" s="340" t="s">
        <v>584</v>
      </c>
      <c r="F85" s="340" t="s">
        <v>586</v>
      </c>
    </row>
    <row r="86" spans="3:12" s="326" customFormat="1" ht="24">
      <c r="D86" s="340" t="s">
        <v>486</v>
      </c>
      <c r="E86" s="340" t="s">
        <v>585</v>
      </c>
      <c r="F86" s="340" t="s">
        <v>587</v>
      </c>
    </row>
    <row r="87" spans="3:12" s="326" customFormat="1">
      <c r="D87" s="330">
        <v>50</v>
      </c>
      <c r="E87" s="330">
        <v>49</v>
      </c>
    </row>
    <row r="88" spans="3:12" s="326" customFormat="1">
      <c r="D88" s="330">
        <v>100</v>
      </c>
      <c r="E88" s="330">
        <v>70</v>
      </c>
      <c r="F88" s="330">
        <v>100</v>
      </c>
      <c r="G88" s="326" t="s">
        <v>507</v>
      </c>
    </row>
    <row r="89" spans="3:12">
      <c r="C89" s="326"/>
      <c r="E89" s="334" t="s">
        <v>778</v>
      </c>
      <c r="F89" s="334" t="s">
        <v>780</v>
      </c>
    </row>
    <row r="90" spans="3:12">
      <c r="C90" s="326"/>
      <c r="E90" s="334" t="s">
        <v>779</v>
      </c>
    </row>
    <row r="91" spans="3:12" ht="17.25" thickBot="1">
      <c r="C91" s="198" t="s">
        <v>564</v>
      </c>
      <c r="D91" s="198"/>
    </row>
    <row r="92" spans="3:12" ht="18" thickTop="1" thickBot="1">
      <c r="C92" s="198" t="s">
        <v>565</v>
      </c>
      <c r="D92" s="198"/>
      <c r="E92" s="198"/>
      <c r="F92" s="198"/>
      <c r="G92" s="198"/>
      <c r="H92" s="198"/>
      <c r="I92" s="198"/>
      <c r="J92" s="198"/>
      <c r="K92" s="198"/>
      <c r="L92" s="198"/>
    </row>
    <row r="93" spans="3:12" ht="12.75" thickTop="1">
      <c r="C93" s="326"/>
    </row>
    <row r="94" spans="3:12" s="326" customFormat="1" ht="36">
      <c r="D94" s="340" t="s">
        <v>495</v>
      </c>
      <c r="E94" s="340" t="s">
        <v>584</v>
      </c>
      <c r="F94" s="340" t="s">
        <v>586</v>
      </c>
    </row>
    <row r="95" spans="3:12" s="326" customFormat="1" ht="24">
      <c r="D95" s="340" t="s">
        <v>496</v>
      </c>
      <c r="E95" s="340" t="s">
        <v>585</v>
      </c>
      <c r="F95" s="340" t="s">
        <v>587</v>
      </c>
      <c r="H95"/>
    </row>
    <row r="96" spans="3:12" s="326" customFormat="1">
      <c r="D96" s="330">
        <v>50</v>
      </c>
      <c r="E96"/>
      <c r="F96" s="345">
        <v>40</v>
      </c>
      <c r="H96"/>
    </row>
    <row r="97" spans="3:12" s="326" customFormat="1">
      <c r="D97" s="330">
        <v>100</v>
      </c>
      <c r="E97"/>
      <c r="F97" s="120">
        <v>119.48</v>
      </c>
      <c r="H97"/>
    </row>
    <row r="98" spans="3:12" s="326" customFormat="1">
      <c r="D98" s="330">
        <v>150</v>
      </c>
      <c r="E98" s="120">
        <v>119.48</v>
      </c>
      <c r="H98"/>
    </row>
    <row r="99" spans="3:12" s="326" customFormat="1">
      <c r="D99"/>
      <c r="E99"/>
      <c r="H99"/>
    </row>
    <row r="100" spans="3:12">
      <c r="C100" s="326"/>
    </row>
    <row r="101" spans="3:12" ht="17.25" thickBot="1">
      <c r="C101" s="198" t="s">
        <v>491</v>
      </c>
      <c r="D101" s="198"/>
      <c r="E101" s="198"/>
      <c r="F101" s="198"/>
    </row>
    <row r="102" spans="3:12" ht="18" thickTop="1" thickBot="1">
      <c r="C102" s="198" t="s">
        <v>492</v>
      </c>
      <c r="D102" s="198"/>
      <c r="E102" s="198"/>
      <c r="F102" s="198"/>
      <c r="G102" s="198"/>
      <c r="H102" s="198"/>
      <c r="I102" s="198"/>
      <c r="J102" s="198"/>
      <c r="K102" s="198"/>
      <c r="L102" s="198"/>
    </row>
    <row r="103" spans="3:12" ht="12.75" thickTop="1">
      <c r="C103" s="326"/>
    </row>
    <row r="104" spans="3:12" s="326" customFormat="1">
      <c r="D104" s="340" t="s">
        <v>495</v>
      </c>
      <c r="E104" s="340" t="s">
        <v>235</v>
      </c>
    </row>
    <row r="105" spans="3:12" s="326" customFormat="1">
      <c r="D105" s="340" t="s">
        <v>496</v>
      </c>
      <c r="E105" s="340" t="s">
        <v>494</v>
      </c>
      <c r="H105"/>
    </row>
    <row r="106" spans="3:12" s="326" customFormat="1">
      <c r="D106" s="345">
        <v>100</v>
      </c>
      <c r="E106" s="345">
        <v>179</v>
      </c>
      <c r="H106"/>
    </row>
    <row r="107" spans="3:12">
      <c r="C107" s="326"/>
      <c r="E107" s="334" t="s">
        <v>506</v>
      </c>
    </row>
    <row r="108" spans="3:12" s="326" customFormat="1">
      <c r="H108"/>
    </row>
    <row r="109" spans="3:12" ht="17.25" thickBot="1">
      <c r="C109" s="198" t="s">
        <v>493</v>
      </c>
      <c r="D109" s="198"/>
      <c r="E109" s="198"/>
      <c r="F109" s="198"/>
      <c r="G109" s="198"/>
      <c r="H109" s="198"/>
      <c r="I109" s="198"/>
    </row>
    <row r="110" spans="3:12" ht="18" thickTop="1" thickBot="1">
      <c r="C110" s="198" t="s">
        <v>497</v>
      </c>
      <c r="D110" s="198"/>
      <c r="E110" s="198"/>
      <c r="F110" s="198"/>
      <c r="G110" s="198"/>
      <c r="H110" s="198"/>
      <c r="I110" s="198"/>
      <c r="J110" s="198"/>
      <c r="K110" s="198"/>
      <c r="L110" s="198"/>
    </row>
    <row r="111" spans="3:12" ht="12.75" thickTop="1">
      <c r="C111" s="326"/>
    </row>
    <row r="112" spans="3:12">
      <c r="C112" s="326"/>
      <c r="D112" s="340" t="s">
        <v>495</v>
      </c>
      <c r="E112" s="340" t="s">
        <v>235</v>
      </c>
    </row>
    <row r="113" spans="3:5">
      <c r="C113" s="326"/>
      <c r="D113" s="340" t="s">
        <v>496</v>
      </c>
      <c r="E113" s="340" t="s">
        <v>494</v>
      </c>
    </row>
    <row r="114" spans="3:5">
      <c r="C114" s="326"/>
      <c r="D114" s="345">
        <v>50</v>
      </c>
      <c r="E114" s="345">
        <v>119</v>
      </c>
    </row>
    <row r="115" spans="3:5">
      <c r="C115" s="326"/>
      <c r="D115" s="345">
        <v>200</v>
      </c>
      <c r="E115" s="345">
        <v>299</v>
      </c>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K165"/>
  <sheetViews>
    <sheetView showGridLines="0" defaultGridColor="0" colorId="22" zoomScaleNormal="100" workbookViewId="0">
      <pane ySplit="2" topLeftCell="A63" activePane="bottomLeft" state="frozen"/>
      <selection pane="bottomLeft" activeCell="C84" sqref="C84"/>
    </sheetView>
  </sheetViews>
  <sheetFormatPr baseColWidth="10" defaultColWidth="12.7109375" defaultRowHeight="12"/>
  <cols>
    <col min="1" max="1" width="6.7109375" style="105" customWidth="1"/>
    <col min="2" max="2" width="12.7109375" style="105"/>
    <col min="3" max="3" width="19.140625" style="105" customWidth="1"/>
    <col min="4" max="4" width="29.5703125" style="105" customWidth="1"/>
    <col min="5" max="5" width="29.28515625" style="105" customWidth="1"/>
    <col min="6" max="6" width="28.7109375" style="105" customWidth="1"/>
    <col min="7" max="7" width="14" style="105" bestFit="1" customWidth="1"/>
    <col min="8" max="9" width="12.7109375" style="105"/>
    <col min="10" max="10" width="19.28515625" style="105" bestFit="1" customWidth="1"/>
    <col min="11" max="16384" width="12.7109375" style="105"/>
  </cols>
  <sheetData>
    <row r="1" spans="1:37" s="106" customFormat="1" ht="33.75" customHeight="1">
      <c r="D1" s="167" t="s">
        <v>246</v>
      </c>
      <c r="L1" s="106" t="s">
        <v>20</v>
      </c>
    </row>
    <row r="2" spans="1:37" s="164" customFormat="1" ht="33.75" customHeight="1">
      <c r="D2" s="108" t="s">
        <v>32</v>
      </c>
    </row>
    <row r="4" spans="1:37" s="166" customFormat="1" ht="20.25" thickBot="1">
      <c r="A4" s="168" t="s">
        <v>247</v>
      </c>
      <c r="B4" s="168"/>
    </row>
    <row r="5" spans="1:37" ht="21" thickTop="1" thickBot="1">
      <c r="A5" s="162" t="s">
        <v>125</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row>
    <row r="6" spans="1:37" ht="16.5" thickTop="1">
      <c r="B6" s="111"/>
      <c r="E6" s="100"/>
    </row>
    <row r="7" spans="1:37" s="170" customFormat="1" ht="15.75">
      <c r="B7" s="175"/>
      <c r="C7" s="173" t="s">
        <v>249</v>
      </c>
      <c r="E7" s="174"/>
      <c r="H7" s="172" t="s">
        <v>250</v>
      </c>
      <c r="J7" s="173" t="s">
        <v>249</v>
      </c>
    </row>
    <row r="8" spans="1:37" ht="15.75">
      <c r="B8" s="111"/>
      <c r="C8" s="172" t="s">
        <v>160</v>
      </c>
      <c r="E8" s="100"/>
      <c r="H8" s="34" t="s">
        <v>213</v>
      </c>
      <c r="J8" s="34" t="s">
        <v>160</v>
      </c>
    </row>
    <row r="9" spans="1:37" ht="15.75">
      <c r="B9" s="111"/>
      <c r="D9" s="105" t="s">
        <v>251</v>
      </c>
      <c r="E9" s="105" t="s">
        <v>106</v>
      </c>
      <c r="F9" s="100"/>
    </row>
    <row r="10" spans="1:37" ht="15">
      <c r="F10" s="143" t="s">
        <v>252</v>
      </c>
      <c r="J10" s="176" t="s">
        <v>253</v>
      </c>
      <c r="L10" s="170" t="s">
        <v>251</v>
      </c>
      <c r="M10" s="100"/>
      <c r="X10" s="176" t="s">
        <v>254</v>
      </c>
      <c r="Z10" s="170" t="s">
        <v>251</v>
      </c>
      <c r="AA10" s="100"/>
    </row>
    <row r="11" spans="1:37" ht="15">
      <c r="C11" s="113" t="s">
        <v>126</v>
      </c>
      <c r="D11" s="114" t="s">
        <v>127</v>
      </c>
      <c r="F11" s="148" t="s">
        <v>128</v>
      </c>
      <c r="G11"/>
      <c r="J11" s="112" t="s">
        <v>145</v>
      </c>
      <c r="X11" s="112" t="s">
        <v>158</v>
      </c>
    </row>
    <row r="12" spans="1:37">
      <c r="C12" s="115">
        <v>1971</v>
      </c>
      <c r="D12" s="116">
        <v>975000</v>
      </c>
      <c r="G12" s="170" t="s">
        <v>251</v>
      </c>
      <c r="J12" s="113" t="s">
        <v>126</v>
      </c>
      <c r="K12" s="121" t="s">
        <v>146</v>
      </c>
      <c r="L12" s="121" t="s">
        <v>147</v>
      </c>
      <c r="M12" s="121" t="s">
        <v>148</v>
      </c>
      <c r="N12" s="121" t="s">
        <v>149</v>
      </c>
      <c r="O12" s="121" t="s">
        <v>150</v>
      </c>
      <c r="P12" s="121" t="s">
        <v>151</v>
      </c>
      <c r="Q12" s="121" t="s">
        <v>152</v>
      </c>
      <c r="R12" s="121" t="s">
        <v>153</v>
      </c>
      <c r="S12" s="121" t="s">
        <v>154</v>
      </c>
      <c r="T12" s="121" t="s">
        <v>155</v>
      </c>
      <c r="U12" s="121" t="s">
        <v>156</v>
      </c>
      <c r="V12" s="121" t="s">
        <v>157</v>
      </c>
      <c r="X12" s="113" t="s">
        <v>126</v>
      </c>
      <c r="Y12" s="121" t="s">
        <v>146</v>
      </c>
      <c r="Z12" s="121" t="s">
        <v>147</v>
      </c>
      <c r="AA12" s="121" t="s">
        <v>148</v>
      </c>
      <c r="AB12" s="121" t="s">
        <v>149</v>
      </c>
      <c r="AC12" s="121" t="s">
        <v>150</v>
      </c>
      <c r="AD12" s="121" t="s">
        <v>151</v>
      </c>
      <c r="AE12" s="121" t="s">
        <v>152</v>
      </c>
      <c r="AF12" s="121" t="s">
        <v>153</v>
      </c>
      <c r="AG12" s="121" t="s">
        <v>154</v>
      </c>
      <c r="AH12" s="121" t="s">
        <v>155</v>
      </c>
      <c r="AI12" s="121" t="s">
        <v>156</v>
      </c>
      <c r="AJ12" s="121" t="s">
        <v>157</v>
      </c>
    </row>
    <row r="13" spans="1:37">
      <c r="C13" s="115">
        <v>1972</v>
      </c>
      <c r="D13" s="116">
        <v>1111000</v>
      </c>
      <c r="F13" s="86">
        <f t="shared" ref="F13:F54" si="0">D13/D12-1</f>
        <v>0.13948717948717948</v>
      </c>
      <c r="H13" s="137" t="s">
        <v>214</v>
      </c>
      <c r="J13" s="115">
        <v>1995</v>
      </c>
      <c r="K13" s="116">
        <v>8576738</v>
      </c>
      <c r="L13" s="116">
        <v>8636287</v>
      </c>
      <c r="M13" s="116">
        <v>8674350</v>
      </c>
      <c r="N13" s="116">
        <v>8695632</v>
      </c>
      <c r="O13" s="116">
        <v>8712567</v>
      </c>
      <c r="P13" s="116">
        <v>8725897</v>
      </c>
      <c r="Q13" s="116">
        <v>8739292</v>
      </c>
      <c r="R13" s="116">
        <v>8755720</v>
      </c>
      <c r="S13" s="116">
        <v>8773545</v>
      </c>
      <c r="T13" s="116">
        <v>8789560</v>
      </c>
      <c r="U13" s="116">
        <v>8806866</v>
      </c>
      <c r="V13" s="116">
        <v>8801030</v>
      </c>
      <c r="X13" s="115">
        <v>1995</v>
      </c>
      <c r="Y13" s="116">
        <v>6278081</v>
      </c>
      <c r="Z13" s="116">
        <v>6330387</v>
      </c>
      <c r="AA13" s="116">
        <v>6369529</v>
      </c>
      <c r="AB13" s="116">
        <v>6386612</v>
      </c>
      <c r="AC13" s="116">
        <v>6402297</v>
      </c>
      <c r="AD13" s="116">
        <v>6419859</v>
      </c>
      <c r="AE13" s="116">
        <v>6433861</v>
      </c>
      <c r="AF13" s="116">
        <v>6445297</v>
      </c>
      <c r="AG13" s="116">
        <v>6459673</v>
      </c>
      <c r="AH13" s="116">
        <v>6463719</v>
      </c>
      <c r="AI13" s="116">
        <v>6442995</v>
      </c>
      <c r="AJ13" s="116">
        <v>6481023</v>
      </c>
    </row>
    <row r="14" spans="1:37">
      <c r="C14" s="115">
        <v>1973</v>
      </c>
      <c r="D14" s="116">
        <v>1258000</v>
      </c>
      <c r="F14" s="86">
        <f t="shared" si="0"/>
        <v>0.13231323132313233</v>
      </c>
      <c r="H14" s="137" t="s">
        <v>214</v>
      </c>
      <c r="J14" s="115">
        <v>1996</v>
      </c>
      <c r="K14" s="116">
        <v>8824584</v>
      </c>
      <c r="L14" s="116">
        <v>8851550</v>
      </c>
      <c r="M14" s="116">
        <v>8841999</v>
      </c>
      <c r="N14" s="116">
        <v>8851526</v>
      </c>
      <c r="O14" s="116">
        <v>8876842</v>
      </c>
      <c r="P14" s="116">
        <v>8868894</v>
      </c>
      <c r="Q14" s="116">
        <v>8860586</v>
      </c>
      <c r="R14" s="116">
        <v>8851091</v>
      </c>
      <c r="S14" s="116">
        <v>8851105</v>
      </c>
      <c r="T14" s="116">
        <v>8842352</v>
      </c>
      <c r="U14" s="116">
        <v>8832022</v>
      </c>
      <c r="V14" s="116">
        <v>8826148</v>
      </c>
      <c r="X14" s="115">
        <v>1996</v>
      </c>
      <c r="Y14" s="116">
        <v>6491853</v>
      </c>
      <c r="Z14" s="116">
        <v>6520919</v>
      </c>
      <c r="AA14" s="116">
        <v>6552039</v>
      </c>
      <c r="AB14" s="116">
        <v>6562455</v>
      </c>
      <c r="AC14" s="116">
        <v>6580148</v>
      </c>
      <c r="AD14" s="116">
        <v>6591852</v>
      </c>
      <c r="AE14" s="116">
        <v>6590790</v>
      </c>
      <c r="AF14" s="116">
        <v>6598104</v>
      </c>
      <c r="AG14" s="116">
        <v>6601918</v>
      </c>
      <c r="AH14" s="116">
        <v>6598250</v>
      </c>
      <c r="AI14" s="116">
        <v>6592011</v>
      </c>
      <c r="AJ14" s="116">
        <v>6588510</v>
      </c>
    </row>
    <row r="15" spans="1:37">
      <c r="C15" s="115">
        <v>1974</v>
      </c>
      <c r="D15" s="116">
        <v>1439000</v>
      </c>
      <c r="F15" s="86">
        <f t="shared" si="0"/>
        <v>0.14387917329093791</v>
      </c>
      <c r="H15" s="137" t="s">
        <v>214</v>
      </c>
      <c r="J15" s="115">
        <v>1997</v>
      </c>
      <c r="K15" s="116">
        <v>8835769</v>
      </c>
      <c r="L15" s="116">
        <v>8838600</v>
      </c>
      <c r="M15" s="116">
        <v>8881343</v>
      </c>
      <c r="N15" s="116">
        <v>8930966</v>
      </c>
      <c r="O15" s="116">
        <v>8961188</v>
      </c>
      <c r="P15" s="116">
        <v>8989783</v>
      </c>
      <c r="Q15" s="116">
        <v>9006418</v>
      </c>
      <c r="R15" s="116">
        <v>9036546</v>
      </c>
      <c r="S15" s="116">
        <v>9091481</v>
      </c>
      <c r="T15" s="116">
        <v>9154243</v>
      </c>
      <c r="U15" s="116">
        <v>9197468</v>
      </c>
      <c r="V15" s="116">
        <v>9253715</v>
      </c>
      <c r="X15" s="115">
        <v>1997</v>
      </c>
      <c r="Y15" s="116">
        <v>6595061</v>
      </c>
      <c r="Z15" s="116">
        <v>6594506</v>
      </c>
      <c r="AA15" s="116">
        <v>6624537</v>
      </c>
      <c r="AB15" s="116">
        <v>6664372</v>
      </c>
      <c r="AC15" s="116">
        <v>6685593</v>
      </c>
      <c r="AD15" s="116">
        <v>6702968</v>
      </c>
      <c r="AE15" s="116">
        <v>6718447</v>
      </c>
      <c r="AF15" s="116">
        <v>6741367</v>
      </c>
      <c r="AG15" s="116">
        <v>6779561</v>
      </c>
      <c r="AH15" s="116">
        <v>6822327</v>
      </c>
      <c r="AI15" s="116">
        <v>6849096</v>
      </c>
      <c r="AJ15" s="116">
        <v>6901882</v>
      </c>
    </row>
    <row r="16" spans="1:37">
      <c r="C16" s="115">
        <v>1975</v>
      </c>
      <c r="D16" s="116">
        <v>1648000</v>
      </c>
      <c r="F16" s="86">
        <f t="shared" si="0"/>
        <v>0.14523974982626831</v>
      </c>
      <c r="H16" s="137" t="s">
        <v>214</v>
      </c>
      <c r="J16" s="115">
        <v>1998</v>
      </c>
      <c r="K16" s="116">
        <v>9326629</v>
      </c>
      <c r="L16" s="116">
        <v>9375120</v>
      </c>
      <c r="M16" s="116">
        <v>9408220</v>
      </c>
      <c r="N16" s="116">
        <v>9455606</v>
      </c>
      <c r="O16" s="116">
        <v>9505299</v>
      </c>
      <c r="P16" s="116">
        <v>9562742</v>
      </c>
      <c r="Q16" s="116">
        <v>9625181</v>
      </c>
      <c r="R16" s="116">
        <v>9694590</v>
      </c>
      <c r="S16" s="116">
        <v>9720698</v>
      </c>
      <c r="T16" s="116">
        <v>9823250</v>
      </c>
      <c r="U16" s="116">
        <v>9869594</v>
      </c>
      <c r="V16" s="116">
        <v>9926879</v>
      </c>
      <c r="X16" s="115">
        <v>1998</v>
      </c>
      <c r="Y16" s="116">
        <v>6956131</v>
      </c>
      <c r="Z16" s="116">
        <v>6989377</v>
      </c>
      <c r="AA16" s="116">
        <v>7012313</v>
      </c>
      <c r="AB16" s="116">
        <v>7041914</v>
      </c>
      <c r="AC16" s="116">
        <v>7073722</v>
      </c>
      <c r="AD16" s="116">
        <v>7117851</v>
      </c>
      <c r="AE16" s="116">
        <v>7168727</v>
      </c>
      <c r="AF16" s="116">
        <v>7224401</v>
      </c>
      <c r="AG16" s="116">
        <v>7242688</v>
      </c>
      <c r="AH16" s="116">
        <v>7329904</v>
      </c>
      <c r="AI16" s="116">
        <v>7381159</v>
      </c>
      <c r="AJ16" s="116">
        <v>7427811</v>
      </c>
    </row>
    <row r="17" spans="3:36">
      <c r="C17" s="115">
        <v>1976</v>
      </c>
      <c r="D17" s="116">
        <v>1852000</v>
      </c>
      <c r="F17" s="86">
        <f t="shared" si="0"/>
        <v>0.12378640776699035</v>
      </c>
      <c r="H17" s="137" t="s">
        <v>214</v>
      </c>
      <c r="J17" s="115">
        <v>1999</v>
      </c>
      <c r="K17" s="116">
        <v>9971110</v>
      </c>
      <c r="L17" s="116">
        <v>10012158</v>
      </c>
      <c r="M17" s="116">
        <v>10070177</v>
      </c>
      <c r="N17" s="116">
        <v>10123928</v>
      </c>
      <c r="O17" s="116">
        <v>10190010</v>
      </c>
      <c r="P17" s="116">
        <v>10268820</v>
      </c>
      <c r="Q17" s="116">
        <v>10340942</v>
      </c>
      <c r="R17" s="116">
        <v>10424313</v>
      </c>
      <c r="S17" s="116">
        <v>10548112</v>
      </c>
      <c r="T17" s="116">
        <v>10679847</v>
      </c>
      <c r="U17" s="116">
        <v>10800883</v>
      </c>
      <c r="V17" s="116">
        <v>10927385</v>
      </c>
      <c r="X17" s="115">
        <v>1999</v>
      </c>
      <c r="Y17" s="116">
        <v>7469914</v>
      </c>
      <c r="Z17" s="116">
        <v>7509890</v>
      </c>
      <c r="AA17" s="116">
        <v>7556820</v>
      </c>
      <c r="AB17" s="116">
        <v>7599088</v>
      </c>
      <c r="AC17" s="116">
        <v>7652439</v>
      </c>
      <c r="AD17" s="116">
        <v>7711197</v>
      </c>
      <c r="AE17" s="116">
        <v>7766719</v>
      </c>
      <c r="AF17" s="116">
        <v>7821959</v>
      </c>
      <c r="AG17" s="116">
        <v>7883905</v>
      </c>
      <c r="AH17" s="116">
        <v>7949133</v>
      </c>
      <c r="AI17" s="116">
        <v>8008038</v>
      </c>
      <c r="AJ17" s="116">
        <v>8078581</v>
      </c>
    </row>
    <row r="18" spans="3:36">
      <c r="C18" s="115">
        <v>1977</v>
      </c>
      <c r="D18" s="116">
        <v>2079000</v>
      </c>
      <c r="F18" s="86">
        <f t="shared" si="0"/>
        <v>0.12257019438444927</v>
      </c>
      <c r="H18" s="137" t="s">
        <v>214</v>
      </c>
      <c r="J18" s="115">
        <v>2000</v>
      </c>
      <c r="K18" s="116">
        <v>11018028</v>
      </c>
      <c r="L18" s="116">
        <v>11151537</v>
      </c>
      <c r="M18" s="116">
        <v>11295152</v>
      </c>
      <c r="N18" s="116">
        <v>11404458</v>
      </c>
      <c r="O18" s="116">
        <v>11533520</v>
      </c>
      <c r="P18" s="116">
        <v>11639844</v>
      </c>
      <c r="Q18" s="116">
        <v>11752523</v>
      </c>
      <c r="R18" s="116">
        <v>11859312</v>
      </c>
      <c r="S18" s="116">
        <v>11980413</v>
      </c>
      <c r="T18" s="116">
        <v>12105250</v>
      </c>
      <c r="U18" s="116">
        <v>12226734</v>
      </c>
      <c r="V18" s="116">
        <v>12331676</v>
      </c>
      <c r="X18" s="115">
        <v>2000</v>
      </c>
      <c r="Y18" s="116">
        <v>8119934</v>
      </c>
      <c r="Z18" s="116">
        <v>8212384</v>
      </c>
      <c r="AA18" s="116">
        <v>8298742</v>
      </c>
      <c r="AB18" s="116">
        <v>8360884</v>
      </c>
      <c r="AC18" s="116">
        <v>8436394</v>
      </c>
      <c r="AD18" s="116">
        <v>8514892</v>
      </c>
      <c r="AE18" s="116">
        <v>8594769</v>
      </c>
      <c r="AF18" s="116">
        <v>8679316</v>
      </c>
      <c r="AG18" s="116">
        <v>8765062</v>
      </c>
      <c r="AH18" s="116">
        <v>8859673</v>
      </c>
      <c r="AI18" s="116">
        <v>8954251</v>
      </c>
      <c r="AJ18" s="116">
        <v>9034054</v>
      </c>
    </row>
    <row r="19" spans="3:36">
      <c r="C19" s="115">
        <v>1978</v>
      </c>
      <c r="D19" s="116">
        <v>2307000</v>
      </c>
      <c r="F19" s="86">
        <f t="shared" si="0"/>
        <v>0.10966810966810958</v>
      </c>
      <c r="H19" s="137" t="s">
        <v>214</v>
      </c>
      <c r="J19" s="115">
        <v>2001</v>
      </c>
      <c r="K19" s="116">
        <v>12447212</v>
      </c>
      <c r="L19" s="116">
        <v>12575283</v>
      </c>
      <c r="M19" s="116">
        <v>12688050</v>
      </c>
      <c r="N19" s="116">
        <v>12802686</v>
      </c>
      <c r="O19" s="116">
        <v>12919919</v>
      </c>
      <c r="P19" s="116">
        <v>13025354</v>
      </c>
      <c r="Q19" s="116">
        <v>13130769</v>
      </c>
      <c r="R19" s="116">
        <v>13247203</v>
      </c>
      <c r="S19" s="116">
        <v>13373091</v>
      </c>
      <c r="T19" s="116">
        <v>13535204</v>
      </c>
      <c r="U19" s="116">
        <v>13664307</v>
      </c>
      <c r="V19" s="116">
        <v>13774146</v>
      </c>
      <c r="X19" s="115">
        <v>2001</v>
      </c>
      <c r="Y19" s="116">
        <v>9135854</v>
      </c>
      <c r="Z19" s="116">
        <v>9220759</v>
      </c>
      <c r="AA19" s="116">
        <v>9301700</v>
      </c>
      <c r="AB19" s="116">
        <v>9371421</v>
      </c>
      <c r="AC19" s="116">
        <v>9450723</v>
      </c>
      <c r="AD19" s="116">
        <v>9536132</v>
      </c>
      <c r="AE19" s="116">
        <v>9616618</v>
      </c>
      <c r="AF19" s="116">
        <v>9706489</v>
      </c>
      <c r="AG19" s="116">
        <v>9797240</v>
      </c>
      <c r="AH19" s="116">
        <v>9908609</v>
      </c>
      <c r="AI19" s="116">
        <v>9992158</v>
      </c>
      <c r="AJ19" s="116">
        <v>10063040</v>
      </c>
    </row>
    <row r="20" spans="3:36">
      <c r="C20" s="115">
        <v>1979</v>
      </c>
      <c r="D20" s="116">
        <v>2494000</v>
      </c>
      <c r="F20" s="86">
        <f t="shared" si="0"/>
        <v>8.1057650628521882E-2</v>
      </c>
      <c r="H20" s="137" t="s">
        <v>214</v>
      </c>
      <c r="J20" s="115">
        <v>2002</v>
      </c>
      <c r="K20" s="116">
        <v>13859307</v>
      </c>
      <c r="L20" s="116">
        <v>13942297</v>
      </c>
      <c r="M20" s="116">
        <v>14018949</v>
      </c>
      <c r="N20" s="116">
        <v>14121395</v>
      </c>
      <c r="O20" s="116">
        <v>14223000</v>
      </c>
      <c r="P20" s="116">
        <v>14317638</v>
      </c>
      <c r="Q20" s="116">
        <v>14416634</v>
      </c>
      <c r="R20" s="116">
        <v>14525294</v>
      </c>
      <c r="S20" s="116">
        <v>14631253</v>
      </c>
      <c r="T20" s="116">
        <v>14731413</v>
      </c>
      <c r="U20" s="116">
        <v>14896905</v>
      </c>
      <c r="V20" s="116">
        <v>14975085</v>
      </c>
      <c r="X20" s="115">
        <v>2002</v>
      </c>
      <c r="Y20" s="116">
        <v>10136861</v>
      </c>
      <c r="Z20" s="116">
        <v>10200006</v>
      </c>
      <c r="AA20" s="116">
        <v>10263542</v>
      </c>
      <c r="AB20" s="116">
        <v>10359876</v>
      </c>
      <c r="AC20" s="116">
        <v>10448656</v>
      </c>
      <c r="AD20" s="116">
        <v>10533418</v>
      </c>
      <c r="AE20" s="116">
        <v>10622753</v>
      </c>
      <c r="AF20" s="116">
        <v>10709263</v>
      </c>
      <c r="AG20" s="116">
        <v>10801088</v>
      </c>
      <c r="AH20" s="116">
        <v>10888741</v>
      </c>
      <c r="AI20" s="116">
        <v>11000601</v>
      </c>
      <c r="AJ20" s="116">
        <v>11069019</v>
      </c>
    </row>
    <row r="21" spans="3:36">
      <c r="C21" s="115">
        <v>1980</v>
      </c>
      <c r="D21" s="116">
        <v>2699732</v>
      </c>
      <c r="F21" s="86">
        <f t="shared" si="0"/>
        <v>8.2490777866880416E-2</v>
      </c>
      <c r="H21" s="137" t="s">
        <v>214</v>
      </c>
      <c r="J21" s="115">
        <v>2003</v>
      </c>
      <c r="K21" s="116">
        <v>15078410</v>
      </c>
      <c r="L21" s="116">
        <v>15177450</v>
      </c>
      <c r="M21" s="116">
        <v>15287611</v>
      </c>
      <c r="N21" s="116">
        <v>15395389</v>
      </c>
      <c r="O21" s="116">
        <v>15517228</v>
      </c>
      <c r="P21" s="116">
        <v>15639100</v>
      </c>
      <c r="Q21" s="116">
        <v>15756943</v>
      </c>
      <c r="R21" s="116">
        <v>15874514</v>
      </c>
      <c r="S21" s="116">
        <v>15962874</v>
      </c>
      <c r="T21" s="116">
        <v>16099285</v>
      </c>
      <c r="U21" s="116">
        <v>16224844</v>
      </c>
      <c r="V21" s="116">
        <v>16330066</v>
      </c>
      <c r="X21" s="115">
        <v>2003</v>
      </c>
      <c r="Y21" s="116">
        <v>11155166</v>
      </c>
      <c r="Z21" s="116">
        <v>11237816</v>
      </c>
      <c r="AA21" s="116">
        <v>11331982</v>
      </c>
      <c r="AB21" s="116">
        <v>11423946</v>
      </c>
      <c r="AC21" s="116">
        <v>11525771</v>
      </c>
      <c r="AD21" s="116">
        <v>11629715</v>
      </c>
      <c r="AE21" s="116">
        <v>11738954</v>
      </c>
      <c r="AF21" s="116">
        <v>11841305</v>
      </c>
      <c r="AG21" s="116">
        <v>11918146</v>
      </c>
      <c r="AH21" s="116">
        <v>12031448</v>
      </c>
      <c r="AI21" s="116">
        <v>12136882</v>
      </c>
      <c r="AJ21" s="116">
        <v>12220291</v>
      </c>
    </row>
    <row r="22" spans="3:36">
      <c r="C22" s="115">
        <v>1981</v>
      </c>
      <c r="D22" s="116">
        <v>2943882</v>
      </c>
      <c r="F22" s="86">
        <f t="shared" si="0"/>
        <v>9.0434902427352082E-2</v>
      </c>
      <c r="H22" s="137" t="s">
        <v>214</v>
      </c>
      <c r="J22" s="115">
        <v>2004</v>
      </c>
      <c r="K22" s="116">
        <v>16477468</v>
      </c>
      <c r="L22" s="116">
        <v>16634485</v>
      </c>
      <c r="M22" s="116">
        <v>16823328</v>
      </c>
      <c r="N22" s="116">
        <v>16955746</v>
      </c>
      <c r="O22" s="116">
        <v>17082357</v>
      </c>
      <c r="P22" s="116">
        <v>17221855</v>
      </c>
      <c r="Q22" s="116">
        <v>17389784</v>
      </c>
      <c r="R22" s="116">
        <v>17502225</v>
      </c>
      <c r="S22" s="116">
        <v>17616047</v>
      </c>
      <c r="T22" s="116">
        <v>17781308</v>
      </c>
      <c r="U22" s="116">
        <v>17937593</v>
      </c>
      <c r="V22" s="116">
        <v>18073238</v>
      </c>
      <c r="X22" s="115">
        <v>2004</v>
      </c>
      <c r="Y22" s="116">
        <v>12331755</v>
      </c>
      <c r="Z22" s="116">
        <v>12453148</v>
      </c>
      <c r="AA22" s="116">
        <v>12578781</v>
      </c>
      <c r="AB22" s="116">
        <v>12692310</v>
      </c>
      <c r="AC22" s="116">
        <v>12807199</v>
      </c>
      <c r="AD22" s="116">
        <v>12939305</v>
      </c>
      <c r="AE22" s="116">
        <v>13077461</v>
      </c>
      <c r="AF22" s="116">
        <v>13184774</v>
      </c>
      <c r="AG22" s="116">
        <v>13292568</v>
      </c>
      <c r="AH22" s="116">
        <v>13421364</v>
      </c>
      <c r="AI22" s="116">
        <v>13541052</v>
      </c>
      <c r="AJ22" s="116">
        <v>13658581</v>
      </c>
    </row>
    <row r="23" spans="3:36">
      <c r="C23" s="115">
        <v>1982</v>
      </c>
      <c r="D23" s="116">
        <v>3116239</v>
      </c>
      <c r="F23" s="86">
        <f t="shared" si="0"/>
        <v>5.8547523304262938E-2</v>
      </c>
      <c r="H23" s="137" t="s">
        <v>214</v>
      </c>
      <c r="J23" s="115">
        <v>2005</v>
      </c>
      <c r="K23" s="116">
        <v>18222908</v>
      </c>
      <c r="L23" s="116">
        <v>18361457</v>
      </c>
      <c r="M23" s="116">
        <v>18472733</v>
      </c>
      <c r="N23" s="116">
        <v>18611808</v>
      </c>
      <c r="O23" s="116">
        <v>18734964</v>
      </c>
      <c r="P23" s="116">
        <v>18868802</v>
      </c>
      <c r="Q23" s="116">
        <v>18986037</v>
      </c>
      <c r="R23" s="116">
        <v>19099364</v>
      </c>
      <c r="S23" s="116">
        <v>19214181</v>
      </c>
      <c r="T23" s="116">
        <v>19350075</v>
      </c>
      <c r="U23" s="116">
        <v>19465909</v>
      </c>
      <c r="V23" s="116">
        <v>19512024</v>
      </c>
      <c r="X23" s="115">
        <v>2005</v>
      </c>
      <c r="Y23" s="116">
        <v>13791518</v>
      </c>
      <c r="Z23" s="116">
        <v>13914237</v>
      </c>
      <c r="AA23" s="116">
        <v>14015406</v>
      </c>
      <c r="AB23" s="116">
        <v>14127219</v>
      </c>
      <c r="AC23" s="116">
        <v>14218182</v>
      </c>
      <c r="AD23" s="116">
        <v>14318329</v>
      </c>
      <c r="AE23" s="116">
        <v>14405788</v>
      </c>
      <c r="AF23" s="116">
        <v>14492779</v>
      </c>
      <c r="AG23" s="116">
        <v>14585242</v>
      </c>
      <c r="AH23" s="116">
        <v>14688925</v>
      </c>
      <c r="AI23" s="116">
        <v>14779854</v>
      </c>
      <c r="AJ23" s="116">
        <v>14817155</v>
      </c>
    </row>
    <row r="24" spans="3:36">
      <c r="C24" s="115">
        <v>1983</v>
      </c>
      <c r="D24" s="116">
        <v>3314408</v>
      </c>
      <c r="F24" s="86">
        <f t="shared" si="0"/>
        <v>6.3592362460003882E-2</v>
      </c>
      <c r="H24" s="137" t="s">
        <v>214</v>
      </c>
      <c r="J24" s="115">
        <v>2006</v>
      </c>
      <c r="K24" s="116">
        <v>19639480</v>
      </c>
      <c r="L24" s="116">
        <v>19773045</v>
      </c>
      <c r="M24" s="116">
        <v>19970893</v>
      </c>
      <c r="N24" s="116">
        <v>20068044</v>
      </c>
      <c r="O24" s="116">
        <v>20152679</v>
      </c>
      <c r="P24" s="116">
        <v>19992432</v>
      </c>
      <c r="Q24" s="116">
        <v>20070158</v>
      </c>
      <c r="R24" s="116">
        <v>20106552</v>
      </c>
      <c r="S24" s="116">
        <v>20124128</v>
      </c>
      <c r="T24" s="116">
        <v>19973709</v>
      </c>
      <c r="U24" s="116">
        <v>19948929</v>
      </c>
      <c r="V24" s="116">
        <v>19861299</v>
      </c>
      <c r="X24" s="115">
        <v>2006</v>
      </c>
      <c r="Y24" s="116">
        <v>14909185</v>
      </c>
      <c r="Z24" s="116">
        <v>14993175</v>
      </c>
      <c r="AA24" s="116">
        <v>15093650</v>
      </c>
      <c r="AB24" s="116">
        <v>15169463</v>
      </c>
      <c r="AC24" s="116">
        <v>15211641</v>
      </c>
      <c r="AD24" s="116">
        <v>15033317</v>
      </c>
      <c r="AE24" s="116">
        <v>15071284</v>
      </c>
      <c r="AF24" s="116">
        <v>15085463</v>
      </c>
      <c r="AG24" s="116">
        <v>15113925</v>
      </c>
      <c r="AH24" s="116">
        <v>15002072</v>
      </c>
      <c r="AI24" s="116">
        <v>14972792</v>
      </c>
      <c r="AJ24" s="116">
        <v>14891231</v>
      </c>
    </row>
    <row r="25" spans="3:36">
      <c r="C25" s="115">
        <v>1984</v>
      </c>
      <c r="D25" s="116">
        <v>3499957</v>
      </c>
      <c r="F25" s="86">
        <f t="shared" si="0"/>
        <v>5.5982546506042619E-2</v>
      </c>
      <c r="H25" s="137" t="s">
        <v>214</v>
      </c>
      <c r="J25" s="115">
        <v>2007</v>
      </c>
      <c r="K25" s="116">
        <v>19868763</v>
      </c>
      <c r="L25" s="116">
        <v>19890619</v>
      </c>
      <c r="M25" s="116">
        <v>19979431</v>
      </c>
      <c r="N25" s="116">
        <v>19962722</v>
      </c>
      <c r="O25" s="116">
        <v>19986439</v>
      </c>
      <c r="P25" s="116">
        <v>20054323</v>
      </c>
      <c r="Q25" s="116">
        <v>20115928</v>
      </c>
      <c r="R25" s="116">
        <v>20131341</v>
      </c>
      <c r="S25" s="116">
        <v>20234015</v>
      </c>
      <c r="T25" s="116">
        <v>20237934</v>
      </c>
      <c r="U25" s="116">
        <v>20219589</v>
      </c>
      <c r="V25" s="116">
        <v>19997903</v>
      </c>
      <c r="X25" s="115">
        <v>2007</v>
      </c>
      <c r="Y25" s="116">
        <v>14926546</v>
      </c>
      <c r="Z25" s="116">
        <v>14930211</v>
      </c>
      <c r="AA25" s="116">
        <v>14935734</v>
      </c>
      <c r="AB25" s="116">
        <v>14912491</v>
      </c>
      <c r="AC25" s="116">
        <v>14909819</v>
      </c>
      <c r="AD25" s="116">
        <v>14919943</v>
      </c>
      <c r="AE25" s="116">
        <v>14908193</v>
      </c>
      <c r="AF25" s="116">
        <v>14906814</v>
      </c>
      <c r="AG25" s="116">
        <v>14902253</v>
      </c>
      <c r="AH25" s="116">
        <v>14894944</v>
      </c>
      <c r="AI25" s="116">
        <v>14868595</v>
      </c>
      <c r="AJ25" s="116">
        <v>14752712</v>
      </c>
    </row>
    <row r="26" spans="3:36">
      <c r="C26" s="115">
        <v>1985</v>
      </c>
      <c r="D26" s="116">
        <v>3704432</v>
      </c>
      <c r="F26" s="86">
        <f t="shared" si="0"/>
        <v>5.8422146329226265E-2</v>
      </c>
      <c r="H26" s="137" t="s">
        <v>214</v>
      </c>
      <c r="J26" s="115">
        <v>2008</v>
      </c>
      <c r="K26" s="116">
        <v>20053829</v>
      </c>
      <c r="L26" s="116">
        <v>20080909</v>
      </c>
      <c r="M26" s="116">
        <v>20290741</v>
      </c>
      <c r="N26" s="116">
        <v>20305368</v>
      </c>
      <c r="O26" s="116">
        <v>20303578</v>
      </c>
      <c r="P26" s="116">
        <v>20271131</v>
      </c>
      <c r="Q26" s="116">
        <v>20332957</v>
      </c>
      <c r="R26" s="116">
        <v>20366551</v>
      </c>
      <c r="S26" s="116">
        <v>20446134</v>
      </c>
      <c r="T26" s="116">
        <v>20466479</v>
      </c>
      <c r="U26" s="116">
        <v>20460176</v>
      </c>
      <c r="V26" s="116">
        <v>20491430</v>
      </c>
      <c r="X26" s="115">
        <v>2008</v>
      </c>
      <c r="Y26" s="116">
        <v>14738466</v>
      </c>
      <c r="Z26" s="116">
        <v>14752741</v>
      </c>
      <c r="AA26" s="116">
        <v>14934836</v>
      </c>
      <c r="AB26" s="116">
        <v>14934299</v>
      </c>
      <c r="AC26" s="116">
        <v>14928282</v>
      </c>
      <c r="AD26" s="116">
        <v>14877848</v>
      </c>
      <c r="AE26" s="116">
        <v>14915140</v>
      </c>
      <c r="AF26" s="116">
        <v>14927522</v>
      </c>
      <c r="AG26" s="116">
        <v>14985300</v>
      </c>
      <c r="AH26" s="116">
        <v>14994712</v>
      </c>
      <c r="AI26" s="116">
        <v>14990496</v>
      </c>
      <c r="AJ26" s="116">
        <v>14994238</v>
      </c>
    </row>
    <row r="27" spans="3:36">
      <c r="C27" s="115">
        <v>1986</v>
      </c>
      <c r="D27" s="116">
        <v>3899168</v>
      </c>
      <c r="F27" s="86">
        <f t="shared" si="0"/>
        <v>5.2568382953176007E-2</v>
      </c>
      <c r="H27" s="137" t="s">
        <v>214</v>
      </c>
      <c r="J27" s="115">
        <v>2009</v>
      </c>
      <c r="K27" s="116">
        <v>20480246</v>
      </c>
      <c r="L27" s="116">
        <v>20462842</v>
      </c>
      <c r="M27" s="116">
        <v>20493376</v>
      </c>
      <c r="N27" s="116">
        <v>20482873</v>
      </c>
      <c r="O27" s="116">
        <v>20489677</v>
      </c>
      <c r="P27" s="116">
        <v>20558237</v>
      </c>
      <c r="Q27" s="116">
        <v>20624031</v>
      </c>
      <c r="R27" s="116">
        <v>20688347</v>
      </c>
      <c r="S27" s="116">
        <v>20751151</v>
      </c>
      <c r="T27" s="116">
        <v>19334292</v>
      </c>
      <c r="U27" s="116">
        <v>19332148</v>
      </c>
      <c r="V27" s="116">
        <v>19505573</v>
      </c>
      <c r="X27" s="115">
        <v>2009</v>
      </c>
      <c r="Y27" s="116">
        <v>14991759</v>
      </c>
      <c r="Z27" s="116">
        <v>14991077</v>
      </c>
      <c r="AA27" s="116">
        <v>14997320</v>
      </c>
      <c r="AB27" s="116">
        <v>14982455</v>
      </c>
      <c r="AC27" s="116">
        <v>14985487</v>
      </c>
      <c r="AD27" s="116">
        <v>15061682</v>
      </c>
      <c r="AE27" s="116">
        <v>15131223</v>
      </c>
      <c r="AF27" s="116">
        <v>15204915</v>
      </c>
      <c r="AG27" s="116">
        <v>15198899</v>
      </c>
      <c r="AH27" s="116">
        <v>13892095</v>
      </c>
      <c r="AI27" s="116">
        <v>13893489</v>
      </c>
      <c r="AJ27" s="116">
        <v>14077977</v>
      </c>
    </row>
    <row r="28" spans="3:36">
      <c r="C28" s="115">
        <v>1987</v>
      </c>
      <c r="D28" s="116">
        <v>4122681</v>
      </c>
      <c r="F28" s="86">
        <f t="shared" si="0"/>
        <v>5.732325460200749E-2</v>
      </c>
      <c r="H28" s="137" t="s">
        <v>214</v>
      </c>
      <c r="J28" s="115">
        <v>2010</v>
      </c>
      <c r="K28" s="116">
        <v>19580525</v>
      </c>
      <c r="L28" s="116">
        <v>19587191</v>
      </c>
      <c r="M28" s="116">
        <v>19630562</v>
      </c>
      <c r="N28" s="116">
        <v>19622566</v>
      </c>
      <c r="O28" s="116">
        <v>19677855</v>
      </c>
      <c r="P28" s="116">
        <v>19713694</v>
      </c>
      <c r="Q28" s="116">
        <v>19714797</v>
      </c>
      <c r="R28" s="116">
        <v>19717563</v>
      </c>
      <c r="S28" s="116">
        <v>19836041</v>
      </c>
      <c r="T28" s="116">
        <v>19833711</v>
      </c>
      <c r="U28" s="116">
        <v>19795804</v>
      </c>
      <c r="V28" s="116">
        <v>19918643</v>
      </c>
      <c r="X28" s="115">
        <v>2010</v>
      </c>
      <c r="Y28" s="116">
        <v>14165586</v>
      </c>
      <c r="Z28" s="116">
        <v>14163498</v>
      </c>
      <c r="AA28" s="116">
        <v>14186943</v>
      </c>
      <c r="AB28" s="116">
        <v>14164346</v>
      </c>
      <c r="AC28" s="116">
        <v>14204480</v>
      </c>
      <c r="AD28" s="116">
        <v>14238037</v>
      </c>
      <c r="AE28" s="116">
        <v>14242879</v>
      </c>
      <c r="AF28" s="116">
        <v>14257780</v>
      </c>
      <c r="AG28" s="116">
        <v>14239436</v>
      </c>
      <c r="AH28" s="116">
        <v>14241831</v>
      </c>
      <c r="AI28" s="116">
        <v>14242312</v>
      </c>
      <c r="AJ28" s="116">
        <v>14352717</v>
      </c>
    </row>
    <row r="29" spans="3:36">
      <c r="C29" s="115">
        <v>1988</v>
      </c>
      <c r="D29" s="116">
        <v>4381436</v>
      </c>
      <c r="F29" s="86">
        <f t="shared" si="0"/>
        <v>6.2763769498537458E-2</v>
      </c>
      <c r="H29" s="137" t="s">
        <v>214</v>
      </c>
      <c r="J29" s="115" t="s">
        <v>129</v>
      </c>
      <c r="K29" s="116">
        <v>19917524</v>
      </c>
      <c r="L29" s="116">
        <v>19909948</v>
      </c>
      <c r="M29" s="116">
        <v>19861355</v>
      </c>
      <c r="N29" s="116">
        <v>19851100</v>
      </c>
      <c r="O29" s="116">
        <v>19870537</v>
      </c>
      <c r="P29" s="116">
        <v>19723048</v>
      </c>
      <c r="Q29" s="116">
        <v>19713678</v>
      </c>
      <c r="R29" s="116">
        <v>19752883</v>
      </c>
      <c r="S29" s="116">
        <v>19799244</v>
      </c>
      <c r="T29" s="116">
        <v>19793810</v>
      </c>
      <c r="U29" s="116">
        <v>19829920</v>
      </c>
      <c r="V29" s="116">
        <v>19731368</v>
      </c>
      <c r="X29" s="115" t="s">
        <v>129</v>
      </c>
      <c r="Y29" s="116">
        <v>14387283</v>
      </c>
      <c r="Z29" s="116">
        <v>14388602</v>
      </c>
      <c r="AA29" s="116">
        <v>14385077</v>
      </c>
      <c r="AB29" s="116">
        <v>14355020</v>
      </c>
      <c r="AC29" s="116">
        <v>14387478</v>
      </c>
      <c r="AD29" s="116">
        <v>14361044</v>
      </c>
      <c r="AE29" s="116">
        <v>14351452</v>
      </c>
      <c r="AF29" s="116">
        <v>14372825</v>
      </c>
      <c r="AG29" s="116">
        <v>14350310</v>
      </c>
      <c r="AH29" s="116">
        <v>14338614</v>
      </c>
      <c r="AI29" s="116">
        <v>14347738</v>
      </c>
      <c r="AJ29" s="116">
        <v>14147970</v>
      </c>
    </row>
    <row r="30" spans="3:36">
      <c r="C30" s="115">
        <v>1989</v>
      </c>
      <c r="D30" s="116">
        <v>4847166</v>
      </c>
      <c r="F30" s="86">
        <f t="shared" si="0"/>
        <v>0.10629620060637657</v>
      </c>
      <c r="H30" s="137" t="s">
        <v>214</v>
      </c>
      <c r="J30" s="115" t="s">
        <v>130</v>
      </c>
      <c r="K30" s="116">
        <v>20121570</v>
      </c>
      <c r="L30" s="116">
        <v>20158768</v>
      </c>
      <c r="M30" s="116">
        <v>19993596</v>
      </c>
      <c r="N30" s="116">
        <v>20040856</v>
      </c>
      <c r="O30" s="116">
        <v>20130709</v>
      </c>
      <c r="P30" s="116">
        <v>20429856</v>
      </c>
      <c r="Q30" s="116">
        <v>20423889</v>
      </c>
      <c r="R30" s="116">
        <v>20466377</v>
      </c>
      <c r="S30" s="116">
        <v>20379230</v>
      </c>
      <c r="T30" s="116">
        <v>20420284</v>
      </c>
      <c r="U30" s="116">
        <v>20438112</v>
      </c>
      <c r="V30" s="116">
        <v>20587824</v>
      </c>
      <c r="X30" s="115" t="s">
        <v>130</v>
      </c>
      <c r="Y30" s="116">
        <v>14022779</v>
      </c>
      <c r="Z30" s="116">
        <v>14033631</v>
      </c>
      <c r="AA30" s="116">
        <v>14065931</v>
      </c>
      <c r="AB30" s="116">
        <v>14080625</v>
      </c>
      <c r="AC30" s="116">
        <v>14136968</v>
      </c>
      <c r="AD30" s="116">
        <v>14212321</v>
      </c>
      <c r="AE30" s="116">
        <v>14176285</v>
      </c>
      <c r="AF30" s="116">
        <v>14190412</v>
      </c>
      <c r="AG30" s="116">
        <v>14204466</v>
      </c>
      <c r="AH30" s="116">
        <v>14215661</v>
      </c>
      <c r="AI30" s="116">
        <v>14206382</v>
      </c>
      <c r="AJ30" s="116">
        <v>14285809</v>
      </c>
    </row>
    <row r="31" spans="3:36">
      <c r="C31" s="115">
        <v>1990</v>
      </c>
      <c r="D31" s="116">
        <v>5352824</v>
      </c>
      <c r="F31" s="86">
        <f t="shared" si="0"/>
        <v>0.10432033893619486</v>
      </c>
      <c r="H31" s="137" t="s">
        <v>214</v>
      </c>
      <c r="J31" s="115" t="s">
        <v>131</v>
      </c>
      <c r="K31" s="116">
        <v>20632348</v>
      </c>
      <c r="L31" s="116">
        <v>20666532</v>
      </c>
      <c r="M31" s="116">
        <v>20335861</v>
      </c>
      <c r="N31" s="116">
        <v>20453458</v>
      </c>
      <c r="O31" s="116">
        <v>20487307</v>
      </c>
      <c r="P31" s="116">
        <v>20566811</v>
      </c>
      <c r="Q31" s="116">
        <v>20648498</v>
      </c>
      <c r="R31" s="116">
        <v>20472405</v>
      </c>
      <c r="S31" s="116">
        <v>20474061</v>
      </c>
      <c r="T31" s="116">
        <v>20493734</v>
      </c>
      <c r="U31" s="116">
        <v>20442174</v>
      </c>
      <c r="V31" s="116">
        <v>20590449</v>
      </c>
      <c r="X31" s="115" t="s">
        <v>131</v>
      </c>
      <c r="Y31" s="116">
        <v>14308313</v>
      </c>
      <c r="Z31" s="116">
        <v>14321729</v>
      </c>
      <c r="AA31" s="116">
        <v>13884515</v>
      </c>
      <c r="AB31" s="116">
        <v>13973991</v>
      </c>
      <c r="AC31" s="116">
        <v>13979993</v>
      </c>
      <c r="AD31" s="116">
        <v>14048580</v>
      </c>
      <c r="AE31" s="116">
        <v>14098658</v>
      </c>
      <c r="AF31" s="116">
        <v>13894702</v>
      </c>
      <c r="AG31" s="116">
        <v>13998146</v>
      </c>
      <c r="AH31" s="116">
        <v>13997964</v>
      </c>
      <c r="AI31" s="116">
        <v>13923260</v>
      </c>
      <c r="AJ31" s="116">
        <v>14027410</v>
      </c>
    </row>
    <row r="32" spans="3:36">
      <c r="C32" s="115">
        <v>1991</v>
      </c>
      <c r="D32" s="116">
        <v>6024714</v>
      </c>
      <c r="F32" s="86">
        <f t="shared" si="0"/>
        <v>0.12552065974894755</v>
      </c>
      <c r="H32" s="137" t="s">
        <v>214</v>
      </c>
    </row>
    <row r="33" spans="3:36">
      <c r="C33" s="115">
        <v>1992</v>
      </c>
      <c r="D33" s="116">
        <v>6753652</v>
      </c>
      <c r="F33" s="86">
        <f t="shared" si="0"/>
        <v>0.12099130348760134</v>
      </c>
      <c r="H33" s="137" t="s">
        <v>214</v>
      </c>
    </row>
    <row r="34" spans="3:36" ht="15">
      <c r="C34" s="115">
        <v>1993</v>
      </c>
      <c r="D34" s="116">
        <v>7620880</v>
      </c>
      <c r="F34" s="86">
        <f t="shared" si="0"/>
        <v>0.12840874833349414</v>
      </c>
      <c r="H34" s="137" t="s">
        <v>214</v>
      </c>
      <c r="X34" s="176" t="s">
        <v>255</v>
      </c>
      <c r="Z34" s="170" t="s">
        <v>251</v>
      </c>
      <c r="AA34" s="100"/>
    </row>
    <row r="35" spans="3:36" ht="15">
      <c r="C35" s="115">
        <v>1994</v>
      </c>
      <c r="D35" s="116">
        <v>8492521</v>
      </c>
      <c r="F35" s="86">
        <f t="shared" si="0"/>
        <v>0.1143753739725597</v>
      </c>
      <c r="H35" s="137" t="s">
        <v>214</v>
      </c>
      <c r="X35" s="112" t="s">
        <v>159</v>
      </c>
    </row>
    <row r="36" spans="3:36">
      <c r="C36" s="115">
        <v>1995</v>
      </c>
      <c r="D36" s="116">
        <v>8801030</v>
      </c>
      <c r="F36" s="86">
        <f t="shared" si="0"/>
        <v>3.6327140080077536E-2</v>
      </c>
      <c r="H36" s="137" t="s">
        <v>214</v>
      </c>
      <c r="X36" s="113" t="s">
        <v>126</v>
      </c>
      <c r="Y36" s="121" t="s">
        <v>146</v>
      </c>
      <c r="Z36" s="121" t="s">
        <v>147</v>
      </c>
      <c r="AA36" s="121" t="s">
        <v>148</v>
      </c>
      <c r="AB36" s="121" t="s">
        <v>149</v>
      </c>
      <c r="AC36" s="121" t="s">
        <v>150</v>
      </c>
      <c r="AD36" s="121" t="s">
        <v>151</v>
      </c>
      <c r="AE36" s="121" t="s">
        <v>152</v>
      </c>
      <c r="AF36" s="121" t="s">
        <v>153</v>
      </c>
      <c r="AG36" s="121" t="s">
        <v>154</v>
      </c>
      <c r="AH36" s="121" t="s">
        <v>155</v>
      </c>
      <c r="AI36" s="121" t="s">
        <v>156</v>
      </c>
      <c r="AJ36" s="121" t="s">
        <v>157</v>
      </c>
    </row>
    <row r="37" spans="3:36">
      <c r="C37" s="115">
        <v>1996</v>
      </c>
      <c r="D37" s="116">
        <v>8826148</v>
      </c>
      <c r="F37" s="86">
        <f t="shared" si="0"/>
        <v>2.8539841359476181E-3</v>
      </c>
      <c r="H37" s="137" t="s">
        <v>214</v>
      </c>
      <c r="X37" s="115">
        <v>1995</v>
      </c>
      <c r="Y37" s="116">
        <v>2298657</v>
      </c>
      <c r="Z37" s="116">
        <v>2305900</v>
      </c>
      <c r="AA37" s="116">
        <v>2304821</v>
      </c>
      <c r="AB37" s="116">
        <v>2309020</v>
      </c>
      <c r="AC37" s="116">
        <v>2310270</v>
      </c>
      <c r="AD37" s="116">
        <v>2306038</v>
      </c>
      <c r="AE37" s="116">
        <v>2305431</v>
      </c>
      <c r="AF37" s="116">
        <v>2310423</v>
      </c>
      <c r="AG37" s="116">
        <v>2313872</v>
      </c>
      <c r="AH37" s="116">
        <v>2325841</v>
      </c>
      <c r="AI37" s="116">
        <v>2363871</v>
      </c>
      <c r="AJ37" s="116">
        <v>2320007</v>
      </c>
    </row>
    <row r="38" spans="3:36">
      <c r="C38" s="115">
        <v>1997</v>
      </c>
      <c r="D38" s="116">
        <v>9253715</v>
      </c>
      <c r="F38" s="86">
        <f t="shared" si="0"/>
        <v>4.8443216678442313E-2</v>
      </c>
      <c r="H38" s="137" t="s">
        <v>214</v>
      </c>
      <c r="X38" s="115">
        <v>1996</v>
      </c>
      <c r="Y38" s="116">
        <v>2332731</v>
      </c>
      <c r="Z38" s="116">
        <v>2330631</v>
      </c>
      <c r="AA38" s="116">
        <v>2289960</v>
      </c>
      <c r="AB38" s="116">
        <v>2289071</v>
      </c>
      <c r="AC38" s="116">
        <v>2296694</v>
      </c>
      <c r="AD38" s="116">
        <v>2277042</v>
      </c>
      <c r="AE38" s="116">
        <v>2269796</v>
      </c>
      <c r="AF38" s="116">
        <v>2252987</v>
      </c>
      <c r="AG38" s="116">
        <v>2249187</v>
      </c>
      <c r="AH38" s="116">
        <v>2244102</v>
      </c>
      <c r="AI38" s="116">
        <v>2240011</v>
      </c>
      <c r="AJ38" s="116">
        <v>2237638</v>
      </c>
    </row>
    <row r="39" spans="3:36">
      <c r="C39" s="115">
        <v>1998</v>
      </c>
      <c r="D39" s="116">
        <v>9926879</v>
      </c>
      <c r="F39" s="86">
        <f t="shared" si="0"/>
        <v>7.2745270413017815E-2</v>
      </c>
      <c r="H39" s="137" t="s">
        <v>214</v>
      </c>
      <c r="X39" s="115">
        <v>1997</v>
      </c>
      <c r="Y39" s="116">
        <v>2240708</v>
      </c>
      <c r="Z39" s="116">
        <v>2244094</v>
      </c>
      <c r="AA39" s="116">
        <v>2256806</v>
      </c>
      <c r="AB39" s="116">
        <v>2266594</v>
      </c>
      <c r="AC39" s="116">
        <v>2275595</v>
      </c>
      <c r="AD39" s="116">
        <v>2286815</v>
      </c>
      <c r="AE39" s="116">
        <v>2287971</v>
      </c>
      <c r="AF39" s="116">
        <v>2295179</v>
      </c>
      <c r="AG39" s="116">
        <v>2311920</v>
      </c>
      <c r="AH39" s="116">
        <v>2331916</v>
      </c>
      <c r="AI39" s="116">
        <v>2348372</v>
      </c>
      <c r="AJ39" s="116">
        <v>2351833</v>
      </c>
    </row>
    <row r="40" spans="3:36">
      <c r="C40" s="115">
        <v>1999</v>
      </c>
      <c r="D40" s="116">
        <v>10927385</v>
      </c>
      <c r="F40" s="86">
        <f t="shared" si="0"/>
        <v>0.1007875687816886</v>
      </c>
      <c r="H40" s="137" t="s">
        <v>214</v>
      </c>
      <c r="X40" s="115">
        <v>1998</v>
      </c>
      <c r="Y40" s="116">
        <v>2370498</v>
      </c>
      <c r="Z40" s="116">
        <v>2385743</v>
      </c>
      <c r="AA40" s="116">
        <v>2395907</v>
      </c>
      <c r="AB40" s="116">
        <v>2413692</v>
      </c>
      <c r="AC40" s="116">
        <v>2431577</v>
      </c>
      <c r="AD40" s="116">
        <v>2444891</v>
      </c>
      <c r="AE40" s="116">
        <v>2456454</v>
      </c>
      <c r="AF40" s="116">
        <v>2470189</v>
      </c>
      <c r="AG40" s="116">
        <v>2478010</v>
      </c>
      <c r="AH40" s="116">
        <v>2493346</v>
      </c>
      <c r="AI40" s="116">
        <v>2488435</v>
      </c>
      <c r="AJ40" s="116">
        <v>2499068</v>
      </c>
    </row>
    <row r="41" spans="3:36">
      <c r="C41" s="115">
        <v>2000</v>
      </c>
      <c r="D41" s="116">
        <v>12331676</v>
      </c>
      <c r="F41" s="86">
        <f t="shared" si="0"/>
        <v>0.12851116712735933</v>
      </c>
      <c r="H41" s="137" t="s">
        <v>214</v>
      </c>
      <c r="X41" s="115">
        <v>1999</v>
      </c>
      <c r="Y41" s="116">
        <v>2501196</v>
      </c>
      <c r="Z41" s="116">
        <v>2502268</v>
      </c>
      <c r="AA41" s="116">
        <v>2513357</v>
      </c>
      <c r="AB41" s="116">
        <v>2524840</v>
      </c>
      <c r="AC41" s="116">
        <v>2537571</v>
      </c>
      <c r="AD41" s="116">
        <v>2557623</v>
      </c>
      <c r="AE41" s="116">
        <v>2574223</v>
      </c>
      <c r="AF41" s="116">
        <v>2602354</v>
      </c>
      <c r="AG41" s="116">
        <v>2664207</v>
      </c>
      <c r="AH41" s="116">
        <v>2730714</v>
      </c>
      <c r="AI41" s="116">
        <v>2792845</v>
      </c>
      <c r="AJ41" s="116">
        <v>2848804</v>
      </c>
    </row>
    <row r="42" spans="3:36">
      <c r="C42" s="115">
        <v>2001</v>
      </c>
      <c r="D42" s="116">
        <v>13774146</v>
      </c>
      <c r="F42" s="86">
        <f t="shared" si="0"/>
        <v>0.1169727456348999</v>
      </c>
      <c r="H42" s="137" t="s">
        <v>214</v>
      </c>
      <c r="J42" s="173" t="s">
        <v>249</v>
      </c>
      <c r="X42" s="115">
        <v>2000</v>
      </c>
      <c r="Y42" s="116">
        <v>2898094</v>
      </c>
      <c r="Z42" s="116">
        <v>2939153</v>
      </c>
      <c r="AA42" s="116">
        <v>2996410</v>
      </c>
      <c r="AB42" s="116">
        <v>3043574</v>
      </c>
      <c r="AC42" s="116">
        <v>3097126</v>
      </c>
      <c r="AD42" s="116">
        <v>3124952</v>
      </c>
      <c r="AE42" s="116">
        <v>3157754</v>
      </c>
      <c r="AF42" s="116">
        <v>3179996</v>
      </c>
      <c r="AG42" s="116">
        <v>3215351</v>
      </c>
      <c r="AH42" s="116">
        <v>3245577</v>
      </c>
      <c r="AI42" s="116">
        <v>3272483</v>
      </c>
      <c r="AJ42" s="116">
        <v>3297622</v>
      </c>
    </row>
    <row r="43" spans="3:36" ht="24">
      <c r="C43" s="115">
        <v>2002</v>
      </c>
      <c r="D43" s="116">
        <v>14975085</v>
      </c>
      <c r="F43" s="86">
        <f t="shared" si="0"/>
        <v>8.7187909871145441E-2</v>
      </c>
      <c r="H43" s="137" t="s">
        <v>214</v>
      </c>
      <c r="J43" s="171" t="s">
        <v>254</v>
      </c>
      <c r="K43" s="171" t="s">
        <v>255</v>
      </c>
      <c r="L43" s="171" t="s">
        <v>10</v>
      </c>
      <c r="M43" s="171" t="s">
        <v>256</v>
      </c>
      <c r="X43" s="115">
        <v>2001</v>
      </c>
      <c r="Y43" s="116">
        <v>3311358</v>
      </c>
      <c r="Z43" s="116">
        <v>3354524</v>
      </c>
      <c r="AA43" s="116">
        <v>3386350</v>
      </c>
      <c r="AB43" s="116">
        <v>3431265</v>
      </c>
      <c r="AC43" s="116">
        <v>3469196</v>
      </c>
      <c r="AD43" s="116">
        <v>3489222</v>
      </c>
      <c r="AE43" s="116">
        <v>3514151</v>
      </c>
      <c r="AF43" s="116">
        <v>3540714</v>
      </c>
      <c r="AG43" s="116">
        <v>3575851</v>
      </c>
      <c r="AH43" s="116">
        <v>3626595</v>
      </c>
      <c r="AI43" s="116">
        <v>3672149</v>
      </c>
      <c r="AJ43" s="116">
        <v>3711106</v>
      </c>
    </row>
    <row r="44" spans="3:36">
      <c r="C44" s="115">
        <v>2003</v>
      </c>
      <c r="D44" s="116">
        <v>16330066</v>
      </c>
      <c r="F44" s="86">
        <f t="shared" si="0"/>
        <v>9.0482357863077345E-2</v>
      </c>
      <c r="H44" s="137" t="s">
        <v>214</v>
      </c>
      <c r="J44" s="173" t="s">
        <v>160</v>
      </c>
      <c r="K44" s="170"/>
      <c r="L44" s="170"/>
      <c r="M44" s="170"/>
      <c r="X44" s="115">
        <v>2002</v>
      </c>
      <c r="Y44" s="116">
        <v>3722446</v>
      </c>
      <c r="Z44" s="116">
        <v>3742291</v>
      </c>
      <c r="AA44" s="116">
        <v>3755407</v>
      </c>
      <c r="AB44" s="116">
        <v>3761519</v>
      </c>
      <c r="AC44" s="116">
        <v>3774344</v>
      </c>
      <c r="AD44" s="116">
        <v>3784220</v>
      </c>
      <c r="AE44" s="116">
        <v>3793881</v>
      </c>
      <c r="AF44" s="116">
        <v>3816031</v>
      </c>
      <c r="AG44" s="116">
        <v>3830165</v>
      </c>
      <c r="AH44" s="116">
        <v>3842672</v>
      </c>
      <c r="AI44" s="116">
        <v>3896304</v>
      </c>
      <c r="AJ44" s="116">
        <v>3906066</v>
      </c>
    </row>
    <row r="45" spans="3:36" ht="24">
      <c r="C45" s="115">
        <v>2004</v>
      </c>
      <c r="D45" s="116">
        <v>18073238</v>
      </c>
      <c r="F45" s="86">
        <f t="shared" si="0"/>
        <v>0.10674616991750074</v>
      </c>
      <c r="H45" s="137" t="s">
        <v>214</v>
      </c>
      <c r="J45" s="1" t="s">
        <v>141</v>
      </c>
      <c r="K45" s="1" t="s">
        <v>161</v>
      </c>
      <c r="L45" s="1" t="s">
        <v>10</v>
      </c>
      <c r="M45" s="1" t="s">
        <v>162</v>
      </c>
      <c r="X45" s="115">
        <v>2003</v>
      </c>
      <c r="Y45" s="116">
        <v>3923244</v>
      </c>
      <c r="Z45" s="116">
        <v>3939634</v>
      </c>
      <c r="AA45" s="116">
        <v>3955629</v>
      </c>
      <c r="AB45" s="116">
        <v>3971443</v>
      </c>
      <c r="AC45" s="116">
        <v>3991457</v>
      </c>
      <c r="AD45" s="116">
        <v>4009385</v>
      </c>
      <c r="AE45" s="116">
        <v>4017989</v>
      </c>
      <c r="AF45" s="116">
        <v>4033209</v>
      </c>
      <c r="AG45" s="116">
        <v>4044728</v>
      </c>
      <c r="AH45" s="116">
        <v>4067837</v>
      </c>
      <c r="AI45" s="116">
        <v>4087962</v>
      </c>
      <c r="AJ45" s="116">
        <v>4109775</v>
      </c>
    </row>
    <row r="46" spans="3:36">
      <c r="C46" s="115">
        <v>2005</v>
      </c>
      <c r="D46" s="116">
        <v>19512024</v>
      </c>
      <c r="F46" s="86">
        <f t="shared" si="0"/>
        <v>7.9608645667146094E-2</v>
      </c>
      <c r="H46" s="495">
        <v>18393374.999999996</v>
      </c>
      <c r="J46" s="12">
        <f t="shared" ref="J46:J54" si="1">AJ23</f>
        <v>14817155</v>
      </c>
      <c r="K46" s="12">
        <f t="shared" ref="K46:K54" si="2">AJ47</f>
        <v>4694869</v>
      </c>
      <c r="L46" s="96">
        <f t="shared" ref="L46:L54" si="3">J46+K46</f>
        <v>19512024</v>
      </c>
      <c r="M46" s="85">
        <f t="shared" ref="M46:M54" si="4">J46/L46</f>
        <v>0.75938585356393573</v>
      </c>
      <c r="X46" s="115">
        <v>2004</v>
      </c>
      <c r="Y46" s="116">
        <v>4145713</v>
      </c>
      <c r="Z46" s="116">
        <v>4181337</v>
      </c>
      <c r="AA46" s="116">
        <v>4244547</v>
      </c>
      <c r="AB46" s="116">
        <v>4263436</v>
      </c>
      <c r="AC46" s="116">
        <v>4275158</v>
      </c>
      <c r="AD46" s="116">
        <v>4282550</v>
      </c>
      <c r="AE46" s="116">
        <v>4312323</v>
      </c>
      <c r="AF46" s="116">
        <v>4317451</v>
      </c>
      <c r="AG46" s="116">
        <v>4323479</v>
      </c>
      <c r="AH46" s="116">
        <v>4359944</v>
      </c>
      <c r="AI46" s="116">
        <v>4396541</v>
      </c>
      <c r="AJ46" s="116">
        <v>4414657</v>
      </c>
    </row>
    <row r="47" spans="3:36">
      <c r="C47" s="115">
        <v>2006</v>
      </c>
      <c r="D47" s="116">
        <v>19861299</v>
      </c>
      <c r="F47" s="86">
        <f t="shared" si="0"/>
        <v>1.7900500737391356E-2</v>
      </c>
      <c r="H47" s="496" t="s">
        <v>214</v>
      </c>
      <c r="J47" s="12">
        <f t="shared" si="1"/>
        <v>14891231</v>
      </c>
      <c r="K47" s="12">
        <f t="shared" si="2"/>
        <v>4970068</v>
      </c>
      <c r="L47" s="96">
        <f t="shared" si="3"/>
        <v>19861299</v>
      </c>
      <c r="M47" s="85">
        <f t="shared" si="4"/>
        <v>0.7497611812802375</v>
      </c>
      <c r="X47" s="115">
        <v>2005</v>
      </c>
      <c r="Y47" s="116">
        <v>4431390</v>
      </c>
      <c r="Z47" s="116">
        <v>4447220</v>
      </c>
      <c r="AA47" s="116">
        <v>4457327</v>
      </c>
      <c r="AB47" s="116">
        <v>4484589</v>
      </c>
      <c r="AC47" s="116">
        <v>4516782</v>
      </c>
      <c r="AD47" s="116">
        <v>4550473</v>
      </c>
      <c r="AE47" s="116">
        <v>4580249</v>
      </c>
      <c r="AF47" s="116">
        <v>4606585</v>
      </c>
      <c r="AG47" s="116">
        <v>4628939</v>
      </c>
      <c r="AH47" s="116">
        <v>4661150</v>
      </c>
      <c r="AI47" s="116">
        <v>4686055</v>
      </c>
      <c r="AJ47" s="116">
        <v>4694869</v>
      </c>
    </row>
    <row r="48" spans="3:36">
      <c r="C48" s="115">
        <v>2007</v>
      </c>
      <c r="D48" s="116">
        <v>19997903</v>
      </c>
      <c r="F48" s="86">
        <f t="shared" si="0"/>
        <v>6.8778985704811557E-3</v>
      </c>
      <c r="H48" s="496" t="s">
        <v>214</v>
      </c>
      <c r="J48" s="12">
        <f t="shared" si="1"/>
        <v>14752712</v>
      </c>
      <c r="K48" s="12">
        <f t="shared" si="2"/>
        <v>5245191</v>
      </c>
      <c r="L48" s="96">
        <f t="shared" si="3"/>
        <v>19997903</v>
      </c>
      <c r="M48" s="85">
        <f t="shared" si="4"/>
        <v>0.7377129492027239</v>
      </c>
      <c r="X48" s="115">
        <v>2006</v>
      </c>
      <c r="Y48" s="116">
        <v>4730295</v>
      </c>
      <c r="Z48" s="116">
        <v>4779870</v>
      </c>
      <c r="AA48" s="116">
        <v>4877243</v>
      </c>
      <c r="AB48" s="116">
        <v>4898581</v>
      </c>
      <c r="AC48" s="116">
        <v>4941038</v>
      </c>
      <c r="AD48" s="116">
        <v>4959115</v>
      </c>
      <c r="AE48" s="116">
        <v>4998874</v>
      </c>
      <c r="AF48" s="116">
        <v>5021089</v>
      </c>
      <c r="AG48" s="116">
        <v>5010203</v>
      </c>
      <c r="AH48" s="116">
        <v>4971637</v>
      </c>
      <c r="AI48" s="116">
        <v>4976137</v>
      </c>
      <c r="AJ48" s="116">
        <v>4970068</v>
      </c>
    </row>
    <row r="49" spans="1:37">
      <c r="C49" s="115">
        <v>2008</v>
      </c>
      <c r="D49" s="116">
        <v>20491430</v>
      </c>
      <c r="F49" s="86">
        <f t="shared" si="0"/>
        <v>2.4678937586605887E-2</v>
      </c>
      <c r="H49" s="495">
        <v>17606588.999999996</v>
      </c>
      <c r="J49" s="12">
        <f t="shared" si="1"/>
        <v>14994238</v>
      </c>
      <c r="K49" s="12">
        <f t="shared" si="2"/>
        <v>5497192</v>
      </c>
      <c r="L49" s="96">
        <f t="shared" si="3"/>
        <v>20491430</v>
      </c>
      <c r="M49" s="85">
        <f t="shared" si="4"/>
        <v>0.73173214363272843</v>
      </c>
      <c r="X49" s="115">
        <v>2007</v>
      </c>
      <c r="Y49" s="116">
        <v>4942217</v>
      </c>
      <c r="Z49" s="116">
        <v>4960408</v>
      </c>
      <c r="AA49" s="116">
        <v>5043697</v>
      </c>
      <c r="AB49" s="116">
        <v>5050231</v>
      </c>
      <c r="AC49" s="116">
        <v>5076620</v>
      </c>
      <c r="AD49" s="116">
        <v>5134380</v>
      </c>
      <c r="AE49" s="116">
        <v>5207735</v>
      </c>
      <c r="AF49" s="116">
        <v>5224527</v>
      </c>
      <c r="AG49" s="116">
        <v>5331762</v>
      </c>
      <c r="AH49" s="116">
        <v>5342990</v>
      </c>
      <c r="AI49" s="116">
        <v>5350994</v>
      </c>
      <c r="AJ49" s="116">
        <v>5245191</v>
      </c>
    </row>
    <row r="50" spans="1:37">
      <c r="C50" s="115">
        <v>2009</v>
      </c>
      <c r="D50" s="116">
        <v>19505573</v>
      </c>
      <c r="F50" s="86">
        <f t="shared" si="0"/>
        <v>-4.8110697984474537E-2</v>
      </c>
      <c r="H50" s="495">
        <v>15897881.999999998</v>
      </c>
      <c r="J50" s="12">
        <f t="shared" si="1"/>
        <v>14077977</v>
      </c>
      <c r="K50" s="12">
        <f t="shared" si="2"/>
        <v>5427596</v>
      </c>
      <c r="L50" s="96">
        <f t="shared" si="3"/>
        <v>19505573</v>
      </c>
      <c r="M50" s="85">
        <f t="shared" si="4"/>
        <v>0.72174126850823606</v>
      </c>
      <c r="X50" s="115">
        <v>2008</v>
      </c>
      <c r="Y50" s="116">
        <v>5315363</v>
      </c>
      <c r="Z50" s="116">
        <v>5328168</v>
      </c>
      <c r="AA50" s="116">
        <v>5355905</v>
      </c>
      <c r="AB50" s="116">
        <v>5371069</v>
      </c>
      <c r="AC50" s="116">
        <v>5375296</v>
      </c>
      <c r="AD50" s="116">
        <v>5393283</v>
      </c>
      <c r="AE50" s="116">
        <v>5417817</v>
      </c>
      <c r="AF50" s="116">
        <v>5439029</v>
      </c>
      <c r="AG50" s="116">
        <v>5460834</v>
      </c>
      <c r="AH50" s="116">
        <v>5471767</v>
      </c>
      <c r="AI50" s="116">
        <v>5469680</v>
      </c>
      <c r="AJ50" s="116">
        <v>5497192</v>
      </c>
    </row>
    <row r="51" spans="1:37">
      <c r="C51" s="115">
        <v>2010</v>
      </c>
      <c r="D51" s="116">
        <v>19918643</v>
      </c>
      <c r="F51" s="86">
        <f t="shared" si="0"/>
        <v>2.1177024638035391E-2</v>
      </c>
      <c r="H51" s="495">
        <v>15606590.999999998</v>
      </c>
      <c r="J51" s="12">
        <f t="shared" si="1"/>
        <v>14352717</v>
      </c>
      <c r="K51" s="12">
        <f t="shared" si="2"/>
        <v>5565926</v>
      </c>
      <c r="L51" s="96">
        <f t="shared" si="3"/>
        <v>19918643</v>
      </c>
      <c r="M51" s="85">
        <f t="shared" si="4"/>
        <v>0.72056700850554933</v>
      </c>
      <c r="X51" s="115">
        <v>2009</v>
      </c>
      <c r="Y51" s="116">
        <v>5488487</v>
      </c>
      <c r="Z51" s="116">
        <v>5471765</v>
      </c>
      <c r="AA51" s="116">
        <v>5496056</v>
      </c>
      <c r="AB51" s="116">
        <v>5500418</v>
      </c>
      <c r="AC51" s="116">
        <v>5504190</v>
      </c>
      <c r="AD51" s="116">
        <v>5496555</v>
      </c>
      <c r="AE51" s="116">
        <v>5492808</v>
      </c>
      <c r="AF51" s="116">
        <v>5483432</v>
      </c>
      <c r="AG51" s="116">
        <v>5552252</v>
      </c>
      <c r="AH51" s="116">
        <v>5442197</v>
      </c>
      <c r="AI51" s="116">
        <v>5438659</v>
      </c>
      <c r="AJ51" s="116">
        <v>5427596</v>
      </c>
    </row>
    <row r="52" spans="1:37">
      <c r="C52" s="115" t="s">
        <v>129</v>
      </c>
      <c r="D52" s="116">
        <v>19731368</v>
      </c>
      <c r="F52" s="86">
        <f t="shared" si="0"/>
        <v>-9.401995909058658E-3</v>
      </c>
      <c r="H52" s="495">
        <v>14828813.999999998</v>
      </c>
      <c r="J52" s="12">
        <f t="shared" si="1"/>
        <v>14147970</v>
      </c>
      <c r="K52" s="12">
        <f t="shared" si="2"/>
        <v>5583398</v>
      </c>
      <c r="L52" s="96">
        <f t="shared" si="3"/>
        <v>19731368</v>
      </c>
      <c r="M52" s="85">
        <f t="shared" si="4"/>
        <v>0.71702935143675794</v>
      </c>
      <c r="X52" s="115">
        <v>2010</v>
      </c>
      <c r="Y52" s="116">
        <v>5414939</v>
      </c>
      <c r="Z52" s="116">
        <v>5423693</v>
      </c>
      <c r="AA52" s="116">
        <v>5443619</v>
      </c>
      <c r="AB52" s="116">
        <v>5458220</v>
      </c>
      <c r="AC52" s="116">
        <v>5473375</v>
      </c>
      <c r="AD52" s="116">
        <v>5475657</v>
      </c>
      <c r="AE52" s="116">
        <v>5471918</v>
      </c>
      <c r="AF52" s="116">
        <v>5459783</v>
      </c>
      <c r="AG52" s="116">
        <v>5596605</v>
      </c>
      <c r="AH52" s="116">
        <v>5591880</v>
      </c>
      <c r="AI52" s="116">
        <v>5553492</v>
      </c>
      <c r="AJ52" s="116">
        <v>5565926</v>
      </c>
    </row>
    <row r="53" spans="1:37">
      <c r="C53" s="115" t="s">
        <v>130</v>
      </c>
      <c r="D53" s="116">
        <v>20587824</v>
      </c>
      <c r="F53" s="86">
        <f t="shared" si="0"/>
        <v>4.3405809470483669E-2</v>
      </c>
      <c r="H53" s="495">
        <v>14238223.999999998</v>
      </c>
      <c r="J53" s="12">
        <f t="shared" si="1"/>
        <v>14285809</v>
      </c>
      <c r="K53" s="12">
        <f t="shared" si="2"/>
        <v>6302015</v>
      </c>
      <c r="L53" s="96">
        <f t="shared" si="3"/>
        <v>20587824</v>
      </c>
      <c r="M53" s="85">
        <f t="shared" si="4"/>
        <v>0.69389601348836094</v>
      </c>
      <c r="X53" s="115" t="s">
        <v>129</v>
      </c>
      <c r="Y53" s="116">
        <v>5530241</v>
      </c>
      <c r="Z53" s="116">
        <v>5521346</v>
      </c>
      <c r="AA53" s="116">
        <v>5476278</v>
      </c>
      <c r="AB53" s="116">
        <v>5496080</v>
      </c>
      <c r="AC53" s="116">
        <v>5483059</v>
      </c>
      <c r="AD53" s="116">
        <v>5362004</v>
      </c>
      <c r="AE53" s="116">
        <v>5362226</v>
      </c>
      <c r="AF53" s="116">
        <v>5380058</v>
      </c>
      <c r="AG53" s="116">
        <v>5448934</v>
      </c>
      <c r="AH53" s="116">
        <v>5455196</v>
      </c>
      <c r="AI53" s="116">
        <v>5482182</v>
      </c>
      <c r="AJ53" s="116">
        <v>5583398</v>
      </c>
    </row>
    <row r="54" spans="1:37">
      <c r="C54" s="115" t="s">
        <v>131</v>
      </c>
      <c r="D54" s="116">
        <v>20590449</v>
      </c>
      <c r="F54" s="86">
        <f t="shared" si="0"/>
        <v>1.2750254713655984E-4</v>
      </c>
      <c r="H54" s="495">
        <v>13556542.999999998</v>
      </c>
      <c r="J54" s="12">
        <f t="shared" si="1"/>
        <v>14027410</v>
      </c>
      <c r="K54" s="12">
        <f t="shared" si="2"/>
        <v>6563039</v>
      </c>
      <c r="L54" s="96">
        <f t="shared" si="3"/>
        <v>20590449</v>
      </c>
      <c r="M54" s="85">
        <f t="shared" si="4"/>
        <v>0.68125809204063492</v>
      </c>
      <c r="X54" s="115" t="s">
        <v>130</v>
      </c>
      <c r="Y54" s="116">
        <v>6098791</v>
      </c>
      <c r="Z54" s="116">
        <v>6125137</v>
      </c>
      <c r="AA54" s="116">
        <v>5927665</v>
      </c>
      <c r="AB54" s="116">
        <v>5960231</v>
      </c>
      <c r="AC54" s="116">
        <v>5993741</v>
      </c>
      <c r="AD54" s="116">
        <v>6217535</v>
      </c>
      <c r="AE54" s="116">
        <v>6247604</v>
      </c>
      <c r="AF54" s="116">
        <v>6275965</v>
      </c>
      <c r="AG54" s="116">
        <v>6174764</v>
      </c>
      <c r="AH54" s="116">
        <v>6204623</v>
      </c>
      <c r="AI54" s="116">
        <v>6231730</v>
      </c>
      <c r="AJ54" s="116">
        <v>6302015</v>
      </c>
    </row>
    <row r="55" spans="1:37">
      <c r="D55" s="43" t="s">
        <v>165</v>
      </c>
      <c r="J55" s="43" t="s">
        <v>166</v>
      </c>
      <c r="K55" s="43" t="s">
        <v>167</v>
      </c>
      <c r="X55" s="115" t="s">
        <v>131</v>
      </c>
      <c r="Y55" s="116">
        <v>6324035</v>
      </c>
      <c r="Z55" s="116">
        <v>6344803</v>
      </c>
      <c r="AA55" s="116">
        <v>6451346</v>
      </c>
      <c r="AB55" s="116">
        <v>6479467</v>
      </c>
      <c r="AC55" s="116">
        <v>6507314</v>
      </c>
      <c r="AD55" s="116">
        <v>6518209</v>
      </c>
      <c r="AE55" s="116">
        <v>6549840</v>
      </c>
      <c r="AF55" s="116">
        <v>6577703</v>
      </c>
      <c r="AG55" s="116">
        <v>6475915</v>
      </c>
      <c r="AH55" s="116">
        <v>6495770</v>
      </c>
      <c r="AI55" s="116">
        <v>6518914</v>
      </c>
      <c r="AJ55" s="116">
        <v>6563039</v>
      </c>
    </row>
    <row r="56" spans="1:37">
      <c r="C56" s="523"/>
      <c r="D56" s="523" t="s">
        <v>132</v>
      </c>
      <c r="E56" s="523"/>
    </row>
    <row r="57" spans="1:37" ht="12" customHeight="1">
      <c r="C57" s="523"/>
      <c r="D57" s="523" t="s">
        <v>133</v>
      </c>
      <c r="E57" s="523"/>
    </row>
    <row r="62" spans="1:37" s="166" customFormat="1" ht="20.25" thickBot="1">
      <c r="A62" s="169" t="s">
        <v>248</v>
      </c>
      <c r="B62" s="169"/>
      <c r="C62" s="169"/>
    </row>
    <row r="63" spans="1:37" ht="21" thickTop="1" thickBot="1">
      <c r="A63" s="162" t="s">
        <v>134</v>
      </c>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row>
    <row r="64" spans="1:37" ht="12.75" thickTop="1"/>
    <row r="65" spans="3:10">
      <c r="C65" s="173" t="s">
        <v>249</v>
      </c>
      <c r="J65" s="173" t="s">
        <v>257</v>
      </c>
    </row>
    <row r="66" spans="3:10">
      <c r="C66" s="34" t="s">
        <v>160</v>
      </c>
      <c r="J66" s="107" t="s">
        <v>138</v>
      </c>
    </row>
    <row r="67" spans="3:10">
      <c r="C67" s="117" t="s">
        <v>126</v>
      </c>
      <c r="D67" s="118" t="s">
        <v>9</v>
      </c>
      <c r="E67" s="118" t="s">
        <v>135</v>
      </c>
      <c r="F67" s="118" t="s">
        <v>136</v>
      </c>
      <c r="G67" s="118" t="s">
        <v>137</v>
      </c>
      <c r="H67" s="118" t="s">
        <v>10</v>
      </c>
    </row>
    <row r="68" spans="3:10">
      <c r="C68" s="115">
        <v>2000</v>
      </c>
      <c r="D68" s="116">
        <v>1023024</v>
      </c>
      <c r="E68" s="116"/>
      <c r="F68" s="116">
        <v>8622</v>
      </c>
      <c r="G68" s="116">
        <v>103341</v>
      </c>
      <c r="H68" s="116">
        <v>1134987</v>
      </c>
    </row>
    <row r="69" spans="3:10">
      <c r="C69" s="115">
        <v>2001</v>
      </c>
      <c r="D69" s="116">
        <v>1772568</v>
      </c>
      <c r="E69" s="116">
        <v>5300</v>
      </c>
      <c r="F69" s="116">
        <v>64479</v>
      </c>
      <c r="G69" s="116">
        <v>41291</v>
      </c>
      <c r="H69" s="116">
        <v>1883638</v>
      </c>
    </row>
    <row r="70" spans="3:10">
      <c r="C70" s="115">
        <v>2002</v>
      </c>
      <c r="D70" s="116">
        <v>1864929</v>
      </c>
      <c r="E70" s="116">
        <v>78120</v>
      </c>
      <c r="F70" s="116">
        <v>124052</v>
      </c>
      <c r="G70" s="116">
        <v>29314</v>
      </c>
      <c r="H70" s="116">
        <v>2096415</v>
      </c>
    </row>
    <row r="71" spans="3:10">
      <c r="C71" s="115">
        <v>2003</v>
      </c>
      <c r="D71" s="116">
        <v>2015996</v>
      </c>
      <c r="E71" s="116">
        <v>213494</v>
      </c>
      <c r="F71" s="116">
        <v>180752</v>
      </c>
      <c r="G71" s="116">
        <v>34125</v>
      </c>
      <c r="H71" s="116">
        <v>2444367</v>
      </c>
    </row>
    <row r="72" spans="3:10">
      <c r="C72" s="115">
        <v>2004</v>
      </c>
      <c r="D72" s="116">
        <v>2134042</v>
      </c>
      <c r="E72" s="116">
        <v>695912</v>
      </c>
      <c r="F72" s="116">
        <v>326774</v>
      </c>
      <c r="G72" s="116">
        <v>34596</v>
      </c>
      <c r="H72" s="116">
        <v>3191324</v>
      </c>
    </row>
    <row r="73" spans="3:10">
      <c r="C73" s="115">
        <v>2005</v>
      </c>
      <c r="D73" s="116">
        <v>1959544</v>
      </c>
      <c r="E73" s="116">
        <v>1198725</v>
      </c>
      <c r="F73" s="116">
        <v>668874</v>
      </c>
      <c r="G73" s="116">
        <v>54753</v>
      </c>
      <c r="H73" s="116">
        <v>3881896</v>
      </c>
    </row>
    <row r="74" spans="3:10">
      <c r="C74" s="115">
        <v>2006</v>
      </c>
      <c r="D74" s="116">
        <v>1718795</v>
      </c>
      <c r="E74" s="116">
        <v>1960557</v>
      </c>
      <c r="F74" s="116">
        <v>987802</v>
      </c>
      <c r="G74" s="116">
        <v>138785</v>
      </c>
      <c r="H74" s="116">
        <v>4805939</v>
      </c>
    </row>
    <row r="75" spans="3:10">
      <c r="C75" s="115">
        <v>2007</v>
      </c>
      <c r="D75" s="116">
        <v>1283288</v>
      </c>
      <c r="E75" s="116">
        <v>3150190</v>
      </c>
      <c r="F75" s="116">
        <v>1236239</v>
      </c>
      <c r="G75" s="116">
        <v>177844</v>
      </c>
      <c r="H75" s="116">
        <v>5847561</v>
      </c>
    </row>
    <row r="76" spans="3:10">
      <c r="C76" s="115">
        <v>2008</v>
      </c>
      <c r="D76" s="116">
        <v>702391</v>
      </c>
      <c r="E76" s="116">
        <v>5670890</v>
      </c>
      <c r="F76" s="116">
        <v>1615688</v>
      </c>
      <c r="G76" s="116">
        <v>246346</v>
      </c>
      <c r="H76" s="116">
        <v>8235315</v>
      </c>
    </row>
    <row r="77" spans="3:10">
      <c r="C77" s="115">
        <v>2009</v>
      </c>
      <c r="D77" s="116">
        <v>395588</v>
      </c>
      <c r="E77" s="116">
        <v>7328785</v>
      </c>
      <c r="F77" s="116">
        <v>1876848</v>
      </c>
      <c r="G77" s="116">
        <v>523076</v>
      </c>
      <c r="H77" s="116">
        <v>10124297</v>
      </c>
    </row>
    <row r="78" spans="3:10">
      <c r="C78" s="115">
        <v>2010</v>
      </c>
      <c r="D78" s="116">
        <v>305279</v>
      </c>
      <c r="E78" s="116">
        <v>8825569</v>
      </c>
      <c r="F78" s="116">
        <v>2133548</v>
      </c>
      <c r="G78" s="116">
        <v>610549</v>
      </c>
      <c r="H78" s="116">
        <v>11874945</v>
      </c>
    </row>
    <row r="79" spans="3:10">
      <c r="C79" s="115" t="s">
        <v>129</v>
      </c>
      <c r="D79" s="116">
        <v>260399</v>
      </c>
      <c r="E79" s="116">
        <v>9340035</v>
      </c>
      <c r="F79" s="116">
        <v>2366206</v>
      </c>
      <c r="G79" s="116">
        <v>781591</v>
      </c>
      <c r="H79" s="116">
        <v>12748231</v>
      </c>
    </row>
    <row r="80" spans="3:10">
      <c r="C80" s="115" t="s">
        <v>130</v>
      </c>
      <c r="D80" s="116">
        <v>220276</v>
      </c>
      <c r="E80" s="116">
        <v>9430945</v>
      </c>
      <c r="F80" s="116">
        <v>2757386</v>
      </c>
      <c r="G80" s="116">
        <v>1115561</v>
      </c>
      <c r="H80" s="116">
        <v>13524168</v>
      </c>
    </row>
    <row r="81" spans="3:15">
      <c r="C81" s="115" t="s">
        <v>131</v>
      </c>
      <c r="D81" s="116">
        <v>200904</v>
      </c>
      <c r="E81" s="116">
        <v>9361331</v>
      </c>
      <c r="F81" s="116">
        <v>2779825</v>
      </c>
      <c r="G81" s="116">
        <v>1195001</v>
      </c>
      <c r="H81" s="116">
        <v>13537061</v>
      </c>
      <c r="J81" s="124">
        <v>0.63600000000000001</v>
      </c>
    </row>
    <row r="82" spans="3:15">
      <c r="D82" s="43" t="s">
        <v>175</v>
      </c>
      <c r="E82" s="43" t="s">
        <v>173</v>
      </c>
      <c r="F82" s="43" t="s">
        <v>174</v>
      </c>
      <c r="G82" s="43" t="s">
        <v>176</v>
      </c>
      <c r="J82" s="43" t="s">
        <v>177</v>
      </c>
    </row>
    <row r="83" spans="3:15">
      <c r="C83" s="523"/>
      <c r="D83" s="523" t="s">
        <v>132</v>
      </c>
      <c r="E83" s="523"/>
    </row>
    <row r="84" spans="3:15" ht="12" customHeight="1">
      <c r="C84" s="523"/>
      <c r="D84" s="523" t="s">
        <v>133</v>
      </c>
      <c r="E84" s="523"/>
    </row>
    <row r="86" spans="3:15">
      <c r="C86" s="105" t="s">
        <v>251</v>
      </c>
      <c r="D86" s="100"/>
    </row>
    <row r="88" spans="3:15">
      <c r="C88"/>
      <c r="D88"/>
    </row>
    <row r="89" spans="3:15">
      <c r="C89" s="336" t="s">
        <v>540</v>
      </c>
      <c r="D89" s="326"/>
      <c r="E89" s="326"/>
      <c r="F89" s="326"/>
      <c r="G89" s="326"/>
      <c r="H89" s="326"/>
      <c r="I89" s="326"/>
      <c r="J89" s="326"/>
      <c r="K89" s="326"/>
      <c r="L89" s="326"/>
      <c r="M89" s="326"/>
      <c r="N89" s="326"/>
    </row>
    <row r="90" spans="3:15">
      <c r="C90" s="336" t="s">
        <v>548</v>
      </c>
      <c r="D90" s="326"/>
      <c r="E90" s="326"/>
      <c r="F90" s="326"/>
      <c r="G90" s="326"/>
      <c r="H90" s="326"/>
      <c r="I90" s="326"/>
      <c r="J90" s="338" t="s">
        <v>547</v>
      </c>
      <c r="K90" s="326"/>
      <c r="L90" s="326"/>
      <c r="M90" s="326"/>
      <c r="N90" s="326"/>
    </row>
    <row r="91" spans="3:15">
      <c r="C91" s="340" t="s">
        <v>525</v>
      </c>
      <c r="D91" s="340">
        <f t="array" ref="D91:O91">TRANSPOSE(Years)</f>
        <v>2008</v>
      </c>
      <c r="E91" s="340">
        <v>2009</v>
      </c>
      <c r="F91" s="340">
        <v>2010</v>
      </c>
      <c r="G91" s="340">
        <v>2011</v>
      </c>
      <c r="H91" s="340">
        <v>2012</v>
      </c>
      <c r="I91" s="340">
        <v>2013</v>
      </c>
      <c r="J91" s="340">
        <v>2014</v>
      </c>
      <c r="K91" s="340">
        <v>2015</v>
      </c>
      <c r="L91" s="340">
        <v>2016</v>
      </c>
      <c r="M91" s="340">
        <v>2017</v>
      </c>
      <c r="N91" s="340">
        <v>2018</v>
      </c>
      <c r="O91" s="340">
        <v>2019</v>
      </c>
    </row>
    <row r="92" spans="3:15">
      <c r="C92" s="347" t="s">
        <v>541</v>
      </c>
      <c r="E92" s="94"/>
      <c r="F92" s="94"/>
      <c r="G92" s="94"/>
      <c r="H92" s="94"/>
      <c r="I92" s="94"/>
      <c r="J92" s="381">
        <f t="array" ref="J92:J95">'11'!J123:J126</f>
        <v>481498.78</v>
      </c>
      <c r="K92" s="94"/>
      <c r="L92" s="94"/>
      <c r="M92" s="94"/>
      <c r="N92" s="94"/>
      <c r="O92" s="94"/>
    </row>
    <row r="93" spans="3:15">
      <c r="C93" s="347" t="s">
        <v>542</v>
      </c>
      <c r="E93" s="94"/>
      <c r="F93" s="94"/>
      <c r="G93" s="94"/>
      <c r="H93" s="94"/>
      <c r="I93" s="94"/>
      <c r="J93" s="381">
        <v>6295240.3500000006</v>
      </c>
      <c r="K93" s="94"/>
      <c r="L93" s="94"/>
      <c r="M93" s="94"/>
      <c r="N93" s="94"/>
      <c r="O93" s="94"/>
    </row>
    <row r="94" spans="3:15">
      <c r="C94" s="347" t="s">
        <v>543</v>
      </c>
      <c r="E94" s="347"/>
      <c r="F94" s="94"/>
      <c r="G94" s="94"/>
      <c r="H94" s="94"/>
      <c r="I94" s="94"/>
      <c r="J94" s="381">
        <v>1721457.1</v>
      </c>
      <c r="K94" s="94"/>
      <c r="L94" s="94"/>
      <c r="M94" s="94"/>
      <c r="N94" s="94"/>
      <c r="O94" s="94"/>
    </row>
    <row r="95" spans="3:15">
      <c r="C95" s="347" t="s">
        <v>544</v>
      </c>
      <c r="E95" s="347"/>
      <c r="F95" s="94"/>
      <c r="G95" s="94"/>
      <c r="H95" s="94"/>
      <c r="I95" s="94"/>
      <c r="J95" s="381">
        <v>409519.66</v>
      </c>
      <c r="K95" s="94"/>
      <c r="L95" s="94"/>
      <c r="M95" s="94"/>
      <c r="N95" s="94"/>
      <c r="O95" s="94"/>
    </row>
    <row r="96" spans="3:15">
      <c r="C96" s="352" t="s">
        <v>545</v>
      </c>
      <c r="E96" s="347"/>
      <c r="F96" s="94"/>
      <c r="G96" s="94"/>
      <c r="H96" s="94"/>
      <c r="I96" s="94"/>
      <c r="J96" s="94"/>
      <c r="K96" s="94"/>
      <c r="L96" s="94"/>
      <c r="M96" s="94"/>
      <c r="N96" s="94"/>
      <c r="O96" s="94"/>
    </row>
    <row r="97" spans="3:15">
      <c r="C97" s="352" t="s">
        <v>545</v>
      </c>
      <c r="E97" s="347"/>
      <c r="F97" s="94"/>
      <c r="G97" s="94"/>
      <c r="H97" s="94"/>
      <c r="I97" s="94"/>
      <c r="J97" s="94"/>
      <c r="K97" s="94"/>
      <c r="L97" s="94"/>
      <c r="M97" s="94"/>
      <c r="N97" s="94"/>
      <c r="O97" s="94"/>
    </row>
    <row r="98" spans="3:15">
      <c r="C98" s="352" t="s">
        <v>545</v>
      </c>
      <c r="E98" s="347"/>
      <c r="F98" s="94"/>
      <c r="G98" s="94"/>
      <c r="H98" s="94"/>
      <c r="I98" s="94"/>
      <c r="J98" s="94"/>
      <c r="K98" s="94"/>
      <c r="L98" s="94"/>
      <c r="M98" s="94"/>
      <c r="N98" s="94"/>
      <c r="O98" s="94"/>
    </row>
    <row r="99" spans="3:15">
      <c r="C99" s="352" t="s">
        <v>545</v>
      </c>
      <c r="E99" s="347"/>
      <c r="F99" s="94"/>
      <c r="G99" s="94"/>
      <c r="H99" s="94"/>
      <c r="I99" s="94"/>
      <c r="J99" s="94"/>
      <c r="K99" s="94"/>
      <c r="L99" s="94"/>
      <c r="M99" s="94"/>
      <c r="N99" s="94"/>
      <c r="O99" s="94"/>
    </row>
    <row r="100" spans="3:15">
      <c r="C100" s="353" t="s">
        <v>546</v>
      </c>
      <c r="D100" s="326"/>
      <c r="E100" s="326"/>
      <c r="F100" s="326"/>
      <c r="G100" s="326"/>
      <c r="H100" s="326"/>
      <c r="I100" s="326"/>
      <c r="J100" s="355">
        <f>SUM(J92:J99)</f>
        <v>8907715.8900000006</v>
      </c>
      <c r="K100" s="326"/>
      <c r="L100" s="326"/>
      <c r="M100" s="326"/>
      <c r="N100" s="326"/>
    </row>
    <row r="102" spans="3:15" s="326" customFormat="1">
      <c r="C102" s="336" t="s">
        <v>697</v>
      </c>
    </row>
    <row r="103" spans="3:15" s="326" customFormat="1">
      <c r="C103" s="336" t="s">
        <v>698</v>
      </c>
    </row>
    <row r="104" spans="3:15" s="326" customFormat="1">
      <c r="C104" s="340" t="s">
        <v>525</v>
      </c>
      <c r="D104" s="340">
        <f t="array" ref="D104:O104">TRANSPOSE(Years)</f>
        <v>2008</v>
      </c>
      <c r="E104" s="340">
        <v>2009</v>
      </c>
      <c r="F104" s="340">
        <v>2010</v>
      </c>
      <c r="G104" s="340">
        <v>2011</v>
      </c>
      <c r="H104" s="340">
        <v>2012</v>
      </c>
      <c r="I104" s="340">
        <v>2013</v>
      </c>
      <c r="J104" s="340">
        <v>2014</v>
      </c>
      <c r="K104" s="340">
        <v>2015</v>
      </c>
      <c r="L104" s="340">
        <v>2016</v>
      </c>
      <c r="M104" s="340">
        <v>2017</v>
      </c>
      <c r="N104" s="340">
        <v>2018</v>
      </c>
      <c r="O104" s="340">
        <v>2019</v>
      </c>
    </row>
    <row r="105" spans="3:15" s="326" customFormat="1">
      <c r="C105" s="347" t="s">
        <v>541</v>
      </c>
      <c r="E105" s="94"/>
      <c r="F105" s="94"/>
      <c r="G105" s="94"/>
      <c r="H105" s="94"/>
      <c r="I105" s="94"/>
      <c r="J105" s="97">
        <f t="array" ref="J105:J108">J92:J95/J100</f>
        <v>5.4054124081409159E-2</v>
      </c>
      <c r="K105" s="94"/>
      <c r="L105" s="94"/>
      <c r="M105" s="94"/>
      <c r="N105" s="94"/>
      <c r="O105" s="94"/>
    </row>
    <row r="106" spans="3:15" s="326" customFormat="1">
      <c r="C106" s="347" t="s">
        <v>542</v>
      </c>
      <c r="E106" s="94"/>
      <c r="F106" s="94"/>
      <c r="G106" s="94"/>
      <c r="H106" s="94"/>
      <c r="I106" s="94"/>
      <c r="J106" s="97">
        <v>0.70671768472849217</v>
      </c>
      <c r="K106" s="94"/>
      <c r="L106" s="94"/>
      <c r="M106" s="94"/>
      <c r="N106" s="94"/>
      <c r="O106" s="94"/>
    </row>
    <row r="107" spans="3:15" s="326" customFormat="1">
      <c r="C107" s="347" t="s">
        <v>543</v>
      </c>
      <c r="E107" s="347"/>
      <c r="F107" s="94"/>
      <c r="G107" s="94"/>
      <c r="H107" s="94"/>
      <c r="I107" s="94"/>
      <c r="J107" s="97">
        <v>0.19325460322915619</v>
      </c>
      <c r="K107" s="94"/>
      <c r="L107" s="94"/>
      <c r="M107" s="94"/>
      <c r="N107" s="94"/>
      <c r="O107" s="94"/>
    </row>
    <row r="108" spans="3:15" s="326" customFormat="1">
      <c r="C108" s="347" t="s">
        <v>544</v>
      </c>
      <c r="E108" s="347"/>
      <c r="F108" s="94"/>
      <c r="G108" s="94"/>
      <c r="H108" s="94"/>
      <c r="I108" s="94"/>
      <c r="J108" s="97">
        <v>4.5973587960942468E-2</v>
      </c>
      <c r="K108" s="94"/>
      <c r="L108" s="94"/>
      <c r="M108" s="94"/>
      <c r="N108" s="94"/>
      <c r="O108" s="94"/>
    </row>
    <row r="109" spans="3:15" s="326" customFormat="1">
      <c r="J109" s="465">
        <f>SUM(J105:J108)</f>
        <v>1</v>
      </c>
    </row>
    <row r="110" spans="3:15" s="326" customFormat="1"/>
    <row r="111" spans="3:15" s="326" customFormat="1">
      <c r="C111" s="336" t="s">
        <v>540</v>
      </c>
    </row>
    <row r="112" spans="3:15" s="326" customFormat="1">
      <c r="C112" s="336" t="s">
        <v>548</v>
      </c>
      <c r="J112" s="158"/>
    </row>
    <row r="113" spans="3:15" s="326" customFormat="1">
      <c r="C113" s="340" t="s">
        <v>525</v>
      </c>
      <c r="D113" s="340">
        <f t="array" ref="D113:O113">TRANSPOSE(Years)</f>
        <v>2008</v>
      </c>
      <c r="E113" s="340">
        <v>2009</v>
      </c>
      <c r="F113" s="340">
        <v>2010</v>
      </c>
      <c r="G113" s="340">
        <v>2011</v>
      </c>
      <c r="H113" s="340">
        <v>2012</v>
      </c>
      <c r="I113" s="340">
        <v>2013</v>
      </c>
      <c r="J113" s="340">
        <v>2014</v>
      </c>
      <c r="K113" s="340">
        <v>2015</v>
      </c>
      <c r="L113" s="340">
        <v>2016</v>
      </c>
      <c r="M113" s="340">
        <v>2017</v>
      </c>
      <c r="N113" s="340">
        <v>2018</v>
      </c>
      <c r="O113" s="340">
        <v>2019</v>
      </c>
    </row>
    <row r="114" spans="3:15" s="326" customFormat="1">
      <c r="C114" s="335" t="str">
        <f t="array" ref="C114:C125">Broadband.plans</f>
        <v>Paquete Acerques (5 Mbps)</v>
      </c>
      <c r="J114" s="365"/>
    </row>
    <row r="115" spans="3:15" s="326" customFormat="1">
      <c r="C115" s="335" t="str">
        <v>Paquete Conectes (3 Mbps)</v>
      </c>
      <c r="J115" s="365"/>
    </row>
    <row r="116" spans="3:15" s="326" customFormat="1">
      <c r="C116" s="335" t="str">
        <v>Paquete Conectes Frontera (3 Mbps)</v>
      </c>
      <c r="J116" s="365"/>
    </row>
    <row r="117" spans="3:15" s="326" customFormat="1">
      <c r="C117" s="335" t="str">
        <v>Paquete Conectes Negocio (3 Mbps)</v>
      </c>
      <c r="J117" s="365"/>
    </row>
    <row r="118" spans="3:15" s="326" customFormat="1">
      <c r="C118" s="335" t="str">
        <v>Infinitum 10 Mb</v>
      </c>
      <c r="J118" s="365"/>
    </row>
    <row r="119" spans="3:15" s="326" customFormat="1">
      <c r="C119" s="335" t="str">
        <v>Infinitum 5 Mb</v>
      </c>
      <c r="J119" s="365"/>
    </row>
    <row r="120" spans="3:15" s="326" customFormat="1">
      <c r="C120" s="354" t="str">
        <v>Paquete Mi Negocio (3 Mbps)</v>
      </c>
      <c r="J120" s="365"/>
    </row>
    <row r="121" spans="3:15" s="326" customFormat="1">
      <c r="C121" s="354" t="str">
        <v>Paquete SuperNegocio (5 Mbps)</v>
      </c>
      <c r="J121" s="365"/>
    </row>
    <row r="122" spans="3:15" s="326" customFormat="1">
      <c r="C122" s="354" t="str">
        <v>Paquete Telmex Negocio Sin Límites 1 (10 Mbps)</v>
      </c>
      <c r="J122" s="365"/>
    </row>
    <row r="123" spans="3:15" s="326" customFormat="1">
      <c r="C123" s="354" t="str">
        <v>Paquete Telmex Negocio Sin Límites 2 (10 Mbps)</v>
      </c>
      <c r="J123" s="365"/>
    </row>
    <row r="124" spans="3:15" s="326" customFormat="1">
      <c r="C124" s="354" t="str">
        <v>Paquete Telmex Negocio Sin Límites 3 (10 Mbps)</v>
      </c>
      <c r="J124" s="365"/>
    </row>
    <row r="125" spans="3:15" s="326" customFormat="1">
      <c r="C125" s="354" t="str">
        <v>Paquete Telmex Todo México Sin Límites (10 Mbps)</v>
      </c>
      <c r="J125" s="365"/>
    </row>
    <row r="126" spans="3:15" s="326" customFormat="1">
      <c r="J126"/>
    </row>
    <row r="127" spans="3:15" s="326" customFormat="1"/>
    <row r="128" spans="3:15">
      <c r="C128" s="336" t="s">
        <v>697</v>
      </c>
    </row>
    <row r="129" spans="3:15">
      <c r="C129" s="336" t="s">
        <v>698</v>
      </c>
    </row>
    <row r="130" spans="3:15">
      <c r="C130" s="340" t="s">
        <v>525</v>
      </c>
      <c r="D130" s="340">
        <f t="array" ref="D130:O130">TRANSPOSE(Years)</f>
        <v>2008</v>
      </c>
      <c r="E130" s="340">
        <v>2009</v>
      </c>
      <c r="F130" s="340">
        <v>2010</v>
      </c>
      <c r="G130" s="340">
        <v>2011</v>
      </c>
      <c r="H130" s="340">
        <v>2012</v>
      </c>
      <c r="I130" s="340">
        <v>2013</v>
      </c>
      <c r="J130" s="340">
        <v>2014</v>
      </c>
      <c r="K130" s="340">
        <v>2015</v>
      </c>
      <c r="L130" s="340">
        <v>2016</v>
      </c>
      <c r="M130" s="340">
        <v>2017</v>
      </c>
      <c r="N130" s="340">
        <v>2018</v>
      </c>
      <c r="O130" s="340">
        <v>2019</v>
      </c>
    </row>
    <row r="131" spans="3:15">
      <c r="C131" s="335" t="str">
        <f t="array" ref="C131:C142">Broadband.plans</f>
        <v>Paquete Acerques (5 Mbps)</v>
      </c>
      <c r="E131"/>
      <c r="J131" s="86">
        <f t="array" ref="J131:J142">IF(Broadband.subscribers.selected=Broadband.subscribers.Telmex.option,Broadband.subscribers.Telmex/SUM(Broadband.subscribers.Telmex),Broadband.subscribers.supuesto)</f>
        <v>0.45</v>
      </c>
      <c r="K131"/>
      <c r="L131"/>
      <c r="M131" s="326"/>
      <c r="N131" s="326"/>
      <c r="O131" s="326"/>
    </row>
    <row r="132" spans="3:15">
      <c r="C132" s="335" t="str">
        <v>Paquete Conectes (3 Mbps)</v>
      </c>
      <c r="E132"/>
      <c r="J132" s="86">
        <v>1.4999999999999999E-2</v>
      </c>
      <c r="K132"/>
      <c r="L132"/>
      <c r="M132" s="326"/>
      <c r="N132" s="326"/>
      <c r="O132" s="326"/>
    </row>
    <row r="133" spans="3:15">
      <c r="C133" s="335" t="str">
        <v>Paquete Conectes Frontera (3 Mbps)</v>
      </c>
      <c r="E133"/>
      <c r="J133" s="86">
        <v>1.4999999999999999E-2</v>
      </c>
      <c r="K133"/>
      <c r="L133"/>
      <c r="M133" s="326"/>
      <c r="N133" s="326"/>
      <c r="O133" s="326"/>
    </row>
    <row r="134" spans="3:15">
      <c r="C134" s="335" t="str">
        <v>Paquete Conectes Negocio (3 Mbps)</v>
      </c>
      <c r="E134"/>
      <c r="J134" s="86">
        <v>0.01</v>
      </c>
      <c r="K134"/>
      <c r="L134"/>
      <c r="M134" s="326"/>
      <c r="N134" s="326"/>
      <c r="O134" s="326"/>
    </row>
    <row r="135" spans="3:15">
      <c r="C135" s="335" t="str">
        <v>Infinitum 10 Mb</v>
      </c>
      <c r="E135"/>
      <c r="J135" s="86">
        <v>0.01</v>
      </c>
      <c r="K135"/>
      <c r="L135"/>
      <c r="M135" s="326"/>
      <c r="N135" s="326"/>
      <c r="O135" s="326"/>
    </row>
    <row r="136" spans="3:15">
      <c r="C136" s="335" t="str">
        <v>Infinitum 5 Mb</v>
      </c>
      <c r="E136"/>
      <c r="J136" s="86">
        <v>0.18</v>
      </c>
      <c r="K136"/>
      <c r="L136"/>
      <c r="M136" s="326"/>
      <c r="N136" s="326"/>
      <c r="O136" s="326"/>
    </row>
    <row r="137" spans="3:15">
      <c r="C137" s="354" t="str">
        <v>Paquete Mi Negocio (3 Mbps)</v>
      </c>
      <c r="E137"/>
      <c r="J137" s="86">
        <v>1.4999999999999999E-2</v>
      </c>
      <c r="K137"/>
      <c r="L137"/>
      <c r="M137" s="326"/>
      <c r="N137" s="326"/>
      <c r="O137" s="326"/>
    </row>
    <row r="138" spans="3:15">
      <c r="C138" s="354" t="str">
        <v>Paquete SuperNegocio (5 Mbps)</v>
      </c>
      <c r="E138"/>
      <c r="J138" s="86">
        <v>0.12</v>
      </c>
      <c r="K138"/>
      <c r="L138"/>
      <c r="M138" s="326"/>
      <c r="N138" s="326"/>
      <c r="O138" s="326"/>
    </row>
    <row r="139" spans="3:15">
      <c r="C139" s="354" t="str">
        <v>Paquete Telmex Negocio Sin Límites 1 (10 Mbps)</v>
      </c>
      <c r="E139"/>
      <c r="J139" s="86">
        <v>0.08</v>
      </c>
      <c r="K139"/>
      <c r="L139"/>
      <c r="M139" s="326"/>
      <c r="N139" s="326"/>
      <c r="O139" s="326"/>
    </row>
    <row r="140" spans="3:15">
      <c r="C140" s="354" t="str">
        <v>Paquete Telmex Negocio Sin Límites 2 (10 Mbps)</v>
      </c>
      <c r="E140"/>
      <c r="J140" s="86">
        <v>0.05</v>
      </c>
      <c r="K140"/>
      <c r="L140"/>
      <c r="M140" s="326"/>
      <c r="N140" s="326"/>
      <c r="O140" s="326"/>
    </row>
    <row r="141" spans="3:15">
      <c r="C141" s="354" t="str">
        <v>Paquete Telmex Negocio Sin Límites 3 (10 Mbps)</v>
      </c>
      <c r="E141"/>
      <c r="J141" s="86">
        <v>2.5000000000000001E-2</v>
      </c>
      <c r="K141"/>
      <c r="L141"/>
      <c r="M141" s="326"/>
      <c r="N141" s="326"/>
      <c r="O141" s="326"/>
    </row>
    <row r="142" spans="3:15">
      <c r="C142" s="354" t="str">
        <v>Paquete Telmex Todo México Sin Límites (10 Mbps)</v>
      </c>
      <c r="E142"/>
      <c r="J142" s="86">
        <v>0.03</v>
      </c>
      <c r="K142"/>
      <c r="L142"/>
      <c r="M142" s="326"/>
      <c r="N142" s="326"/>
      <c r="O142" s="326"/>
    </row>
    <row r="143" spans="3:15">
      <c r="E143"/>
      <c r="F143"/>
      <c r="G143"/>
      <c r="H143"/>
      <c r="I143"/>
      <c r="J143" s="334" t="s">
        <v>519</v>
      </c>
      <c r="K143"/>
      <c r="L143"/>
    </row>
    <row r="144" spans="3:15">
      <c r="F144"/>
      <c r="G144"/>
      <c r="H144"/>
      <c r="L144"/>
    </row>
    <row r="145" spans="2:8" s="326" customFormat="1">
      <c r="B145" s="336" t="s">
        <v>711</v>
      </c>
      <c r="C145" s="324"/>
      <c r="D145" s="324"/>
    </row>
    <row r="146" spans="2:8" s="326" customFormat="1">
      <c r="B146" s="157" t="s">
        <v>712</v>
      </c>
      <c r="C146" s="324"/>
      <c r="D146" s="324"/>
      <c r="E146" s="333">
        <f t="array" ref="E146">SUMPRODUCT(Telmex.DSL.subs.by.plan.year.selected.average,TRANSPOSE(Broadband.prices.within.plans))*12</f>
        <v>21383554342.44981</v>
      </c>
      <c r="G146" s="494">
        <v>14491388800</v>
      </c>
    </row>
    <row r="147" spans="2:8" s="326" customFormat="1">
      <c r="B147" s="336"/>
      <c r="C147" s="324" t="s">
        <v>325</v>
      </c>
      <c r="D147" s="324"/>
    </row>
    <row r="148" spans="2:8" s="326" customFormat="1">
      <c r="C148" s="190" t="s">
        <v>224</v>
      </c>
      <c r="D148" s="324"/>
      <c r="E148" s="140">
        <f>E146/G146-1</f>
        <v>0.47560421140931708</v>
      </c>
    </row>
    <row r="149" spans="2:8">
      <c r="H149" s="326"/>
    </row>
    <row r="150" spans="2:8" s="326" customFormat="1"/>
    <row r="151" spans="2:8" s="326" customFormat="1">
      <c r="B151" s="336" t="s">
        <v>714</v>
      </c>
      <c r="C151" s="324"/>
    </row>
    <row r="152" spans="2:8" s="326" customFormat="1">
      <c r="B152" s="157" t="s">
        <v>715</v>
      </c>
      <c r="C152" s="324"/>
      <c r="E152" s="101">
        <f>E154+E158</f>
        <v>23476485901.807949</v>
      </c>
    </row>
    <row r="153" spans="2:8" s="326" customFormat="1">
      <c r="B153" s="336"/>
      <c r="C153" s="324" t="s">
        <v>364</v>
      </c>
    </row>
    <row r="154" spans="2:8" s="326" customFormat="1">
      <c r="C154" s="190" t="s">
        <v>143</v>
      </c>
      <c r="E154" s="331">
        <f>'Cálculos renta de línea'!E86</f>
        <v>599555236.87754607</v>
      </c>
      <c r="G154" s="494">
        <v>584670230</v>
      </c>
    </row>
    <row r="155" spans="2:8" s="326" customFormat="1">
      <c r="C155" s="324" t="s">
        <v>325</v>
      </c>
    </row>
    <row r="156" spans="2:8" s="326" customFormat="1">
      <c r="C156" s="190" t="s">
        <v>224</v>
      </c>
      <c r="D156" s="324"/>
      <c r="E156" s="140">
        <f>E154/G154-1</f>
        <v>2.5458807570116981E-2</v>
      </c>
    </row>
    <row r="157" spans="2:8" s="326" customFormat="1">
      <c r="C157" s="324" t="s">
        <v>365</v>
      </c>
      <c r="D157" s="324"/>
    </row>
    <row r="158" spans="2:8" s="326" customFormat="1">
      <c r="C158" s="190" t="s">
        <v>144</v>
      </c>
      <c r="D158" s="324"/>
      <c r="E158" s="331">
        <f>'Cálculos renta de línea'!E93</f>
        <v>22876930664.930405</v>
      </c>
      <c r="G158" s="494">
        <v>20861115650</v>
      </c>
    </row>
    <row r="159" spans="2:8" s="326" customFormat="1">
      <c r="C159" s="324" t="s">
        <v>325</v>
      </c>
    </row>
    <row r="160" spans="2:8" s="326" customFormat="1">
      <c r="C160" s="190" t="s">
        <v>224</v>
      </c>
      <c r="D160" s="324"/>
      <c r="E160" s="140">
        <f>E158/G158-1</f>
        <v>9.6630259318388978E-2</v>
      </c>
    </row>
    <row r="161" spans="3:6" s="326" customFormat="1"/>
    <row r="162" spans="3:6" s="326" customFormat="1">
      <c r="C162" s="324" t="s">
        <v>716</v>
      </c>
    </row>
    <row r="163" spans="3:6" s="326" customFormat="1">
      <c r="C163" s="190" t="s">
        <v>717</v>
      </c>
      <c r="E163" s="102">
        <f>Proportion.of.non.residential.voice.only.lines</f>
        <v>0.6</v>
      </c>
      <c r="F163"/>
    </row>
    <row r="164" spans="3:6" s="326" customFormat="1"/>
    <row r="165" spans="3:6" s="326" customForma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140"/>
  <sheetViews>
    <sheetView showGridLines="0" defaultGridColor="0" colorId="22" zoomScaleNormal="100" workbookViewId="0">
      <pane ySplit="2" topLeftCell="A102" activePane="bottomLeft" state="frozen"/>
      <selection pane="bottomLeft" activeCell="I138" sqref="I138"/>
    </sheetView>
  </sheetViews>
  <sheetFormatPr baseColWidth="10" defaultColWidth="12.7109375" defaultRowHeight="12"/>
  <cols>
    <col min="1" max="1" width="6.7109375" customWidth="1"/>
    <col min="6" max="7" width="12.7109375" style="105"/>
    <col min="14" max="14" width="14" bestFit="1" customWidth="1"/>
  </cols>
  <sheetData>
    <row r="1" spans="1:18" s="75" customFormat="1" ht="33.75" customHeight="1">
      <c r="D1" s="180" t="s">
        <v>259</v>
      </c>
      <c r="F1" s="106"/>
      <c r="G1" s="106"/>
      <c r="N1" s="75" t="s">
        <v>20</v>
      </c>
    </row>
    <row r="2" spans="1:18" ht="27.75">
      <c r="D2" s="80" t="s">
        <v>30</v>
      </c>
    </row>
    <row r="3" spans="1:18" s="178" customFormat="1"/>
    <row r="4" spans="1:18" s="177" customFormat="1" ht="20.25" thickBot="1">
      <c r="A4" s="179" t="s">
        <v>258</v>
      </c>
      <c r="B4" s="179"/>
    </row>
    <row r="5" spans="1:18" ht="21" thickTop="1" thickBot="1">
      <c r="A5" s="79" t="s">
        <v>35</v>
      </c>
      <c r="B5" s="79"/>
      <c r="C5" s="79"/>
      <c r="D5" s="79"/>
      <c r="E5" s="79"/>
      <c r="F5" s="79"/>
      <c r="G5" s="79"/>
      <c r="H5" s="79"/>
      <c r="I5" s="79"/>
      <c r="J5" s="79"/>
      <c r="K5" s="79"/>
      <c r="L5" s="79"/>
      <c r="M5" s="79"/>
      <c r="N5" s="79"/>
      <c r="O5" s="79"/>
      <c r="P5" s="79"/>
      <c r="Q5" s="79"/>
      <c r="R5" s="79"/>
    </row>
    <row r="6" spans="1:18" ht="12.75" thickTop="1"/>
    <row r="7" spans="1:18" s="181" customFormat="1" ht="17.25" thickBot="1">
      <c r="B7" s="182" t="s">
        <v>260</v>
      </c>
      <c r="C7" s="182"/>
    </row>
    <row r="8" spans="1:18" ht="18" thickTop="1" thickBot="1">
      <c r="B8" s="78" t="s">
        <v>36</v>
      </c>
      <c r="C8" s="78"/>
      <c r="D8" s="78"/>
      <c r="E8" s="78"/>
      <c r="F8" s="78"/>
      <c r="G8" s="78"/>
      <c r="H8" s="78"/>
      <c r="I8" s="78"/>
      <c r="J8" s="78"/>
      <c r="K8" s="78"/>
      <c r="L8" s="78"/>
      <c r="M8" s="78"/>
      <c r="N8" s="78"/>
      <c r="O8" s="78"/>
      <c r="P8" s="78"/>
      <c r="Q8" s="78"/>
      <c r="R8" s="78"/>
    </row>
    <row r="9" spans="1:18" ht="12.75" thickTop="1"/>
    <row r="10" spans="1:18" s="181" customFormat="1">
      <c r="C10" s="183" t="s">
        <v>261</v>
      </c>
    </row>
    <row r="11" spans="1:18" s="105" customFormat="1">
      <c r="C11" s="107" t="s">
        <v>61</v>
      </c>
      <c r="F11" s="1">
        <f t="array" ref="F11:Q11">TRANSPOSE(Years)</f>
        <v>2008</v>
      </c>
      <c r="G11" s="1">
        <v>2009</v>
      </c>
      <c r="H11" s="1">
        <v>2010</v>
      </c>
      <c r="I11" s="1">
        <v>2011</v>
      </c>
      <c r="J11" s="1">
        <v>2012</v>
      </c>
      <c r="K11" s="1">
        <v>2013</v>
      </c>
      <c r="L11" s="1">
        <v>2014</v>
      </c>
      <c r="M11" s="1">
        <v>2015</v>
      </c>
      <c r="N11" s="1">
        <v>2016</v>
      </c>
      <c r="O11" s="1">
        <v>2017</v>
      </c>
      <c r="P11" s="1">
        <v>2018</v>
      </c>
      <c r="Q11" s="1">
        <v>2019</v>
      </c>
    </row>
    <row r="12" spans="1:18" s="105" customFormat="1">
      <c r="D12" s="89" t="s">
        <v>9</v>
      </c>
      <c r="F12" s="95">
        <f t="array" ref="F12:K12">TRANSPOSE(Internet.dial.up.connections.2008.2013)</f>
        <v>702391</v>
      </c>
      <c r="G12" s="95">
        <v>395588</v>
      </c>
      <c r="H12" s="95">
        <v>305279</v>
      </c>
      <c r="I12" s="95">
        <v>260399</v>
      </c>
      <c r="J12" s="95">
        <v>220276</v>
      </c>
      <c r="K12" s="95">
        <v>200904</v>
      </c>
      <c r="L12" s="480"/>
      <c r="M12" s="480"/>
      <c r="N12" s="480"/>
      <c r="O12" s="480"/>
      <c r="P12" s="480"/>
      <c r="Q12" s="480"/>
    </row>
    <row r="13" spans="1:18" s="105" customFormat="1">
      <c r="D13" s="81" t="s">
        <v>24</v>
      </c>
      <c r="F13" s="95">
        <f t="array" ref="F13:K13">TRANSPOSE(Internet.xDSL.connections.2008.2013)</f>
        <v>5670890</v>
      </c>
      <c r="G13" s="95">
        <v>7328785</v>
      </c>
      <c r="H13" s="95">
        <v>8825569</v>
      </c>
      <c r="I13" s="95">
        <v>9340035</v>
      </c>
      <c r="J13" s="95">
        <v>9430945</v>
      </c>
      <c r="K13" s="95">
        <v>9361331</v>
      </c>
      <c r="L13" s="480"/>
      <c r="M13" s="480"/>
      <c r="N13" s="480"/>
      <c r="O13" s="480"/>
      <c r="P13" s="480"/>
      <c r="Q13" s="480"/>
    </row>
    <row r="14" spans="1:18" s="105" customFormat="1">
      <c r="D14" s="81" t="s">
        <v>25</v>
      </c>
      <c r="F14" s="95">
        <f t="array" ref="F14:K14">TRANSPOSE(Internet.cable.connections.2008.2013)</f>
        <v>1615688</v>
      </c>
      <c r="G14" s="95">
        <v>1876848</v>
      </c>
      <c r="H14" s="95">
        <v>2133548</v>
      </c>
      <c r="I14" s="95">
        <v>2366206</v>
      </c>
      <c r="J14" s="95">
        <v>2757386</v>
      </c>
      <c r="K14" s="95">
        <v>2779825</v>
      </c>
      <c r="L14" s="480"/>
      <c r="M14" s="480"/>
      <c r="N14" s="480"/>
      <c r="O14" s="480"/>
      <c r="P14" s="480"/>
      <c r="Q14" s="480"/>
    </row>
    <row r="15" spans="1:18" s="105" customFormat="1">
      <c r="D15" s="81" t="s">
        <v>62</v>
      </c>
      <c r="F15" s="95">
        <f t="array" ref="F15:K15">TRANSPOSE(Internet.other.connections.2008.2013)</f>
        <v>246346</v>
      </c>
      <c r="G15" s="95">
        <v>523076</v>
      </c>
      <c r="H15" s="95">
        <v>610549</v>
      </c>
      <c r="I15" s="95">
        <v>781591</v>
      </c>
      <c r="J15" s="95">
        <v>1115561</v>
      </c>
      <c r="K15" s="95">
        <v>1195001</v>
      </c>
      <c r="L15" s="480"/>
      <c r="M15" s="480"/>
      <c r="N15" s="480"/>
      <c r="O15" s="480"/>
      <c r="P15" s="480"/>
      <c r="Q15" s="480"/>
      <c r="R15" s="326"/>
    </row>
    <row r="16" spans="1:18" s="105" customFormat="1">
      <c r="D16" s="43" t="s">
        <v>64</v>
      </c>
      <c r="F16" s="87">
        <f t="shared" ref="F16:G16" si="0">SUM(F12:F15)</f>
        <v>8235315</v>
      </c>
      <c r="G16" s="87">
        <f t="shared" si="0"/>
        <v>10124297</v>
      </c>
      <c r="H16" s="87">
        <f>SUM(H12:H15)</f>
        <v>11874945</v>
      </c>
      <c r="I16" s="87">
        <f t="shared" ref="I16:K16" si="1">SUM(I12:I15)</f>
        <v>12748231</v>
      </c>
      <c r="J16" s="87">
        <f t="shared" si="1"/>
        <v>13524168</v>
      </c>
      <c r="K16" s="87">
        <f t="shared" si="1"/>
        <v>13537061</v>
      </c>
      <c r="L16" s="481"/>
      <c r="M16" s="481"/>
      <c r="N16" s="481"/>
      <c r="O16" s="481"/>
      <c r="P16" s="481"/>
      <c r="Q16" s="481"/>
      <c r="R16" s="326"/>
    </row>
    <row r="17" spans="3:20" s="105" customFormat="1"/>
    <row r="18" spans="3:20" s="181" customFormat="1">
      <c r="C18" s="184" t="s">
        <v>262</v>
      </c>
    </row>
    <row r="19" spans="3:20" s="105" customFormat="1">
      <c r="C19" s="107" t="s">
        <v>63</v>
      </c>
    </row>
    <row r="20" spans="3:20" s="105" customFormat="1">
      <c r="D20" s="83" t="str">
        <f t="array" ref="D20:D23">Broadband.technologies</f>
        <v>Dial-up</v>
      </c>
      <c r="F20" s="97">
        <f t="array" ref="F20:F23">F12:F15/F16</f>
        <v>8.5290119442911413E-2</v>
      </c>
      <c r="G20" s="97">
        <f t="array" ref="G20:G23">G12:G15/G16</f>
        <v>3.9073132682693919E-2</v>
      </c>
      <c r="H20" s="97">
        <f t="array" ref="H20:H23">H12:H15/H16</f>
        <v>2.5707824330975848E-2</v>
      </c>
      <c r="I20" s="97">
        <f t="array" ref="I20:I23">I12:I15/I16</f>
        <v>2.0426285027310847E-2</v>
      </c>
      <c r="J20" s="97">
        <f t="array" ref="J20:J23">J12:J15/J16</f>
        <v>1.6287582348873512E-2</v>
      </c>
      <c r="K20" s="97">
        <f t="array" ref="K20:K23">K12:K15/K16</f>
        <v>1.4841035288235755E-2</v>
      </c>
      <c r="L20" s="482"/>
      <c r="M20" s="482"/>
      <c r="N20" s="482"/>
      <c r="O20" s="482"/>
      <c r="P20" s="482"/>
      <c r="Q20" s="482"/>
    </row>
    <row r="21" spans="3:20" s="105" customFormat="1">
      <c r="D21" s="83" t="str">
        <v>DSL</v>
      </c>
      <c r="F21" s="97">
        <v>0.68860632531967503</v>
      </c>
      <c r="G21" s="97">
        <v>0.72388087785255606</v>
      </c>
      <c r="H21" s="97">
        <v>0.74320925275864436</v>
      </c>
      <c r="I21" s="97">
        <v>0.73265341677602169</v>
      </c>
      <c r="J21" s="97">
        <v>0.69734012473077822</v>
      </c>
      <c r="K21" s="97">
        <v>0.69153348721705543</v>
      </c>
      <c r="L21" s="482"/>
      <c r="M21" s="482"/>
      <c r="N21" s="482"/>
      <c r="O21" s="482"/>
      <c r="P21" s="482"/>
      <c r="Q21" s="482"/>
      <c r="R21" s="326"/>
      <c r="S21" s="326"/>
    </row>
    <row r="22" spans="3:20" s="105" customFormat="1">
      <c r="D22" s="83" t="str">
        <v>Cable</v>
      </c>
      <c r="F22" s="97">
        <v>0.19619018823202269</v>
      </c>
      <c r="G22" s="97">
        <v>0.18538057506610089</v>
      </c>
      <c r="H22" s="97">
        <v>0.17966803214667521</v>
      </c>
      <c r="I22" s="97">
        <v>0.18561053686586004</v>
      </c>
      <c r="J22" s="97">
        <v>0.2038858138999752</v>
      </c>
      <c r="K22" s="97">
        <v>0.20534922609863396</v>
      </c>
      <c r="L22" s="482"/>
      <c r="M22" s="482"/>
      <c r="N22" s="482"/>
      <c r="O22" s="482"/>
      <c r="P22" s="482"/>
      <c r="Q22" s="482"/>
      <c r="R22" s="326"/>
      <c r="S22" s="326"/>
    </row>
    <row r="23" spans="3:20" s="105" customFormat="1">
      <c r="D23" s="83" t="str">
        <v>Others</v>
      </c>
      <c r="F23" s="97">
        <v>2.9913367005390809E-2</v>
      </c>
      <c r="G23" s="97">
        <v>5.1665414398649114E-2</v>
      </c>
      <c r="H23" s="97">
        <v>5.141489076370459E-2</v>
      </c>
      <c r="I23" s="97">
        <v>6.1309761330807386E-2</v>
      </c>
      <c r="J23" s="97">
        <v>8.248647902037301E-2</v>
      </c>
      <c r="K23" s="97">
        <v>8.8276251396074826E-2</v>
      </c>
      <c r="L23" s="482"/>
      <c r="M23" s="482"/>
      <c r="N23" s="482"/>
      <c r="O23" s="482"/>
      <c r="P23" s="482"/>
      <c r="Q23" s="482"/>
      <c r="R23" s="326"/>
      <c r="S23" s="326"/>
    </row>
    <row r="24" spans="3:20" s="105" customFormat="1">
      <c r="H24" s="98"/>
      <c r="I24" s="98"/>
      <c r="J24" s="98"/>
      <c r="K24" s="98"/>
      <c r="L24" s="98"/>
      <c r="M24" s="98"/>
      <c r="N24" s="98"/>
      <c r="O24" s="98"/>
      <c r="P24" s="98"/>
      <c r="Q24" s="98"/>
    </row>
    <row r="25" spans="3:20" s="105" customFormat="1"/>
    <row r="26" spans="3:20" s="181" customFormat="1">
      <c r="C26" s="185" t="s">
        <v>263</v>
      </c>
    </row>
    <row r="27" spans="3:20" s="105" customFormat="1">
      <c r="C27" s="107" t="s">
        <v>178</v>
      </c>
      <c r="F27" s="125">
        <f>F30*(F20+F21)</f>
        <v>0.73520162252445709</v>
      </c>
      <c r="G27" s="125">
        <f t="shared" ref="G27:J27" si="2">G30*(G20+G21)</f>
        <v>0.71723356790397641</v>
      </c>
      <c r="H27" s="125">
        <f t="shared" si="2"/>
        <v>0.71520736553428221</v>
      </c>
      <c r="I27" s="125">
        <f t="shared" si="2"/>
        <v>0.69300151438713897</v>
      </c>
      <c r="J27" s="125">
        <f t="shared" si="2"/>
        <v>0.64961371708777504</v>
      </c>
      <c r="K27" s="126">
        <f>Internet.Telmex.market.share.2013</f>
        <v>0.63600000000000001</v>
      </c>
      <c r="L27" s="482"/>
      <c r="M27" s="482"/>
      <c r="N27" s="482"/>
      <c r="O27" s="482"/>
      <c r="P27" s="482"/>
      <c r="Q27" s="482"/>
    </row>
    <row r="28" spans="3:20" s="105" customFormat="1"/>
    <row r="29" spans="3:20" s="181" customFormat="1">
      <c r="C29" s="186" t="s">
        <v>264</v>
      </c>
      <c r="R29" s="326"/>
    </row>
    <row r="30" spans="3:20" s="105" customFormat="1">
      <c r="C30" s="107" t="s">
        <v>179</v>
      </c>
      <c r="F30" s="88">
        <v>0.95</v>
      </c>
      <c r="G30" s="85">
        <f>$F30+($K30-$F30)/($K$11-$F$11)*(G$11-$F$11)</f>
        <v>0.94007444485520375</v>
      </c>
      <c r="H30" s="85">
        <f>$F30+($K30-$F30)/($K$11-$F$11)*(H$11-$F$11)</f>
        <v>0.93014888971040766</v>
      </c>
      <c r="I30" s="85">
        <f>$F30+($K30-$F30)/($K$11-$F$11)*(I$11-$F$11)</f>
        <v>0.92022333456561145</v>
      </c>
      <c r="J30" s="85">
        <f>$F30+($K30-$F30)/($K$11-$F$11)*(J$11-$F$11)</f>
        <v>0.91029777942081536</v>
      </c>
      <c r="K30" s="86">
        <f>K27/(K21+K20)</f>
        <v>0.90037222427601915</v>
      </c>
      <c r="L30" s="482"/>
      <c r="M30" s="482"/>
      <c r="N30" s="482"/>
      <c r="O30" s="482"/>
      <c r="P30" s="482"/>
      <c r="Q30" s="482"/>
      <c r="R30" s="326"/>
    </row>
    <row r="31" spans="3:20" s="105" customFormat="1">
      <c r="F31" s="326" t="s">
        <v>798</v>
      </c>
    </row>
    <row r="32" spans="3:20" s="181" customFormat="1" ht="36">
      <c r="C32" s="187" t="s">
        <v>265</v>
      </c>
      <c r="S32" s="148" t="s">
        <v>742</v>
      </c>
      <c r="T32" s="148" t="s">
        <v>743</v>
      </c>
    </row>
    <row r="33" spans="3:20" s="105" customFormat="1">
      <c r="C33" s="107" t="s">
        <v>65</v>
      </c>
      <c r="F33" s="327">
        <f t="array" ref="F33:Q33">F30:Q30*F13:Q13</f>
        <v>5387345.5</v>
      </c>
      <c r="G33" s="327">
        <v>6889603.4903381448</v>
      </c>
      <c r="H33" s="327">
        <v>8209093.2064125929</v>
      </c>
      <c r="I33" s="327">
        <v>8594918.1526595205</v>
      </c>
      <c r="J33" s="327">
        <v>8584968.2913398407</v>
      </c>
      <c r="K33" s="327">
        <v>8428682.41465405</v>
      </c>
      <c r="L33" s="327">
        <v>0</v>
      </c>
      <c r="M33" s="327">
        <v>0</v>
      </c>
      <c r="N33" s="327">
        <v>0</v>
      </c>
      <c r="O33" s="327">
        <v>0</v>
      </c>
      <c r="P33" s="327">
        <v>0</v>
      </c>
      <c r="Q33" s="327">
        <v>0</v>
      </c>
      <c r="R33" s="43" t="s">
        <v>72</v>
      </c>
      <c r="S33" s="101">
        <f>K33</f>
        <v>8428682.41465405</v>
      </c>
      <c r="T33" s="101">
        <f>J33</f>
        <v>8584968.2913398407</v>
      </c>
    </row>
    <row r="34" spans="3:20" s="105" customFormat="1">
      <c r="J34" s="334"/>
      <c r="K34" s="334"/>
      <c r="S34" s="334" t="s">
        <v>744</v>
      </c>
      <c r="T34" s="334" t="s">
        <v>745</v>
      </c>
    </row>
    <row r="35" spans="3:20" s="105" customFormat="1">
      <c r="H35"/>
      <c r="I35"/>
      <c r="J35"/>
      <c r="K35"/>
      <c r="L35"/>
    </row>
    <row r="36" spans="3:20" s="326" customFormat="1">
      <c r="H36"/>
      <c r="I36"/>
      <c r="J36"/>
      <c r="K36"/>
      <c r="L36"/>
    </row>
    <row r="37" spans="3:20" s="326" customFormat="1">
      <c r="H37"/>
      <c r="I37"/>
      <c r="J37"/>
      <c r="K37"/>
      <c r="L37"/>
    </row>
    <row r="38" spans="3:20" s="326" customFormat="1">
      <c r="H38"/>
      <c r="I38"/>
      <c r="J38"/>
      <c r="K38"/>
      <c r="L38"/>
    </row>
    <row r="39" spans="3:20" s="181" customFormat="1" ht="48">
      <c r="C39" s="189" t="s">
        <v>266</v>
      </c>
      <c r="S39" s="143" t="s">
        <v>737</v>
      </c>
    </row>
    <row r="40" spans="3:20" ht="36">
      <c r="C40" s="84" t="s">
        <v>66</v>
      </c>
      <c r="F40" s="1">
        <f t="array" ref="F40:Q40">TRANSPOSE(Years)</f>
        <v>2008</v>
      </c>
      <c r="G40" s="1">
        <v>2009</v>
      </c>
      <c r="H40" s="1">
        <v>2010</v>
      </c>
      <c r="I40" s="1">
        <v>2011</v>
      </c>
      <c r="J40" s="1">
        <v>2012</v>
      </c>
      <c r="K40" s="1">
        <v>2013</v>
      </c>
      <c r="L40" s="1">
        <v>2014</v>
      </c>
      <c r="M40" s="1">
        <v>2015</v>
      </c>
      <c r="N40" s="1">
        <v>2016</v>
      </c>
      <c r="O40" s="1">
        <v>2017</v>
      </c>
      <c r="P40" s="1">
        <v>2018</v>
      </c>
      <c r="Q40" s="1">
        <v>2019</v>
      </c>
      <c r="S40" s="148" t="s">
        <v>738</v>
      </c>
    </row>
    <row r="41" spans="3:20">
      <c r="D41" s="188" t="str">
        <f t="array" ref="D41:D52">Broadband.plans</f>
        <v>Paquete Acerques (5 Mbps)</v>
      </c>
      <c r="F41" s="3">
        <f t="array" ref="F41:F52">F33*F67:F78</f>
        <v>2424305.4750000001</v>
      </c>
      <c r="G41" s="327">
        <f t="array" ref="G41:G52">G33*G67:G78</f>
        <v>3100321.5706521655</v>
      </c>
      <c r="H41" s="327">
        <f t="array" ref="H41:H52">H33*H67:H78</f>
        <v>3694091.9428856671</v>
      </c>
      <c r="I41" s="327">
        <f t="array" ref="I41:I52">I33*I67:I78</f>
        <v>3867713.1686967844</v>
      </c>
      <c r="J41" s="327">
        <f t="array" ref="J41:J52">J33*J67:J78</f>
        <v>3863235.7311029285</v>
      </c>
      <c r="K41" s="327">
        <f t="array" ref="K41:K52">K33*K67:K78</f>
        <v>3792907.0865943227</v>
      </c>
      <c r="L41" s="327">
        <f t="array" ref="L41:L52">L33*L67:L78</f>
        <v>0</v>
      </c>
      <c r="M41" s="327">
        <f t="array" ref="M41:M52">M33*M67:M78</f>
        <v>0</v>
      </c>
      <c r="N41" s="327">
        <f t="array" ref="N41:N52">N33*N67:N78</f>
        <v>0</v>
      </c>
      <c r="O41" s="327">
        <f t="array" ref="O41:O52">O33*O67:O78</f>
        <v>0</v>
      </c>
      <c r="P41" s="327">
        <f t="array" ref="P41:P52">P33*P67:P78</f>
        <v>0</v>
      </c>
      <c r="Q41" s="327">
        <f t="array" ref="Q41:Q52">Q33*Q67:Q78</f>
        <v>0</v>
      </c>
      <c r="S41" s="357">
        <f>AVERAGE(J41:K41)</f>
        <v>3828071.4088486256</v>
      </c>
    </row>
    <row r="42" spans="3:20">
      <c r="D42" s="188" t="str">
        <v>Paquete Conectes (3 Mbps)</v>
      </c>
      <c r="F42" s="3">
        <v>80810.182499999995</v>
      </c>
      <c r="G42" s="327">
        <v>103344.05235507217</v>
      </c>
      <c r="H42" s="327">
        <v>123136.39809618889</v>
      </c>
      <c r="I42" s="327">
        <v>128923.7722898928</v>
      </c>
      <c r="J42" s="327">
        <v>128774.52437009761</v>
      </c>
      <c r="K42" s="327">
        <v>126430.23621981074</v>
      </c>
      <c r="L42" s="327">
        <v>0</v>
      </c>
      <c r="M42" s="327">
        <v>0</v>
      </c>
      <c r="N42" s="327">
        <v>0</v>
      </c>
      <c r="O42" s="327">
        <v>0</v>
      </c>
      <c r="P42" s="327">
        <v>0</v>
      </c>
      <c r="Q42" s="327">
        <v>0</v>
      </c>
      <c r="S42" s="357">
        <f t="shared" ref="S42:S52" si="3">AVERAGE(J42:K42)</f>
        <v>127602.38029495417</v>
      </c>
    </row>
    <row r="43" spans="3:20">
      <c r="D43" s="188" t="str">
        <v>Paquete Conectes Frontera (3 Mbps)</v>
      </c>
      <c r="F43" s="3">
        <v>80810.182499999995</v>
      </c>
      <c r="G43" s="327">
        <v>103344.05235507217</v>
      </c>
      <c r="H43" s="327">
        <v>123136.39809618889</v>
      </c>
      <c r="I43" s="327">
        <v>128923.7722898928</v>
      </c>
      <c r="J43" s="327">
        <v>128774.52437009761</v>
      </c>
      <c r="K43" s="327">
        <v>126430.23621981074</v>
      </c>
      <c r="L43" s="327">
        <v>0</v>
      </c>
      <c r="M43" s="327">
        <v>0</v>
      </c>
      <c r="N43" s="327">
        <v>0</v>
      </c>
      <c r="O43" s="327">
        <v>0</v>
      </c>
      <c r="P43" s="327">
        <v>0</v>
      </c>
      <c r="Q43" s="327">
        <v>0</v>
      </c>
      <c r="S43" s="357">
        <f t="shared" si="3"/>
        <v>127602.38029495417</v>
      </c>
    </row>
    <row r="44" spans="3:20">
      <c r="D44" s="188" t="str">
        <v>Paquete Conectes Negocio (3 Mbps)</v>
      </c>
      <c r="F44" s="3">
        <v>53873.455000000002</v>
      </c>
      <c r="G44" s="327">
        <v>68896.034903381456</v>
      </c>
      <c r="H44" s="327">
        <v>82090.932064125926</v>
      </c>
      <c r="I44" s="327">
        <v>85949.181526595203</v>
      </c>
      <c r="J44" s="327">
        <v>85849.682913398414</v>
      </c>
      <c r="K44" s="327">
        <v>84286.824146540501</v>
      </c>
      <c r="L44" s="327">
        <v>0</v>
      </c>
      <c r="M44" s="327">
        <v>0</v>
      </c>
      <c r="N44" s="327">
        <v>0</v>
      </c>
      <c r="O44" s="327">
        <v>0</v>
      </c>
      <c r="P44" s="327">
        <v>0</v>
      </c>
      <c r="Q44" s="327">
        <v>0</v>
      </c>
      <c r="S44" s="357">
        <f t="shared" si="3"/>
        <v>85068.253529969457</v>
      </c>
    </row>
    <row r="45" spans="3:20">
      <c r="D45" s="188" t="str">
        <v>Infinitum 10 Mb</v>
      </c>
      <c r="F45" s="3">
        <v>53873.455000000002</v>
      </c>
      <c r="G45" s="327">
        <v>68896.034903381456</v>
      </c>
      <c r="H45" s="327">
        <v>82090.932064125926</v>
      </c>
      <c r="I45" s="327">
        <v>85949.181526595203</v>
      </c>
      <c r="J45" s="327">
        <v>85849.682913398414</v>
      </c>
      <c r="K45" s="327">
        <v>84286.824146540501</v>
      </c>
      <c r="L45" s="327">
        <v>0</v>
      </c>
      <c r="M45" s="327">
        <v>0</v>
      </c>
      <c r="N45" s="327">
        <v>0</v>
      </c>
      <c r="O45" s="327">
        <v>0</v>
      </c>
      <c r="P45" s="327">
        <v>0</v>
      </c>
      <c r="Q45" s="327">
        <v>0</v>
      </c>
      <c r="S45" s="357">
        <f t="shared" si="3"/>
        <v>85068.253529969457</v>
      </c>
    </row>
    <row r="46" spans="3:20">
      <c r="D46" s="188" t="str">
        <v>Infinitum 5 Mb</v>
      </c>
      <c r="F46" s="3">
        <v>969722.19</v>
      </c>
      <c r="G46" s="327">
        <v>1240128.628260866</v>
      </c>
      <c r="H46" s="327">
        <v>1477636.7771542666</v>
      </c>
      <c r="I46" s="327">
        <v>1547085.2674787135</v>
      </c>
      <c r="J46" s="327">
        <v>1545294.2924411714</v>
      </c>
      <c r="K46" s="327">
        <v>1517162.834637729</v>
      </c>
      <c r="L46" s="327">
        <v>0</v>
      </c>
      <c r="M46" s="327">
        <v>0</v>
      </c>
      <c r="N46" s="327">
        <v>0</v>
      </c>
      <c r="O46" s="327">
        <v>0</v>
      </c>
      <c r="P46" s="327">
        <v>0</v>
      </c>
      <c r="Q46" s="327">
        <v>0</v>
      </c>
      <c r="S46" s="357">
        <f t="shared" si="3"/>
        <v>1531228.5635394501</v>
      </c>
    </row>
    <row r="47" spans="3:20">
      <c r="D47" s="188" t="str">
        <v>Paquete Mi Negocio (3 Mbps)</v>
      </c>
      <c r="F47" s="3">
        <v>80810.182499999995</v>
      </c>
      <c r="G47" s="327">
        <v>103344.05235507217</v>
      </c>
      <c r="H47" s="327">
        <v>123136.39809618889</v>
      </c>
      <c r="I47" s="327">
        <v>128923.7722898928</v>
      </c>
      <c r="J47" s="327">
        <v>128774.52437009761</v>
      </c>
      <c r="K47" s="327">
        <v>126430.23621981074</v>
      </c>
      <c r="L47" s="327">
        <v>0</v>
      </c>
      <c r="M47" s="327">
        <v>0</v>
      </c>
      <c r="N47" s="327">
        <v>0</v>
      </c>
      <c r="O47" s="327">
        <v>0</v>
      </c>
      <c r="P47" s="327">
        <v>0</v>
      </c>
      <c r="Q47" s="327">
        <v>0</v>
      </c>
      <c r="S47" s="357">
        <f t="shared" si="3"/>
        <v>127602.38029495417</v>
      </c>
    </row>
    <row r="48" spans="3:20">
      <c r="D48" s="188" t="str">
        <v>Paquete SuperNegocio (5 Mbps)</v>
      </c>
      <c r="F48" s="3">
        <v>646481.46</v>
      </c>
      <c r="G48" s="327">
        <v>826752.41884057736</v>
      </c>
      <c r="H48" s="327">
        <v>985091.18476951111</v>
      </c>
      <c r="I48" s="327">
        <v>1031390.1783191424</v>
      </c>
      <c r="J48" s="327">
        <v>1030196.1949607809</v>
      </c>
      <c r="K48" s="327">
        <v>1011441.889758486</v>
      </c>
      <c r="L48" s="327">
        <v>0</v>
      </c>
      <c r="M48" s="327">
        <v>0</v>
      </c>
      <c r="N48" s="327">
        <v>0</v>
      </c>
      <c r="O48" s="327">
        <v>0</v>
      </c>
      <c r="P48" s="327">
        <v>0</v>
      </c>
      <c r="Q48" s="327">
        <v>0</v>
      </c>
      <c r="S48" s="357">
        <f t="shared" si="3"/>
        <v>1020819.0423596334</v>
      </c>
    </row>
    <row r="49" spans="3:20">
      <c r="D49" s="188" t="str">
        <v>Paquete Telmex Negocio Sin Límites 1 (10 Mbps)</v>
      </c>
      <c r="F49" s="3">
        <v>430987.64</v>
      </c>
      <c r="G49" s="327">
        <v>551168.27922705165</v>
      </c>
      <c r="H49" s="327">
        <v>656727.4565130074</v>
      </c>
      <c r="I49" s="327">
        <v>687593.45221276162</v>
      </c>
      <c r="J49" s="327">
        <v>686797.46330718731</v>
      </c>
      <c r="K49" s="327">
        <v>674294.59317232401</v>
      </c>
      <c r="L49" s="327">
        <v>0</v>
      </c>
      <c r="M49" s="327">
        <v>0</v>
      </c>
      <c r="N49" s="327">
        <v>0</v>
      </c>
      <c r="O49" s="327">
        <v>0</v>
      </c>
      <c r="P49" s="327">
        <v>0</v>
      </c>
      <c r="Q49" s="327">
        <v>0</v>
      </c>
      <c r="S49" s="357">
        <f t="shared" si="3"/>
        <v>680546.02823975566</v>
      </c>
    </row>
    <row r="50" spans="3:20">
      <c r="D50" s="188" t="str">
        <v>Paquete Telmex Negocio Sin Límites 2 (10 Mbps)</v>
      </c>
      <c r="F50" s="3">
        <v>269367.27500000002</v>
      </c>
      <c r="G50" s="327">
        <v>344480.17451690725</v>
      </c>
      <c r="H50" s="327">
        <v>410454.66032062966</v>
      </c>
      <c r="I50" s="327">
        <v>429745.90763297607</v>
      </c>
      <c r="J50" s="327">
        <v>429248.41456699208</v>
      </c>
      <c r="K50" s="327">
        <v>421434.12073270255</v>
      </c>
      <c r="L50" s="327">
        <v>0</v>
      </c>
      <c r="M50" s="327">
        <v>0</v>
      </c>
      <c r="N50" s="327">
        <v>0</v>
      </c>
      <c r="O50" s="327">
        <v>0</v>
      </c>
      <c r="P50" s="327">
        <v>0</v>
      </c>
      <c r="Q50" s="327">
        <v>0</v>
      </c>
      <c r="S50" s="357">
        <f t="shared" si="3"/>
        <v>425341.26764984732</v>
      </c>
    </row>
    <row r="51" spans="3:20" s="326" customFormat="1">
      <c r="D51" s="335" t="str">
        <v>Paquete Telmex Negocio Sin Límites 3 (10 Mbps)</v>
      </c>
      <c r="F51" s="327">
        <v>134683.63750000001</v>
      </c>
      <c r="G51" s="327">
        <v>172240.08725845363</v>
      </c>
      <c r="H51" s="327">
        <v>205227.33016031483</v>
      </c>
      <c r="I51" s="327">
        <v>214872.95381648804</v>
      </c>
      <c r="J51" s="327">
        <v>214624.20728349604</v>
      </c>
      <c r="K51" s="327">
        <v>210717.06036635127</v>
      </c>
      <c r="L51" s="327">
        <v>0</v>
      </c>
      <c r="M51" s="327">
        <v>0</v>
      </c>
      <c r="N51" s="327">
        <v>0</v>
      </c>
      <c r="O51" s="327">
        <v>0</v>
      </c>
      <c r="P51" s="327">
        <v>0</v>
      </c>
      <c r="Q51" s="327">
        <v>0</v>
      </c>
      <c r="S51" s="357">
        <f t="shared" si="3"/>
        <v>212670.63382492366</v>
      </c>
      <c r="T51"/>
    </row>
    <row r="52" spans="3:20" s="326" customFormat="1">
      <c r="D52" s="335" t="str">
        <v>Paquete Telmex Todo México Sin Límites (10 Mbps)</v>
      </c>
      <c r="F52" s="327">
        <v>161620.36499999999</v>
      </c>
      <c r="G52" s="327">
        <v>206688.10471014434</v>
      </c>
      <c r="H52" s="327">
        <v>246272.79619237778</v>
      </c>
      <c r="I52" s="327">
        <v>257847.54457978561</v>
      </c>
      <c r="J52" s="327">
        <v>257549.04874019523</v>
      </c>
      <c r="K52" s="327">
        <v>252860.47243962149</v>
      </c>
      <c r="L52" s="327">
        <v>0</v>
      </c>
      <c r="M52" s="327">
        <v>0</v>
      </c>
      <c r="N52" s="327">
        <v>0</v>
      </c>
      <c r="O52" s="327">
        <v>0</v>
      </c>
      <c r="P52" s="327">
        <v>0</v>
      </c>
      <c r="Q52" s="327">
        <v>0</v>
      </c>
      <c r="S52" s="357">
        <f t="shared" si="3"/>
        <v>255204.76058990834</v>
      </c>
      <c r="T52"/>
    </row>
    <row r="53" spans="3:20">
      <c r="F53"/>
      <c r="G53"/>
      <c r="R53" s="43" t="s">
        <v>73</v>
      </c>
      <c r="S53" s="43" t="s">
        <v>187</v>
      </c>
    </row>
    <row r="55" spans="3:20" s="181" customFormat="1">
      <c r="C55" s="192" t="s">
        <v>267</v>
      </c>
    </row>
    <row r="56" spans="3:20" s="105" customFormat="1">
      <c r="C56" s="107" t="s">
        <v>65</v>
      </c>
    </row>
    <row r="57" spans="3:20" s="191" customFormat="1" ht="36">
      <c r="C57" s="192"/>
      <c r="D57" s="193" t="s">
        <v>254</v>
      </c>
      <c r="S57" s="148" t="s">
        <v>742</v>
      </c>
      <c r="T57" s="148" t="s">
        <v>743</v>
      </c>
    </row>
    <row r="58" spans="3:20" s="105" customFormat="1">
      <c r="D58" s="196" t="s">
        <v>141</v>
      </c>
      <c r="F58" s="327">
        <f t="shared" ref="F58:K58" si="4">SUM(F41:F43,F45:F46,F52)</f>
        <v>3771141.8500000006</v>
      </c>
      <c r="G58" s="327">
        <f t="shared" si="4"/>
        <v>4822722.4432367012</v>
      </c>
      <c r="H58" s="327">
        <f t="shared" si="4"/>
        <v>5746365.2444888148</v>
      </c>
      <c r="I58" s="327">
        <f t="shared" si="4"/>
        <v>6016442.7068616636</v>
      </c>
      <c r="J58" s="327">
        <f t="shared" si="4"/>
        <v>6009477.8039378887</v>
      </c>
      <c r="K58" s="327">
        <f t="shared" si="4"/>
        <v>5900077.6902578352</v>
      </c>
      <c r="L58" s="327">
        <f>SUM(L41:L43,L45:L46,L52)</f>
        <v>0</v>
      </c>
      <c r="M58" s="327">
        <f t="shared" ref="M58:Q58" si="5">SUM(M41:M43,M45:M46,M52)</f>
        <v>0</v>
      </c>
      <c r="N58" s="327">
        <f t="shared" si="5"/>
        <v>0</v>
      </c>
      <c r="O58" s="327">
        <f t="shared" si="5"/>
        <v>0</v>
      </c>
      <c r="P58" s="327">
        <f t="shared" si="5"/>
        <v>0</v>
      </c>
      <c r="Q58" s="327">
        <f t="shared" si="5"/>
        <v>0</v>
      </c>
      <c r="R58"/>
    </row>
    <row r="59" spans="3:20">
      <c r="D59" s="194" t="s">
        <v>268</v>
      </c>
      <c r="F59" s="326"/>
      <c r="G59" s="326"/>
      <c r="H59" s="326"/>
      <c r="I59" s="326"/>
      <c r="J59" s="326"/>
      <c r="K59" s="326"/>
      <c r="M59" s="326"/>
      <c r="N59" s="326"/>
      <c r="O59" s="326"/>
      <c r="P59" s="326"/>
      <c r="Q59" s="326"/>
    </row>
    <row r="60" spans="3:20" s="105" customFormat="1">
      <c r="D60" s="196" t="s">
        <v>202</v>
      </c>
      <c r="F60" s="327">
        <f>SUM(F41:F43,F52)</f>
        <v>2747546.2050000001</v>
      </c>
      <c r="G60" s="327">
        <f t="shared" ref="G60:K60" si="6">SUM(G41:G43,G52)</f>
        <v>3513697.7800724539</v>
      </c>
      <c r="H60" s="327">
        <f t="shared" si="6"/>
        <v>4186637.5352704227</v>
      </c>
      <c r="I60" s="327">
        <f t="shared" si="6"/>
        <v>4383408.257856355</v>
      </c>
      <c r="J60" s="327">
        <f t="shared" si="6"/>
        <v>4378333.8285833187</v>
      </c>
      <c r="K60" s="327">
        <f t="shared" si="6"/>
        <v>4298628.0314735658</v>
      </c>
      <c r="L60" s="327">
        <f>SUM(L41:L43,L52)</f>
        <v>0</v>
      </c>
      <c r="M60" s="327">
        <f t="shared" ref="M60:Q60" si="7">SUM(M41:M43,M52)</f>
        <v>0</v>
      </c>
      <c r="N60" s="327">
        <f t="shared" si="7"/>
        <v>0</v>
      </c>
      <c r="O60" s="327">
        <f t="shared" si="7"/>
        <v>0</v>
      </c>
      <c r="P60" s="327">
        <f t="shared" si="7"/>
        <v>0</v>
      </c>
      <c r="Q60" s="327">
        <f t="shared" si="7"/>
        <v>0</v>
      </c>
      <c r="R60" s="43" t="s">
        <v>203</v>
      </c>
      <c r="S60" s="101">
        <f>K60</f>
        <v>4298628.0314735658</v>
      </c>
      <c r="T60" s="101">
        <f>J60</f>
        <v>4378333.8285833187</v>
      </c>
    </row>
    <row r="61" spans="3:20">
      <c r="D61" s="195" t="s">
        <v>269</v>
      </c>
      <c r="F61" s="326"/>
      <c r="G61" s="326"/>
      <c r="H61" s="326"/>
      <c r="I61" s="326"/>
      <c r="J61" s="334"/>
      <c r="K61" s="334"/>
      <c r="M61" s="326"/>
      <c r="N61" s="326"/>
      <c r="O61" s="326"/>
      <c r="P61" s="326"/>
      <c r="Q61" s="326"/>
      <c r="S61" s="334" t="s">
        <v>754</v>
      </c>
      <c r="T61" s="334" t="s">
        <v>755</v>
      </c>
    </row>
    <row r="62" spans="3:20" s="105" customFormat="1">
      <c r="D62" s="196" t="s">
        <v>161</v>
      </c>
      <c r="F62" s="327">
        <f t="shared" ref="F62:K62" si="8">F44+SUM(F47:F51)</f>
        <v>1616203.6500000001</v>
      </c>
      <c r="G62" s="327">
        <f t="shared" si="8"/>
        <v>2066881.0471014436</v>
      </c>
      <c r="H62" s="327">
        <f t="shared" si="8"/>
        <v>2462727.9619237776</v>
      </c>
      <c r="I62" s="327">
        <f t="shared" si="8"/>
        <v>2578475.445797856</v>
      </c>
      <c r="J62" s="327">
        <f t="shared" si="8"/>
        <v>2575490.487401952</v>
      </c>
      <c r="K62" s="327">
        <f t="shared" si="8"/>
        <v>2528604.7243962144</v>
      </c>
      <c r="L62" s="327">
        <f>L44+SUM(L47:L51)</f>
        <v>0</v>
      </c>
      <c r="M62" s="327">
        <f t="shared" ref="M62:Q62" si="9">M44+SUM(M47:M51)</f>
        <v>0</v>
      </c>
      <c r="N62" s="327">
        <f t="shared" si="9"/>
        <v>0</v>
      </c>
      <c r="O62" s="327">
        <f t="shared" si="9"/>
        <v>0</v>
      </c>
      <c r="P62" s="327">
        <f t="shared" si="9"/>
        <v>0</v>
      </c>
      <c r="Q62" s="327">
        <f t="shared" si="9"/>
        <v>0</v>
      </c>
      <c r="R62" s="43" t="s">
        <v>200</v>
      </c>
      <c r="S62" s="101">
        <f>K62</f>
        <v>2528604.7243962144</v>
      </c>
      <c r="T62" s="101">
        <f>J62</f>
        <v>2575490.487401952</v>
      </c>
    </row>
    <row r="63" spans="3:20" s="105" customFormat="1">
      <c r="J63" s="334"/>
      <c r="K63" s="334"/>
      <c r="S63" s="334" t="s">
        <v>752</v>
      </c>
      <c r="T63" s="334" t="s">
        <v>753</v>
      </c>
    </row>
    <row r="64" spans="3:20" s="105" customFormat="1">
      <c r="K64" s="210" t="s">
        <v>799</v>
      </c>
    </row>
    <row r="65" spans="3:17" s="181" customFormat="1">
      <c r="C65" s="197" t="s">
        <v>270</v>
      </c>
      <c r="K65" s="105"/>
    </row>
    <row r="66" spans="3:17">
      <c r="C66" s="84" t="s">
        <v>67</v>
      </c>
    </row>
    <row r="67" spans="3:17">
      <c r="D67" s="335" t="str">
        <f t="array" ref="D67:D78">Broadband.plans</f>
        <v>Paquete Acerques (5 Mbps)</v>
      </c>
      <c r="F67" s="211">
        <f t="shared" ref="F67:J67" si="10">G67</f>
        <v>0.45</v>
      </c>
      <c r="G67" s="211">
        <f t="shared" si="10"/>
        <v>0.45</v>
      </c>
      <c r="H67" s="211">
        <f t="shared" si="10"/>
        <v>0.45</v>
      </c>
      <c r="I67" s="211">
        <f t="shared" si="10"/>
        <v>0.45</v>
      </c>
      <c r="J67" s="211">
        <f t="shared" si="10"/>
        <v>0.45</v>
      </c>
      <c r="K67" s="211">
        <f>L67</f>
        <v>0.45</v>
      </c>
      <c r="L67" s="86">
        <f t="array" ref="L67:L78">Distribution.broadband.plans</f>
        <v>0.45</v>
      </c>
      <c r="M67" s="483"/>
      <c r="N67" s="483"/>
      <c r="O67" s="483"/>
      <c r="P67" s="483"/>
      <c r="Q67" s="483"/>
    </row>
    <row r="68" spans="3:17">
      <c r="D68" s="335" t="str">
        <v>Paquete Conectes (3 Mbps)</v>
      </c>
      <c r="F68" s="211">
        <f t="shared" ref="F68:K68" si="11">G68</f>
        <v>1.4999999999999999E-2</v>
      </c>
      <c r="G68" s="211">
        <f t="shared" si="11"/>
        <v>1.4999999999999999E-2</v>
      </c>
      <c r="H68" s="211">
        <f t="shared" si="11"/>
        <v>1.4999999999999999E-2</v>
      </c>
      <c r="I68" s="211">
        <f t="shared" si="11"/>
        <v>1.4999999999999999E-2</v>
      </c>
      <c r="J68" s="211">
        <f t="shared" si="11"/>
        <v>1.4999999999999999E-2</v>
      </c>
      <c r="K68" s="211">
        <f t="shared" si="11"/>
        <v>1.4999999999999999E-2</v>
      </c>
      <c r="L68" s="86">
        <v>1.4999999999999999E-2</v>
      </c>
      <c r="M68" s="483"/>
      <c r="N68" s="483"/>
      <c r="O68" s="483"/>
      <c r="P68" s="483"/>
      <c r="Q68" s="483"/>
    </row>
    <row r="69" spans="3:17">
      <c r="D69" s="335" t="str">
        <v>Paquete Conectes Frontera (3 Mbps)</v>
      </c>
      <c r="F69" s="211">
        <f t="shared" ref="F69:K69" si="12">G69</f>
        <v>1.4999999999999999E-2</v>
      </c>
      <c r="G69" s="211">
        <f t="shared" si="12"/>
        <v>1.4999999999999999E-2</v>
      </c>
      <c r="H69" s="211">
        <f t="shared" si="12"/>
        <v>1.4999999999999999E-2</v>
      </c>
      <c r="I69" s="211">
        <f t="shared" si="12"/>
        <v>1.4999999999999999E-2</v>
      </c>
      <c r="J69" s="211">
        <f t="shared" si="12"/>
        <v>1.4999999999999999E-2</v>
      </c>
      <c r="K69" s="211">
        <f t="shared" si="12"/>
        <v>1.4999999999999999E-2</v>
      </c>
      <c r="L69" s="86">
        <v>1.4999999999999999E-2</v>
      </c>
      <c r="M69" s="483"/>
      <c r="N69" s="483"/>
      <c r="O69" s="483"/>
      <c r="P69" s="483"/>
      <c r="Q69" s="483"/>
    </row>
    <row r="70" spans="3:17">
      <c r="D70" s="335" t="str">
        <v>Paquete Conectes Negocio (3 Mbps)</v>
      </c>
      <c r="F70" s="211">
        <f t="shared" ref="F70:K70" si="13">G70</f>
        <v>0.01</v>
      </c>
      <c r="G70" s="211">
        <f t="shared" si="13"/>
        <v>0.01</v>
      </c>
      <c r="H70" s="211">
        <f t="shared" si="13"/>
        <v>0.01</v>
      </c>
      <c r="I70" s="211">
        <f t="shared" si="13"/>
        <v>0.01</v>
      </c>
      <c r="J70" s="211">
        <f t="shared" si="13"/>
        <v>0.01</v>
      </c>
      <c r="K70" s="211">
        <f t="shared" si="13"/>
        <v>0.01</v>
      </c>
      <c r="L70" s="86">
        <v>0.01</v>
      </c>
      <c r="M70" s="483"/>
      <c r="N70" s="483"/>
      <c r="O70" s="483"/>
      <c r="P70" s="483"/>
      <c r="Q70" s="483"/>
    </row>
    <row r="71" spans="3:17">
      <c r="D71" s="335" t="str">
        <v>Infinitum 10 Mb</v>
      </c>
      <c r="F71" s="211">
        <f t="shared" ref="F71:K71" si="14">G71</f>
        <v>0.01</v>
      </c>
      <c r="G71" s="211">
        <f t="shared" si="14"/>
        <v>0.01</v>
      </c>
      <c r="H71" s="211">
        <f t="shared" si="14"/>
        <v>0.01</v>
      </c>
      <c r="I71" s="211">
        <f t="shared" si="14"/>
        <v>0.01</v>
      </c>
      <c r="J71" s="211">
        <f t="shared" si="14"/>
        <v>0.01</v>
      </c>
      <c r="K71" s="211">
        <f t="shared" si="14"/>
        <v>0.01</v>
      </c>
      <c r="L71" s="86">
        <v>0.01</v>
      </c>
      <c r="M71" s="483"/>
      <c r="N71" s="483"/>
      <c r="O71" s="483"/>
      <c r="P71" s="483"/>
      <c r="Q71" s="483"/>
    </row>
    <row r="72" spans="3:17">
      <c r="D72" s="335" t="str">
        <v>Infinitum 5 Mb</v>
      </c>
      <c r="F72" s="211">
        <f t="shared" ref="F72:K72" si="15">G72</f>
        <v>0.18</v>
      </c>
      <c r="G72" s="211">
        <f t="shared" si="15"/>
        <v>0.18</v>
      </c>
      <c r="H72" s="211">
        <f t="shared" si="15"/>
        <v>0.18</v>
      </c>
      <c r="I72" s="211">
        <f t="shared" si="15"/>
        <v>0.18</v>
      </c>
      <c r="J72" s="211">
        <f t="shared" si="15"/>
        <v>0.18</v>
      </c>
      <c r="K72" s="211">
        <f t="shared" si="15"/>
        <v>0.18</v>
      </c>
      <c r="L72" s="86">
        <v>0.18</v>
      </c>
      <c r="M72" s="483"/>
      <c r="N72" s="483"/>
      <c r="O72" s="483"/>
      <c r="P72" s="483"/>
      <c r="Q72" s="483"/>
    </row>
    <row r="73" spans="3:17">
      <c r="D73" s="335" t="str">
        <v>Paquete Mi Negocio (3 Mbps)</v>
      </c>
      <c r="F73" s="211">
        <f t="shared" ref="F73:K73" si="16">G73</f>
        <v>1.4999999999999999E-2</v>
      </c>
      <c r="G73" s="211">
        <f t="shared" si="16"/>
        <v>1.4999999999999999E-2</v>
      </c>
      <c r="H73" s="211">
        <f t="shared" si="16"/>
        <v>1.4999999999999999E-2</v>
      </c>
      <c r="I73" s="211">
        <f t="shared" si="16"/>
        <v>1.4999999999999999E-2</v>
      </c>
      <c r="J73" s="211">
        <f t="shared" si="16"/>
        <v>1.4999999999999999E-2</v>
      </c>
      <c r="K73" s="211">
        <f t="shared" si="16"/>
        <v>1.4999999999999999E-2</v>
      </c>
      <c r="L73" s="86">
        <v>1.4999999999999999E-2</v>
      </c>
      <c r="M73" s="483"/>
      <c r="N73" s="483"/>
      <c r="O73" s="483"/>
      <c r="P73" s="483"/>
      <c r="Q73" s="483"/>
    </row>
    <row r="74" spans="3:17">
      <c r="D74" s="335" t="str">
        <v>Paquete SuperNegocio (5 Mbps)</v>
      </c>
      <c r="F74" s="211">
        <f t="shared" ref="F74:K74" si="17">G74</f>
        <v>0.12</v>
      </c>
      <c r="G74" s="211">
        <f t="shared" si="17"/>
        <v>0.12</v>
      </c>
      <c r="H74" s="211">
        <f t="shared" si="17"/>
        <v>0.12</v>
      </c>
      <c r="I74" s="211">
        <f t="shared" si="17"/>
        <v>0.12</v>
      </c>
      <c r="J74" s="211">
        <f t="shared" si="17"/>
        <v>0.12</v>
      </c>
      <c r="K74" s="211">
        <f t="shared" si="17"/>
        <v>0.12</v>
      </c>
      <c r="L74" s="86">
        <v>0.12</v>
      </c>
      <c r="M74" s="483"/>
      <c r="N74" s="483"/>
      <c r="O74" s="483"/>
      <c r="P74" s="483"/>
      <c r="Q74" s="483"/>
    </row>
    <row r="75" spans="3:17">
      <c r="D75" s="335" t="str">
        <v>Paquete Telmex Negocio Sin Límites 1 (10 Mbps)</v>
      </c>
      <c r="F75" s="211">
        <f t="shared" ref="F75:K75" si="18">G75</f>
        <v>0.08</v>
      </c>
      <c r="G75" s="211">
        <f t="shared" si="18"/>
        <v>0.08</v>
      </c>
      <c r="H75" s="211">
        <f t="shared" si="18"/>
        <v>0.08</v>
      </c>
      <c r="I75" s="211">
        <f t="shared" si="18"/>
        <v>0.08</v>
      </c>
      <c r="J75" s="211">
        <f t="shared" si="18"/>
        <v>0.08</v>
      </c>
      <c r="K75" s="211">
        <f t="shared" si="18"/>
        <v>0.08</v>
      </c>
      <c r="L75" s="86">
        <v>0.08</v>
      </c>
      <c r="M75" s="483"/>
      <c r="N75" s="483"/>
      <c r="O75" s="483"/>
      <c r="P75" s="483"/>
      <c r="Q75" s="483"/>
    </row>
    <row r="76" spans="3:17">
      <c r="D76" s="335" t="str">
        <v>Paquete Telmex Negocio Sin Límites 2 (10 Mbps)</v>
      </c>
      <c r="F76" s="211">
        <f t="shared" ref="F76:K76" si="19">G76</f>
        <v>0.05</v>
      </c>
      <c r="G76" s="211">
        <f t="shared" si="19"/>
        <v>0.05</v>
      </c>
      <c r="H76" s="211">
        <f t="shared" si="19"/>
        <v>0.05</v>
      </c>
      <c r="I76" s="211">
        <f t="shared" si="19"/>
        <v>0.05</v>
      </c>
      <c r="J76" s="211">
        <f t="shared" si="19"/>
        <v>0.05</v>
      </c>
      <c r="K76" s="211">
        <f t="shared" si="19"/>
        <v>0.05</v>
      </c>
      <c r="L76" s="86">
        <v>0.05</v>
      </c>
      <c r="M76" s="483"/>
      <c r="N76" s="483"/>
      <c r="O76" s="483"/>
      <c r="P76" s="483"/>
      <c r="Q76" s="483"/>
    </row>
    <row r="77" spans="3:17" s="326" customFormat="1">
      <c r="D77" s="335" t="str">
        <v>Paquete Telmex Negocio Sin Límites 3 (10 Mbps)</v>
      </c>
      <c r="F77" s="211">
        <f t="shared" ref="F77:K77" si="20">G77</f>
        <v>2.5000000000000001E-2</v>
      </c>
      <c r="G77" s="211">
        <f t="shared" si="20"/>
        <v>2.5000000000000001E-2</v>
      </c>
      <c r="H77" s="211">
        <f t="shared" si="20"/>
        <v>2.5000000000000001E-2</v>
      </c>
      <c r="I77" s="211">
        <f t="shared" si="20"/>
        <v>2.5000000000000001E-2</v>
      </c>
      <c r="J77" s="211">
        <f t="shared" si="20"/>
        <v>2.5000000000000001E-2</v>
      </c>
      <c r="K77" s="211">
        <f t="shared" si="20"/>
        <v>2.5000000000000001E-2</v>
      </c>
      <c r="L77" s="86">
        <v>2.5000000000000001E-2</v>
      </c>
      <c r="M77" s="483"/>
      <c r="N77" s="483"/>
      <c r="O77" s="483"/>
      <c r="P77" s="483"/>
      <c r="Q77" s="483"/>
    </row>
    <row r="78" spans="3:17" s="326" customFormat="1">
      <c r="D78" s="335" t="str">
        <v>Paquete Telmex Todo México Sin Límites (10 Mbps)</v>
      </c>
      <c r="F78" s="211">
        <f t="shared" ref="F78:K78" si="21">G78</f>
        <v>0.03</v>
      </c>
      <c r="G78" s="211">
        <f t="shared" si="21"/>
        <v>0.03</v>
      </c>
      <c r="H78" s="211">
        <f t="shared" si="21"/>
        <v>0.03</v>
      </c>
      <c r="I78" s="211">
        <f t="shared" si="21"/>
        <v>0.03</v>
      </c>
      <c r="J78" s="211">
        <f t="shared" si="21"/>
        <v>0.03</v>
      </c>
      <c r="K78" s="211">
        <f t="shared" si="21"/>
        <v>0.03</v>
      </c>
      <c r="L78" s="86">
        <v>0.03</v>
      </c>
      <c r="M78" s="483"/>
      <c r="N78" s="483"/>
      <c r="O78" s="483"/>
      <c r="P78" s="483"/>
      <c r="Q78" s="483"/>
    </row>
    <row r="79" spans="3:17">
      <c r="F79" s="131">
        <f>SUM(F67:F78)</f>
        <v>1</v>
      </c>
      <c r="G79" s="131">
        <f t="shared" ref="G79:Q79" si="22">SUM(G67:G78)</f>
        <v>1</v>
      </c>
      <c r="H79" s="131">
        <f t="shared" si="22"/>
        <v>1</v>
      </c>
      <c r="I79" s="131">
        <f t="shared" si="22"/>
        <v>1</v>
      </c>
      <c r="J79" s="131">
        <f t="shared" si="22"/>
        <v>1</v>
      </c>
      <c r="K79" s="131">
        <f t="shared" si="22"/>
        <v>1</v>
      </c>
      <c r="L79" s="131">
        <f t="shared" si="22"/>
        <v>1</v>
      </c>
      <c r="M79" s="131">
        <f t="shared" si="22"/>
        <v>0</v>
      </c>
      <c r="N79" s="131">
        <f t="shared" si="22"/>
        <v>0</v>
      </c>
      <c r="O79" s="131">
        <f t="shared" si="22"/>
        <v>0</v>
      </c>
      <c r="P79" s="131">
        <f t="shared" si="22"/>
        <v>0</v>
      </c>
      <c r="Q79" s="131">
        <f t="shared" si="22"/>
        <v>0</v>
      </c>
    </row>
    <row r="82" spans="1:18" s="181" customFormat="1" ht="17.25" thickBot="1">
      <c r="B82" s="198" t="s">
        <v>271</v>
      </c>
      <c r="C82" s="198"/>
    </row>
    <row r="83" spans="1:18" ht="18" thickTop="1" thickBot="1">
      <c r="B83" s="78" t="s">
        <v>29</v>
      </c>
      <c r="C83" s="78"/>
      <c r="D83" s="78"/>
      <c r="E83" s="78"/>
      <c r="F83" s="78"/>
      <c r="G83" s="78"/>
      <c r="H83" s="78"/>
      <c r="I83" s="78"/>
      <c r="J83" s="78"/>
      <c r="K83" s="78"/>
      <c r="L83" s="78"/>
      <c r="M83" s="78"/>
      <c r="N83" s="78"/>
      <c r="O83" s="78"/>
      <c r="P83" s="78"/>
      <c r="Q83" s="78"/>
      <c r="R83" s="78"/>
    </row>
    <row r="84" spans="1:18" ht="12.75" thickTop="1"/>
    <row r="85" spans="1:18" s="181" customFormat="1">
      <c r="C85" s="200" t="s">
        <v>272</v>
      </c>
    </row>
    <row r="86" spans="1:18">
      <c r="C86" s="84" t="s">
        <v>35</v>
      </c>
      <c r="F86" s="1">
        <f t="array" ref="F86:Q86">TRANSPOSE(Years)</f>
        <v>2008</v>
      </c>
      <c r="G86" s="1">
        <v>2009</v>
      </c>
      <c r="H86" s="1">
        <v>2010</v>
      </c>
      <c r="I86" s="1">
        <v>2011</v>
      </c>
      <c r="J86" s="1">
        <v>2012</v>
      </c>
      <c r="K86" s="1">
        <v>2013</v>
      </c>
      <c r="L86" s="1">
        <v>2014</v>
      </c>
      <c r="M86" s="1">
        <v>2015</v>
      </c>
      <c r="N86" s="1">
        <v>2016</v>
      </c>
      <c r="O86" s="1">
        <v>2017</v>
      </c>
      <c r="P86" s="1">
        <v>2018</v>
      </c>
      <c r="Q86" s="1">
        <v>2019</v>
      </c>
    </row>
    <row r="87" spans="1:18">
      <c r="D87" s="202" t="s">
        <v>247</v>
      </c>
      <c r="F87"/>
      <c r="G87"/>
    </row>
    <row r="88" spans="1:18">
      <c r="D88" s="201" t="s">
        <v>125</v>
      </c>
      <c r="F88" s="12">
        <f t="array" ref="F88:K88">TRANSPOSE(PSTN.lines.2008.2013)</f>
        <v>20491430</v>
      </c>
      <c r="G88" s="12">
        <v>19505573</v>
      </c>
      <c r="H88" s="12">
        <v>19918643</v>
      </c>
      <c r="I88" s="12">
        <v>19731368</v>
      </c>
      <c r="J88" s="12">
        <v>20587824</v>
      </c>
      <c r="K88" s="12">
        <v>20590449</v>
      </c>
      <c r="L88" s="485">
        <f>L93+L98</f>
        <v>0</v>
      </c>
      <c r="M88" s="485">
        <f t="shared" ref="M88:Q88" si="23">M93+M98</f>
        <v>0</v>
      </c>
      <c r="N88" s="485">
        <f t="shared" si="23"/>
        <v>0</v>
      </c>
      <c r="O88" s="485">
        <f t="shared" si="23"/>
        <v>0</v>
      </c>
      <c r="P88" s="485">
        <f t="shared" si="23"/>
        <v>0</v>
      </c>
      <c r="Q88" s="485">
        <f t="shared" si="23"/>
        <v>0</v>
      </c>
      <c r="R88" s="43" t="s">
        <v>107</v>
      </c>
    </row>
    <row r="89" spans="1:18">
      <c r="A89" s="199"/>
      <c r="B89" s="199"/>
      <c r="C89" s="199"/>
      <c r="D89" s="203" t="s">
        <v>252</v>
      </c>
      <c r="E89" s="199"/>
      <c r="F89"/>
      <c r="G89"/>
    </row>
    <row r="90" spans="1:18">
      <c r="D90" s="201" t="s">
        <v>128</v>
      </c>
      <c r="F90" s="119">
        <f>'Inputs de conexiones'!F49</f>
        <v>2.4678937586605887E-2</v>
      </c>
      <c r="G90" s="86">
        <f t="shared" ref="G90:K90" si="24">IF(OR(G88=0,F88=0),0,G88/F88-1)</f>
        <v>-4.8110697984474537E-2</v>
      </c>
      <c r="H90" s="86">
        <f t="shared" si="24"/>
        <v>2.1177024638035391E-2</v>
      </c>
      <c r="I90" s="86">
        <f t="shared" si="24"/>
        <v>-9.401995909058658E-3</v>
      </c>
      <c r="J90" s="86">
        <f t="shared" si="24"/>
        <v>4.3405809470483669E-2</v>
      </c>
      <c r="K90" s="86">
        <f t="shared" si="24"/>
        <v>1.2750254713655984E-4</v>
      </c>
      <c r="L90" s="86">
        <f>IF(OR(L88=0,K88=0),0,L88/K88-1)</f>
        <v>0</v>
      </c>
      <c r="M90" s="86">
        <f t="shared" ref="M90:Q90" si="25">IF(OR(M88=0,L88=0),0,M88/L88-1)</f>
        <v>0</v>
      </c>
      <c r="N90" s="86">
        <f t="shared" si="25"/>
        <v>0</v>
      </c>
      <c r="O90" s="86">
        <f t="shared" si="25"/>
        <v>0</v>
      </c>
      <c r="P90" s="86">
        <f t="shared" si="25"/>
        <v>0</v>
      </c>
      <c r="Q90" s="86">
        <f t="shared" si="25"/>
        <v>0</v>
      </c>
    </row>
    <row r="91" spans="1:18">
      <c r="D91" s="201"/>
    </row>
    <row r="92" spans="1:18" s="199" customFormat="1">
      <c r="D92" s="204" t="s">
        <v>273</v>
      </c>
      <c r="R92" s="326"/>
    </row>
    <row r="93" spans="1:18" s="105" customFormat="1">
      <c r="D93" s="201" t="s">
        <v>163</v>
      </c>
      <c r="F93" s="12">
        <f t="array" ref="F93:K93">TRANSPOSE(PSTN.residential.lines.2008.2013)</f>
        <v>14994238</v>
      </c>
      <c r="G93" s="12">
        <v>14077977</v>
      </c>
      <c r="H93" s="12">
        <v>14352717</v>
      </c>
      <c r="I93" s="12">
        <v>14147970</v>
      </c>
      <c r="J93" s="12">
        <v>14285809</v>
      </c>
      <c r="K93" s="12">
        <v>14027410</v>
      </c>
      <c r="L93" s="484"/>
      <c r="M93" s="484"/>
      <c r="N93" s="484"/>
      <c r="O93" s="484"/>
      <c r="P93" s="484"/>
      <c r="Q93" s="484"/>
      <c r="R93" s="326"/>
    </row>
    <row r="94" spans="1:18">
      <c r="A94" s="199"/>
      <c r="B94" s="199"/>
      <c r="C94" s="199"/>
      <c r="D94" s="203" t="s">
        <v>252</v>
      </c>
      <c r="E94" s="199"/>
      <c r="F94"/>
      <c r="G94"/>
    </row>
    <row r="95" spans="1:18" s="105" customFormat="1">
      <c r="D95" s="201" t="s">
        <v>128</v>
      </c>
      <c r="F95" s="119">
        <f>'Inputs de conexiones'!F52</f>
        <v>-9.401995909058658E-3</v>
      </c>
      <c r="G95" s="86">
        <f t="shared" ref="G95:K95" si="26">IF(OR(G93=0,F93=0),0,G93/F93-1)</f>
        <v>-6.1107540109740843E-2</v>
      </c>
      <c r="H95" s="86">
        <f t="shared" si="26"/>
        <v>1.9515588070643908E-2</v>
      </c>
      <c r="I95" s="86">
        <f t="shared" si="26"/>
        <v>-1.4265382644972346E-2</v>
      </c>
      <c r="J95" s="86">
        <f t="shared" si="26"/>
        <v>9.7426697964442255E-3</v>
      </c>
      <c r="K95" s="86">
        <f t="shared" si="26"/>
        <v>-1.8087810077819233E-2</v>
      </c>
      <c r="L95" s="86">
        <f>IF(OR(L93=0,K93=0),0,L93/K93-1)</f>
        <v>0</v>
      </c>
      <c r="M95" s="86">
        <f t="shared" ref="M95:Q95" si="27">IF(OR(M93=0,L93=0),0,M93/L93-1)</f>
        <v>0</v>
      </c>
      <c r="N95" s="86">
        <f t="shared" si="27"/>
        <v>0</v>
      </c>
      <c r="O95" s="86">
        <f t="shared" si="27"/>
        <v>0</v>
      </c>
      <c r="P95" s="86">
        <f t="shared" si="27"/>
        <v>0</v>
      </c>
      <c r="Q95" s="86">
        <f t="shared" si="27"/>
        <v>0</v>
      </c>
    </row>
    <row r="96" spans="1:18" s="105" customFormat="1">
      <c r="D96" s="201"/>
    </row>
    <row r="97" spans="1:20" s="199" customFormat="1">
      <c r="D97" s="205" t="s">
        <v>274</v>
      </c>
      <c r="R97" s="326"/>
    </row>
    <row r="98" spans="1:20" s="105" customFormat="1">
      <c r="D98" s="201" t="s">
        <v>164</v>
      </c>
      <c r="F98" s="12">
        <f t="array" ref="F98:K98">TRANSPOSE(PSTN.non.residential.lines.2008.2013)</f>
        <v>5497192</v>
      </c>
      <c r="G98" s="12">
        <v>5427596</v>
      </c>
      <c r="H98" s="12">
        <v>5565926</v>
      </c>
      <c r="I98" s="12">
        <v>5583398</v>
      </c>
      <c r="J98" s="12">
        <v>6302015</v>
      </c>
      <c r="K98" s="12">
        <v>6563039</v>
      </c>
      <c r="L98" s="484"/>
      <c r="M98" s="484"/>
      <c r="N98" s="484"/>
      <c r="O98" s="484"/>
      <c r="P98" s="484"/>
      <c r="Q98" s="484"/>
      <c r="R98" s="326"/>
    </row>
    <row r="99" spans="1:20">
      <c r="A99" s="199"/>
      <c r="B99" s="199"/>
      <c r="C99" s="199"/>
      <c r="D99" s="203" t="s">
        <v>252</v>
      </c>
      <c r="E99" s="199"/>
      <c r="F99"/>
      <c r="G99"/>
    </row>
    <row r="100" spans="1:20" s="105" customFormat="1">
      <c r="D100" s="201" t="s">
        <v>128</v>
      </c>
      <c r="F100" s="119">
        <f>'Inputs de conexiones'!F55</f>
        <v>0</v>
      </c>
      <c r="G100" s="86">
        <f t="shared" ref="G100:K100" si="28">IF(OR(G98=0,F98=0),0,G98/F98-1)</f>
        <v>-1.2660281831160303E-2</v>
      </c>
      <c r="H100" s="86">
        <f t="shared" si="28"/>
        <v>2.5486421612809895E-2</v>
      </c>
      <c r="I100" s="86">
        <f t="shared" si="28"/>
        <v>3.1391003042440246E-3</v>
      </c>
      <c r="J100" s="86">
        <f t="shared" si="28"/>
        <v>0.12870603170327466</v>
      </c>
      <c r="K100" s="86">
        <f t="shared" si="28"/>
        <v>4.1419133404157149E-2</v>
      </c>
      <c r="L100" s="86">
        <f>IF(OR(L98=0,K98=0),0,L98/K98-1)</f>
        <v>0</v>
      </c>
      <c r="M100" s="86">
        <f t="shared" ref="M100:Q100" si="29">IF(OR(M98=0,L98=0),0,M98/L98-1)</f>
        <v>0</v>
      </c>
      <c r="N100" s="86">
        <f t="shared" si="29"/>
        <v>0</v>
      </c>
      <c r="O100" s="86">
        <f t="shared" si="29"/>
        <v>0</v>
      </c>
      <c r="P100" s="86">
        <f t="shared" si="29"/>
        <v>0</v>
      </c>
      <c r="Q100" s="86">
        <f t="shared" si="29"/>
        <v>0</v>
      </c>
    </row>
    <row r="101" spans="1:20" s="105" customFormat="1">
      <c r="D101" s="201"/>
    </row>
    <row r="102" spans="1:20" s="199" customFormat="1" ht="36">
      <c r="D102" s="206" t="s">
        <v>275</v>
      </c>
      <c r="J102" s="334"/>
      <c r="K102" s="334"/>
      <c r="S102" s="148" t="s">
        <v>742</v>
      </c>
      <c r="T102" s="148" t="s">
        <v>743</v>
      </c>
    </row>
    <row r="103" spans="1:20">
      <c r="D103" s="201" t="s">
        <v>139</v>
      </c>
      <c r="F103" s="12">
        <f t="array" ref="F103:K103">TRANSPOSE('Inputs de conexiones'!$H$49:$H$54)</f>
        <v>17606588.999999996</v>
      </c>
      <c r="G103" s="12">
        <v>15897881.999999998</v>
      </c>
      <c r="H103" s="12">
        <v>15606590.999999998</v>
      </c>
      <c r="I103" s="12">
        <v>14828813.999999998</v>
      </c>
      <c r="J103" s="12">
        <v>14238223.999999998</v>
      </c>
      <c r="K103" s="12">
        <v>13556542.999999998</v>
      </c>
      <c r="L103" s="3">
        <f t="shared" ref="L103:Q103" si="30">L88*L105</f>
        <v>0</v>
      </c>
      <c r="M103" s="3">
        <f t="shared" si="30"/>
        <v>0</v>
      </c>
      <c r="N103" s="3">
        <f t="shared" si="30"/>
        <v>0</v>
      </c>
      <c r="O103" s="3">
        <f t="shared" si="30"/>
        <v>0</v>
      </c>
      <c r="P103" s="3">
        <f t="shared" si="30"/>
        <v>0</v>
      </c>
      <c r="Q103" s="3">
        <f t="shared" si="30"/>
        <v>0</v>
      </c>
      <c r="R103" s="43" t="s">
        <v>140</v>
      </c>
      <c r="S103" s="101">
        <f>K103</f>
        <v>13556542.999999998</v>
      </c>
      <c r="T103" s="101">
        <f>J103</f>
        <v>14238223.999999998</v>
      </c>
    </row>
    <row r="104" spans="1:20">
      <c r="A104" s="199"/>
      <c r="B104" s="199"/>
      <c r="C104" s="199"/>
      <c r="D104" s="207" t="s">
        <v>257</v>
      </c>
      <c r="E104" s="199"/>
      <c r="F104"/>
      <c r="G104"/>
      <c r="R104" s="326"/>
      <c r="S104" s="334" t="s">
        <v>750</v>
      </c>
      <c r="T104" s="334" t="s">
        <v>751</v>
      </c>
    </row>
    <row r="105" spans="1:20">
      <c r="D105" s="201" t="s">
        <v>138</v>
      </c>
      <c r="F105" s="86">
        <f t="shared" ref="F105:K105" si="31">F103/F88</f>
        <v>0.85921719470041846</v>
      </c>
      <c r="G105" s="86">
        <f t="shared" si="31"/>
        <v>0.81504306487176759</v>
      </c>
      <c r="H105" s="86">
        <f t="shared" si="31"/>
        <v>0.78351677872835002</v>
      </c>
      <c r="I105" s="86">
        <f t="shared" si="31"/>
        <v>0.75153501774433473</v>
      </c>
      <c r="J105" s="86">
        <f t="shared" si="31"/>
        <v>0.69158469588626748</v>
      </c>
      <c r="K105" s="86">
        <f t="shared" si="31"/>
        <v>0.65838986804027433</v>
      </c>
      <c r="L105" s="482"/>
      <c r="M105" s="482"/>
      <c r="N105" s="482"/>
      <c r="O105" s="482"/>
      <c r="P105" s="482"/>
      <c r="Q105" s="482"/>
      <c r="R105" s="326"/>
    </row>
    <row r="106" spans="1:20">
      <c r="D106" s="201"/>
    </row>
    <row r="107" spans="1:20" s="199" customFormat="1">
      <c r="D107" s="208" t="s">
        <v>276</v>
      </c>
    </row>
    <row r="108" spans="1:20">
      <c r="D108" s="201" t="s">
        <v>168</v>
      </c>
      <c r="F108" s="327">
        <f t="array" ref="F108:Q108">F93:Q93*F$105:Q$105</f>
        <v>12883307.111030413</v>
      </c>
      <c r="G108" s="327">
        <v>11474157.521274252</v>
      </c>
      <c r="H108" s="327">
        <v>11245594.589839628</v>
      </c>
      <c r="I108" s="327">
        <v>10632694.884996315</v>
      </c>
      <c r="J108" s="327">
        <v>9879846.8727543037</v>
      </c>
      <c r="K108" s="327">
        <v>9235504.6188468244</v>
      </c>
      <c r="L108" s="327">
        <v>0</v>
      </c>
      <c r="M108" s="327">
        <v>0</v>
      </c>
      <c r="N108" s="327">
        <v>0</v>
      </c>
      <c r="O108" s="327">
        <v>0</v>
      </c>
      <c r="P108" s="327">
        <v>0</v>
      </c>
      <c r="Q108" s="327">
        <v>0</v>
      </c>
      <c r="R108" s="43" t="s">
        <v>170</v>
      </c>
    </row>
    <row r="109" spans="1:20">
      <c r="A109" s="199"/>
      <c r="B109" s="199"/>
      <c r="C109" s="199"/>
      <c r="D109" s="209" t="s">
        <v>277</v>
      </c>
      <c r="E109" s="199"/>
      <c r="F109"/>
      <c r="G109"/>
    </row>
    <row r="110" spans="1:20">
      <c r="D110" s="201" t="s">
        <v>169</v>
      </c>
      <c r="F110" s="327">
        <f t="array" ref="F110:Q110">F103:Q103-F108:Q108</f>
        <v>4723281.8889695834</v>
      </c>
      <c r="G110" s="327">
        <v>4423724.4787257463</v>
      </c>
      <c r="H110" s="327">
        <v>4360996.4101603702</v>
      </c>
      <c r="I110" s="327">
        <v>4196119.1150036827</v>
      </c>
      <c r="J110" s="327">
        <v>4358377.1272456944</v>
      </c>
      <c r="K110" s="327">
        <v>4321038.3811531737</v>
      </c>
      <c r="L110" s="327">
        <v>0</v>
      </c>
      <c r="M110" s="327">
        <v>0</v>
      </c>
      <c r="N110" s="327">
        <v>0</v>
      </c>
      <c r="O110" s="327">
        <v>0</v>
      </c>
      <c r="P110" s="327">
        <v>0</v>
      </c>
      <c r="Q110" s="327">
        <v>0</v>
      </c>
      <c r="R110" s="43" t="s">
        <v>171</v>
      </c>
    </row>
    <row r="112" spans="1:20" s="326" customFormat="1" ht="36">
      <c r="D112" s="326" t="s">
        <v>681</v>
      </c>
      <c r="S112" s="148" t="s">
        <v>742</v>
      </c>
      <c r="T112" s="148" t="s">
        <v>743</v>
      </c>
    </row>
    <row r="113" spans="2:20" s="326" customFormat="1">
      <c r="D113" s="269" t="s">
        <v>682</v>
      </c>
      <c r="F113" s="327">
        <f t="array" ref="F113:Q113">F140:Q140-F115:Q115</f>
        <v>7495961.6110304128</v>
      </c>
      <c r="G113" s="327">
        <v>4886974.3763650022</v>
      </c>
      <c r="H113" s="327">
        <v>3757180.5361889703</v>
      </c>
      <c r="I113" s="327">
        <v>3169603.0211670063</v>
      </c>
      <c r="J113" s="327">
        <v>2864244.1694066273</v>
      </c>
      <c r="K113" s="327">
        <v>2791101.2</v>
      </c>
      <c r="L113" s="327">
        <v>0</v>
      </c>
      <c r="M113" s="327">
        <v>0</v>
      </c>
      <c r="N113" s="327">
        <v>0</v>
      </c>
      <c r="O113" s="327">
        <v>0</v>
      </c>
      <c r="P113" s="327">
        <v>0</v>
      </c>
      <c r="Q113" s="327">
        <v>0</v>
      </c>
      <c r="R113" s="334" t="s">
        <v>691</v>
      </c>
      <c r="S113" s="101">
        <f>K113</f>
        <v>2791101.2</v>
      </c>
      <c r="T113" s="101">
        <f>J113</f>
        <v>2864244.1694066273</v>
      </c>
    </row>
    <row r="114" spans="2:20" s="326" customFormat="1">
      <c r="D114" s="326" t="s">
        <v>683</v>
      </c>
      <c r="J114" s="334"/>
      <c r="K114" s="334"/>
      <c r="S114" s="334" t="s">
        <v>746</v>
      </c>
      <c r="T114" s="334" t="s">
        <v>747</v>
      </c>
    </row>
    <row r="115" spans="2:20" s="326" customFormat="1">
      <c r="D115" s="269" t="s">
        <v>684</v>
      </c>
      <c r="F115" s="327">
        <f t="shared" ref="F115:Q115" si="32">MIN(F$140*Proportion.of.non.residential.voice.only.lines,F110)</f>
        <v>4723281.8889695834</v>
      </c>
      <c r="G115" s="327">
        <f t="shared" si="32"/>
        <v>4423724.4787257463</v>
      </c>
      <c r="H115" s="327">
        <f t="shared" si="32"/>
        <v>4360996.4101603702</v>
      </c>
      <c r="I115" s="327">
        <f t="shared" si="32"/>
        <v>4196119.1150036827</v>
      </c>
      <c r="J115" s="327">
        <f t="shared" si="32"/>
        <v>4296366.2541099414</v>
      </c>
      <c r="K115" s="327">
        <f t="shared" si="32"/>
        <v>4186651.8</v>
      </c>
      <c r="L115" s="327">
        <f t="shared" si="32"/>
        <v>0</v>
      </c>
      <c r="M115" s="327">
        <f t="shared" si="32"/>
        <v>0</v>
      </c>
      <c r="N115" s="327">
        <f t="shared" si="32"/>
        <v>0</v>
      </c>
      <c r="O115" s="327">
        <f t="shared" si="32"/>
        <v>0</v>
      </c>
      <c r="P115" s="327">
        <f t="shared" si="32"/>
        <v>0</v>
      </c>
      <c r="Q115" s="327">
        <f t="shared" si="32"/>
        <v>0</v>
      </c>
      <c r="R115" s="334" t="s">
        <v>692</v>
      </c>
      <c r="S115" s="101">
        <f>K115</f>
        <v>4186651.8</v>
      </c>
      <c r="T115" s="101">
        <f>J115</f>
        <v>4296366.2541099414</v>
      </c>
    </row>
    <row r="116" spans="2:20" s="326" customFormat="1">
      <c r="J116" s="334"/>
      <c r="K116" s="334"/>
      <c r="S116" s="334" t="s">
        <v>748</v>
      </c>
      <c r="T116" s="334" t="s">
        <v>749</v>
      </c>
    </row>
    <row r="117" spans="2:20" s="326" customFormat="1"/>
    <row r="119" spans="2:20" s="326" customFormat="1" ht="17.25" thickBot="1">
      <c r="B119" s="198" t="s">
        <v>689</v>
      </c>
      <c r="C119" s="198"/>
      <c r="D119" s="198"/>
      <c r="E119" s="198"/>
    </row>
    <row r="120" spans="2:20" s="326" customFormat="1" ht="18" thickTop="1" thickBot="1">
      <c r="B120" s="198" t="s">
        <v>690</v>
      </c>
      <c r="C120" s="198"/>
      <c r="D120" s="198"/>
      <c r="E120" s="198"/>
      <c r="F120" s="198"/>
      <c r="G120" s="198"/>
      <c r="H120" s="198"/>
      <c r="I120" s="198"/>
      <c r="J120" s="198"/>
      <c r="K120" s="198"/>
      <c r="L120" s="198"/>
      <c r="M120" s="198"/>
      <c r="N120" s="198"/>
      <c r="O120" s="198"/>
      <c r="P120" s="198"/>
      <c r="Q120" s="198"/>
      <c r="R120" s="198"/>
    </row>
    <row r="121" spans="2:20" ht="12.75" thickTop="1">
      <c r="K121" s="326"/>
    </row>
    <row r="122" spans="2:20">
      <c r="D122" t="s">
        <v>710</v>
      </c>
      <c r="K122" s="495">
        <v>7009288.0200000005</v>
      </c>
      <c r="L122" s="326"/>
    </row>
    <row r="123" spans="2:20">
      <c r="K123" s="326"/>
      <c r="L123" s="326"/>
    </row>
    <row r="124" spans="2:20">
      <c r="D124" t="s">
        <v>709</v>
      </c>
      <c r="K124" s="495">
        <v>8466603.1799999997</v>
      </c>
      <c r="L124" s="326"/>
    </row>
    <row r="127" spans="2:20">
      <c r="D127" s="325" t="s">
        <v>265</v>
      </c>
    </row>
    <row r="128" spans="2:20">
      <c r="D128" s="149" t="s">
        <v>65</v>
      </c>
      <c r="F128" s="331">
        <f t="array" ref="F128:Q128">F33:Q33</f>
        <v>5387345.5</v>
      </c>
      <c r="G128" s="331">
        <v>6889603.4903381448</v>
      </c>
      <c r="H128" s="331">
        <v>8209093.2064125929</v>
      </c>
      <c r="I128" s="331">
        <v>8594918.1526595205</v>
      </c>
      <c r="J128" s="331">
        <v>8584968.2913398407</v>
      </c>
      <c r="K128" s="331">
        <v>8428682.41465405</v>
      </c>
      <c r="L128" s="331">
        <v>0</v>
      </c>
      <c r="M128" s="331">
        <v>0</v>
      </c>
      <c r="N128" s="331">
        <v>0</v>
      </c>
      <c r="O128" s="331">
        <v>0</v>
      </c>
      <c r="P128" s="331">
        <v>0</v>
      </c>
      <c r="Q128" s="331">
        <v>0</v>
      </c>
    </row>
    <row r="129" spans="4:18">
      <c r="J129" s="356" t="s">
        <v>508</v>
      </c>
      <c r="K129" s="163">
        <f>(K128-K124)/K128</f>
        <v>-4.4990146122982277E-3</v>
      </c>
    </row>
    <row r="130" spans="4:18">
      <c r="D130" s="326" t="s">
        <v>275</v>
      </c>
      <c r="E130" s="326"/>
      <c r="F130" s="326"/>
      <c r="G130" s="326"/>
      <c r="H130" s="326"/>
      <c r="I130" s="326"/>
      <c r="J130" s="326"/>
      <c r="K130" s="326"/>
      <c r="L130" s="326"/>
      <c r="M130" s="326"/>
      <c r="N130" s="326"/>
      <c r="O130" s="326"/>
      <c r="P130" s="326"/>
      <c r="Q130" s="326"/>
      <c r="R130" s="326"/>
    </row>
    <row r="131" spans="4:18">
      <c r="D131" s="269" t="s">
        <v>139</v>
      </c>
      <c r="E131" s="326"/>
      <c r="F131" s="331">
        <f t="array" ref="F131:Q131">Telmex.PSTN.lines</f>
        <v>17606588.999999996</v>
      </c>
      <c r="G131" s="331">
        <v>15897881.999999998</v>
      </c>
      <c r="H131" s="331">
        <v>15606590.999999998</v>
      </c>
      <c r="I131" s="331">
        <v>14828813.999999998</v>
      </c>
      <c r="J131" s="331">
        <v>14238223.999999998</v>
      </c>
      <c r="K131" s="331">
        <v>13556542.999999998</v>
      </c>
      <c r="L131" s="331">
        <v>0</v>
      </c>
      <c r="M131" s="331">
        <v>0</v>
      </c>
      <c r="N131" s="331">
        <v>0</v>
      </c>
      <c r="O131" s="331">
        <v>0</v>
      </c>
      <c r="P131" s="331">
        <v>0</v>
      </c>
      <c r="Q131" s="331">
        <v>0</v>
      </c>
    </row>
    <row r="133" spans="4:18">
      <c r="D133" s="325" t="s">
        <v>685</v>
      </c>
    </row>
    <row r="134" spans="4:18" s="326" customFormat="1">
      <c r="D134" s="149" t="s">
        <v>686</v>
      </c>
      <c r="F134" s="327">
        <f>F128*F137</f>
        <v>0</v>
      </c>
      <c r="G134" s="327">
        <f>G128*G137</f>
        <v>302420.3454288941</v>
      </c>
      <c r="H134" s="327">
        <f>H128*H137</f>
        <v>720679.15276193549</v>
      </c>
      <c r="I134" s="327">
        <f>I128*I137</f>
        <v>1131826.2888302114</v>
      </c>
      <c r="J134" s="327">
        <f>J128*J137</f>
        <v>1507354.7148564111</v>
      </c>
      <c r="K134" s="329">
        <f>K128+K140-K131</f>
        <v>1849892.4146540519</v>
      </c>
      <c r="L134" s="327">
        <f t="shared" ref="L134:Q134" si="33">L128*L137</f>
        <v>0</v>
      </c>
      <c r="M134" s="327">
        <f t="shared" si="33"/>
        <v>0</v>
      </c>
      <c r="N134" s="327">
        <f t="shared" si="33"/>
        <v>0</v>
      </c>
      <c r="O134" s="327">
        <f t="shared" si="33"/>
        <v>0</v>
      </c>
      <c r="P134" s="327">
        <f t="shared" si="33"/>
        <v>0</v>
      </c>
      <c r="Q134" s="327">
        <f t="shared" si="33"/>
        <v>0</v>
      </c>
    </row>
    <row r="135" spans="4:18" s="326" customFormat="1"/>
    <row r="136" spans="4:18" s="326" customFormat="1">
      <c r="D136" s="325" t="s">
        <v>687</v>
      </c>
    </row>
    <row r="137" spans="4:18" s="326" customFormat="1">
      <c r="D137" s="149" t="s">
        <v>688</v>
      </c>
      <c r="F137" s="88">
        <v>0</v>
      </c>
      <c r="G137" s="163">
        <f>$F137+($K137-$F137)/($K$11-$F$11)*(G$11-$F$11)</f>
        <v>4.3895174207485656E-2</v>
      </c>
      <c r="H137" s="163">
        <f>$F137+($K137-$F137)/($K$11-$F$11)*(H$11-$F$11)</f>
        <v>8.7790348414971311E-2</v>
      </c>
      <c r="I137" s="163">
        <f>$F137+($K137-$F137)/($K$11-$F$11)*(I$11-$F$11)</f>
        <v>0.13168552262245697</v>
      </c>
      <c r="J137" s="163">
        <f>$F137+($K137-$F137)/($K$11-$F$11)*(J$11-$F$11)</f>
        <v>0.17558069682994262</v>
      </c>
      <c r="K137" s="86">
        <f>K134/K128</f>
        <v>0.21947587103742827</v>
      </c>
      <c r="L137" s="482"/>
      <c r="M137" s="482"/>
      <c r="N137" s="482"/>
      <c r="O137" s="482"/>
      <c r="P137" s="482"/>
      <c r="Q137" s="482"/>
    </row>
    <row r="138" spans="4:18" s="326" customFormat="1">
      <c r="F138" s="326" t="s">
        <v>798</v>
      </c>
    </row>
    <row r="139" spans="4:18">
      <c r="D139" s="326" t="s">
        <v>679</v>
      </c>
    </row>
    <row r="140" spans="4:18">
      <c r="D140" t="s">
        <v>680</v>
      </c>
      <c r="F140" s="96">
        <f>F131-(F128-F134)</f>
        <v>12219243.499999996</v>
      </c>
      <c r="G140" s="96">
        <f>G131-(G128-G134)</f>
        <v>9310698.8550907485</v>
      </c>
      <c r="H140" s="96">
        <f>H131-(H128-H134)</f>
        <v>8118176.9463493405</v>
      </c>
      <c r="I140" s="96">
        <f>I131-(I128-I134)</f>
        <v>7365722.136170689</v>
      </c>
      <c r="J140" s="96">
        <f>J131-(J128-J134)</f>
        <v>7160610.4235165687</v>
      </c>
      <c r="K140" s="329">
        <f>ROUND(K122*(1+K129),0)</f>
        <v>6977753</v>
      </c>
      <c r="L140" s="96">
        <f t="shared" ref="L140:Q140" si="34">L131-(L128-L134)</f>
        <v>0</v>
      </c>
      <c r="M140" s="96">
        <f t="shared" si="34"/>
        <v>0</v>
      </c>
      <c r="N140" s="96">
        <f t="shared" si="34"/>
        <v>0</v>
      </c>
      <c r="O140" s="96">
        <f t="shared" si="34"/>
        <v>0</v>
      </c>
      <c r="P140" s="96">
        <f t="shared" si="34"/>
        <v>0</v>
      </c>
      <c r="Q140" s="96">
        <f t="shared" si="34"/>
        <v>0</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K27 K140 K13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05"/>
  <sheetViews>
    <sheetView showGridLines="0" defaultGridColor="0" colorId="22" zoomScaleNormal="100" workbookViewId="0">
      <pane xSplit="4" ySplit="8" topLeftCell="E78" activePane="bottomRight" state="frozen"/>
      <selection pane="topRight" activeCell="E1" sqref="E1"/>
      <selection pane="bottomLeft" activeCell="A6" sqref="A6"/>
      <selection pane="bottomRight" activeCell="G108" sqref="G108"/>
    </sheetView>
  </sheetViews>
  <sheetFormatPr baseColWidth="10" defaultColWidth="12.7109375" defaultRowHeight="12"/>
  <cols>
    <col min="1" max="1" width="6.7109375" customWidth="1"/>
    <col min="3" max="3" width="62" customWidth="1"/>
    <col min="7" max="7" width="17.28515625" style="105" customWidth="1"/>
    <col min="8" max="8" width="12.7109375" style="105"/>
    <col min="11" max="11" width="22" customWidth="1"/>
    <col min="14" max="14" width="23.5703125" customWidth="1"/>
    <col min="15" max="15" width="19.85546875" customWidth="1"/>
  </cols>
  <sheetData>
    <row r="1" spans="1:16" s="75" customFormat="1" ht="33.75" customHeight="1">
      <c r="D1" s="212" t="s">
        <v>278</v>
      </c>
      <c r="G1" s="106"/>
      <c r="H1" s="106"/>
      <c r="L1" s="75" t="s">
        <v>20</v>
      </c>
    </row>
    <row r="2" spans="1:16" ht="27.75">
      <c r="D2" s="80" t="s">
        <v>31</v>
      </c>
    </row>
    <row r="3" spans="1:16" s="210" customFormat="1"/>
    <row r="4" spans="1:16" s="210" customFormat="1" ht="20.25" thickBot="1">
      <c r="A4" s="214" t="s">
        <v>279</v>
      </c>
      <c r="B4" s="214"/>
      <c r="C4" s="214"/>
    </row>
    <row r="5" spans="1:16" ht="21" thickTop="1" thickBot="1">
      <c r="A5" s="79" t="s">
        <v>38</v>
      </c>
      <c r="B5" s="79"/>
      <c r="C5" s="79"/>
      <c r="D5" s="79"/>
      <c r="E5" s="79"/>
      <c r="F5" s="79"/>
      <c r="G5" s="79"/>
      <c r="H5" s="79"/>
      <c r="I5" s="79"/>
      <c r="J5" s="79"/>
      <c r="K5" s="79"/>
      <c r="L5" s="79"/>
      <c r="M5" s="79"/>
      <c r="N5" s="79"/>
      <c r="O5" s="79"/>
      <c r="P5" s="79"/>
    </row>
    <row r="6" spans="1:16" ht="12.75" thickTop="1"/>
    <row r="7" spans="1:16" s="213" customFormat="1" ht="36">
      <c r="A7" s="215"/>
      <c r="B7" s="215"/>
      <c r="C7" s="215"/>
      <c r="D7" s="215"/>
      <c r="E7" s="216" t="s">
        <v>280</v>
      </c>
      <c r="F7" s="216" t="s">
        <v>284</v>
      </c>
      <c r="G7" s="216" t="s">
        <v>281</v>
      </c>
      <c r="H7" s="215"/>
      <c r="I7" s="216" t="s">
        <v>282</v>
      </c>
      <c r="J7" s="218" t="s">
        <v>284</v>
      </c>
      <c r="K7" s="216" t="s">
        <v>281</v>
      </c>
      <c r="L7" s="215"/>
      <c r="M7" s="216" t="s">
        <v>244</v>
      </c>
      <c r="N7" s="218" t="s">
        <v>284</v>
      </c>
      <c r="O7" s="216" t="s">
        <v>281</v>
      </c>
      <c r="P7" s="215"/>
    </row>
    <row r="8" spans="1:16" s="105" customFormat="1">
      <c r="E8" s="1" t="s">
        <v>69</v>
      </c>
      <c r="F8" s="135" t="s">
        <v>217</v>
      </c>
      <c r="G8" s="135" t="s">
        <v>216</v>
      </c>
      <c r="I8" s="1" t="s">
        <v>23</v>
      </c>
      <c r="J8" s="135" t="s">
        <v>217</v>
      </c>
      <c r="K8" s="135" t="s">
        <v>216</v>
      </c>
      <c r="M8" s="1" t="s">
        <v>29</v>
      </c>
      <c r="N8" s="135" t="s">
        <v>217</v>
      </c>
      <c r="O8" s="135" t="s">
        <v>216</v>
      </c>
    </row>
    <row r="9" spans="1:16" s="215" customFormat="1">
      <c r="B9" s="220" t="s">
        <v>283</v>
      </c>
      <c r="D9"/>
      <c r="E9"/>
      <c r="F9"/>
      <c r="G9"/>
      <c r="H9"/>
      <c r="I9"/>
      <c r="J9"/>
      <c r="K9"/>
      <c r="L9"/>
      <c r="M9"/>
      <c r="N9"/>
      <c r="O9"/>
      <c r="P9"/>
    </row>
    <row r="10" spans="1:16">
      <c r="B10" s="157" t="s">
        <v>39</v>
      </c>
    </row>
    <row r="12" spans="1:16" s="217" customFormat="1">
      <c r="C12" s="221" t="s">
        <v>285</v>
      </c>
    </row>
    <row r="13" spans="1:16">
      <c r="C13" s="142" t="s">
        <v>40</v>
      </c>
      <c r="K13" s="326"/>
    </row>
    <row r="14" spans="1:16" s="217" customFormat="1">
      <c r="C14" s="222" t="s">
        <v>286</v>
      </c>
      <c r="K14" s="326"/>
    </row>
    <row r="15" spans="1:16">
      <c r="C15" s="146" t="s">
        <v>43</v>
      </c>
      <c r="I15" s="11">
        <v>500</v>
      </c>
      <c r="K15" s="326"/>
    </row>
    <row r="16" spans="1:16" s="217" customFormat="1">
      <c r="C16" s="223" t="s">
        <v>287</v>
      </c>
      <c r="I16"/>
      <c r="K16" s="326"/>
    </row>
    <row r="17" spans="3:15">
      <c r="C17" s="146" t="s">
        <v>44</v>
      </c>
      <c r="I17" s="9">
        <v>0</v>
      </c>
      <c r="K17" s="326"/>
    </row>
    <row r="18" spans="3:15" s="217" customFormat="1">
      <c r="C18" s="224" t="s">
        <v>288</v>
      </c>
      <c r="I18"/>
      <c r="K18" s="326"/>
    </row>
    <row r="19" spans="3:15">
      <c r="C19" s="159" t="s">
        <v>42</v>
      </c>
      <c r="I19" s="9">
        <v>0</v>
      </c>
      <c r="K19" s="326"/>
    </row>
    <row r="20" spans="3:15" s="217" customFormat="1">
      <c r="C20" s="225" t="s">
        <v>289</v>
      </c>
      <c r="I20"/>
      <c r="K20" s="326"/>
    </row>
    <row r="21" spans="3:15">
      <c r="C21" s="159" t="s">
        <v>41</v>
      </c>
      <c r="I21" s="90">
        <f>I15+I17-I19</f>
        <v>500</v>
      </c>
      <c r="J21" s="43" t="s">
        <v>82</v>
      </c>
      <c r="K21" s="326"/>
    </row>
    <row r="22" spans="3:15">
      <c r="K22" s="326"/>
    </row>
    <row r="23" spans="3:15" s="217" customFormat="1">
      <c r="C23" s="226" t="s">
        <v>290</v>
      </c>
      <c r="K23" s="326"/>
    </row>
    <row r="24" spans="3:15">
      <c r="C24" s="142" t="s">
        <v>45</v>
      </c>
      <c r="K24" s="326"/>
    </row>
    <row r="25" spans="3:15" s="217" customFormat="1">
      <c r="C25" s="227" t="s">
        <v>291</v>
      </c>
      <c r="K25" s="326"/>
    </row>
    <row r="26" spans="3:15">
      <c r="C26" s="146" t="s">
        <v>46</v>
      </c>
      <c r="I26" s="9">
        <v>5</v>
      </c>
      <c r="J26" s="43" t="s">
        <v>78</v>
      </c>
      <c r="K26" s="326"/>
    </row>
    <row r="27" spans="3:15" s="217" customFormat="1">
      <c r="C27" s="228" t="s">
        <v>292</v>
      </c>
      <c r="I27"/>
      <c r="J27" s="219"/>
      <c r="K27" s="219"/>
    </row>
    <row r="28" spans="3:15">
      <c r="C28" s="146" t="s">
        <v>47</v>
      </c>
      <c r="I28" s="102">
        <f>Line.rental.churn</f>
        <v>8.3000000000000004E-2</v>
      </c>
      <c r="J28" s="43" t="s">
        <v>77</v>
      </c>
      <c r="K28" s="43"/>
      <c r="M28" s="122">
        <v>8.3000000000000004E-2</v>
      </c>
      <c r="N28" s="43" t="s">
        <v>108</v>
      </c>
      <c r="O28" s="43"/>
    </row>
    <row r="29" spans="3:15">
      <c r="G29"/>
      <c r="H29"/>
    </row>
    <row r="30" spans="3:15" s="217" customFormat="1">
      <c r="C30" s="229" t="s">
        <v>293</v>
      </c>
      <c r="G30" s="158"/>
      <c r="I30"/>
      <c r="K30" s="43" t="s">
        <v>215</v>
      </c>
      <c r="M30"/>
      <c r="N30" s="219"/>
      <c r="O30" s="43" t="s">
        <v>215</v>
      </c>
    </row>
    <row r="31" spans="3:15">
      <c r="C31" s="142" t="s">
        <v>48</v>
      </c>
      <c r="E31" s="43"/>
      <c r="G31" s="43"/>
      <c r="H31" s="43"/>
    </row>
    <row r="33" spans="2:8" s="217" customFormat="1">
      <c r="C33" s="230" t="s">
        <v>294</v>
      </c>
    </row>
    <row r="34" spans="2:8">
      <c r="C34" s="142" t="s">
        <v>49</v>
      </c>
    </row>
    <row r="35" spans="2:8" s="217" customFormat="1">
      <c r="C35" s="231" t="s">
        <v>295</v>
      </c>
      <c r="G35" s="158"/>
    </row>
    <row r="36" spans="2:8">
      <c r="C36" s="146" t="s">
        <v>50</v>
      </c>
      <c r="E36" s="43"/>
      <c r="G36" s="43"/>
      <c r="H36" s="43"/>
    </row>
    <row r="37" spans="2:8" s="217" customFormat="1">
      <c r="C37" s="232" t="s">
        <v>296</v>
      </c>
      <c r="E37" s="219"/>
      <c r="G37" s="158"/>
      <c r="H37" s="219"/>
    </row>
    <row r="38" spans="2:8">
      <c r="C38" s="146" t="s">
        <v>51</v>
      </c>
      <c r="E38" s="43"/>
      <c r="G38" s="43"/>
      <c r="H38" s="43"/>
    </row>
    <row r="40" spans="2:8" s="326" customFormat="1"/>
    <row r="41" spans="2:8" s="233" customFormat="1">
      <c r="B41" s="234" t="s">
        <v>297</v>
      </c>
      <c r="G41" s="158"/>
    </row>
    <row r="42" spans="2:8">
      <c r="B42" s="157" t="s">
        <v>52</v>
      </c>
      <c r="E42" s="138">
        <v>0.05</v>
      </c>
      <c r="F42" s="43" t="s">
        <v>84</v>
      </c>
      <c r="G42" s="43"/>
      <c r="H42" s="43"/>
    </row>
    <row r="45" spans="2:8" s="235" customFormat="1">
      <c r="B45" s="238" t="s">
        <v>298</v>
      </c>
      <c r="G45" s="158"/>
    </row>
    <row r="46" spans="2:8">
      <c r="B46" s="157" t="s">
        <v>53</v>
      </c>
      <c r="E46" s="138">
        <v>0.02</v>
      </c>
      <c r="F46" s="43" t="s">
        <v>85</v>
      </c>
      <c r="G46" s="43"/>
      <c r="H46"/>
    </row>
    <row r="47" spans="2:8">
      <c r="B47" s="104"/>
    </row>
    <row r="49" spans="2:15" s="236" customFormat="1">
      <c r="B49" s="239" t="s">
        <v>299</v>
      </c>
    </row>
    <row r="50" spans="2:15">
      <c r="B50" s="157" t="s">
        <v>97</v>
      </c>
    </row>
    <row r="51" spans="2:15" s="236" customFormat="1">
      <c r="B51" s="238"/>
      <c r="C51" s="240" t="s">
        <v>300</v>
      </c>
      <c r="F51" s="241" t="s">
        <v>301</v>
      </c>
      <c r="G51" s="158"/>
    </row>
    <row r="52" spans="2:15">
      <c r="C52" s="142" t="s">
        <v>219</v>
      </c>
      <c r="E52" s="124">
        <v>0.21299999999999999</v>
      </c>
      <c r="F52" s="142" t="s">
        <v>218</v>
      </c>
      <c r="G52" s="43"/>
    </row>
    <row r="53" spans="2:15" s="236" customFormat="1">
      <c r="C53" s="240" t="s">
        <v>300</v>
      </c>
      <c r="E53"/>
      <c r="F53" s="242" t="s">
        <v>301</v>
      </c>
      <c r="G53" s="158"/>
    </row>
    <row r="54" spans="2:15" s="105" customFormat="1">
      <c r="C54" s="105" t="s">
        <v>219</v>
      </c>
      <c r="E54" s="124">
        <v>0.45600000000000002</v>
      </c>
      <c r="F54" s="142" t="s">
        <v>218</v>
      </c>
      <c r="G54" s="43"/>
    </row>
    <row r="55" spans="2:15">
      <c r="G55" s="158"/>
      <c r="H55"/>
    </row>
    <row r="56" spans="2:15" s="105" customFormat="1">
      <c r="E56"/>
      <c r="F56"/>
      <c r="G56" s="43"/>
    </row>
    <row r="57" spans="2:15" s="105" customFormat="1">
      <c r="E57"/>
      <c r="F57"/>
    </row>
    <row r="58" spans="2:15" s="236" customFormat="1">
      <c r="C58" s="243" t="s">
        <v>302</v>
      </c>
      <c r="K58" s="158"/>
      <c r="O58" s="158"/>
    </row>
    <row r="59" spans="2:15">
      <c r="C59" s="141" t="s">
        <v>55</v>
      </c>
      <c r="I59" s="9">
        <v>1800</v>
      </c>
      <c r="J59" s="43" t="s">
        <v>109</v>
      </c>
      <c r="K59" s="245"/>
      <c r="M59" s="9">
        <v>0</v>
      </c>
      <c r="N59" s="43" t="s">
        <v>111</v>
      </c>
      <c r="O59" s="43"/>
    </row>
    <row r="60" spans="2:15" s="236" customFormat="1">
      <c r="C60" s="244" t="s">
        <v>303</v>
      </c>
      <c r="I60"/>
      <c r="J60" s="237"/>
      <c r="K60" s="158"/>
      <c r="M60"/>
      <c r="N60" s="237"/>
      <c r="O60" s="158"/>
    </row>
    <row r="61" spans="2:15">
      <c r="C61" s="141" t="s">
        <v>86</v>
      </c>
      <c r="I61" s="138">
        <v>0.1</v>
      </c>
      <c r="J61" s="43" t="s">
        <v>110</v>
      </c>
      <c r="K61" s="245"/>
      <c r="M61" s="138">
        <v>0</v>
      </c>
      <c r="N61" s="43" t="s">
        <v>112</v>
      </c>
      <c r="O61" s="43"/>
    </row>
    <row r="64" spans="2:15" s="246" customFormat="1">
      <c r="B64" s="258" t="s">
        <v>306</v>
      </c>
    </row>
    <row r="65" spans="1:15">
      <c r="B65" s="157" t="s">
        <v>56</v>
      </c>
    </row>
    <row r="66" spans="1:15" s="246" customFormat="1">
      <c r="B66" s="250"/>
      <c r="C66" s="246" t="s">
        <v>300</v>
      </c>
      <c r="F66" s="251" t="s">
        <v>301</v>
      </c>
      <c r="G66" s="158"/>
    </row>
    <row r="67" spans="1:15" s="105" customFormat="1">
      <c r="C67" s="142" t="s">
        <v>219</v>
      </c>
      <c r="E67" s="124">
        <v>0.65600000000000003</v>
      </c>
      <c r="F67" s="142" t="s">
        <v>218</v>
      </c>
      <c r="G67" s="43"/>
    </row>
    <row r="68" spans="1:15" s="105" customFormat="1">
      <c r="E68"/>
      <c r="F68"/>
      <c r="G68" s="43"/>
    </row>
    <row r="69" spans="1:15" s="246" customFormat="1">
      <c r="C69" s="252" t="s">
        <v>304</v>
      </c>
      <c r="G69" s="249"/>
      <c r="K69" s="158"/>
      <c r="O69" s="256"/>
    </row>
    <row r="70" spans="1:15">
      <c r="C70" s="142" t="s">
        <v>87</v>
      </c>
      <c r="I70" s="9">
        <v>800</v>
      </c>
      <c r="J70" s="43" t="s">
        <v>210</v>
      </c>
      <c r="K70" s="43"/>
      <c r="M70" s="10">
        <f>Customer.care.broadbandsubscriber.per.staff*5</f>
        <v>4000</v>
      </c>
      <c r="N70" s="43" t="s">
        <v>211</v>
      </c>
      <c r="O70" s="43"/>
    </row>
    <row r="71" spans="1:15" s="246" customFormat="1">
      <c r="C71" s="253" t="s">
        <v>305</v>
      </c>
      <c r="G71" s="158"/>
      <c r="H71" s="254"/>
      <c r="I71" s="247"/>
      <c r="J71" s="249"/>
      <c r="K71" s="249"/>
      <c r="M71" s="248"/>
      <c r="N71" s="249"/>
      <c r="O71" s="249"/>
    </row>
    <row r="72" spans="1:15" s="105" customFormat="1">
      <c r="C72" s="142" t="s">
        <v>220</v>
      </c>
      <c r="E72" s="11">
        <v>12000</v>
      </c>
      <c r="F72" s="43" t="s">
        <v>93</v>
      </c>
      <c r="G72" s="43"/>
      <c r="H72" s="100"/>
      <c r="M72"/>
    </row>
    <row r="73" spans="1:15" s="105" customFormat="1">
      <c r="J73"/>
    </row>
    <row r="74" spans="1:15" s="105" customFormat="1"/>
    <row r="75" spans="1:15" s="246" customFormat="1">
      <c r="A75"/>
      <c r="B75" s="336" t="s">
        <v>333</v>
      </c>
      <c r="H75" s="326"/>
      <c r="I75" s="326"/>
    </row>
    <row r="76" spans="1:15">
      <c r="B76" s="157" t="s">
        <v>57</v>
      </c>
    </row>
    <row r="78" spans="1:15" s="255" customFormat="1">
      <c r="C78" s="259" t="s">
        <v>337</v>
      </c>
    </row>
    <row r="79" spans="1:15">
      <c r="C79" s="141" t="s">
        <v>58</v>
      </c>
    </row>
    <row r="80" spans="1:15" s="255" customFormat="1">
      <c r="C80" s="260" t="s">
        <v>307</v>
      </c>
      <c r="G80" s="158"/>
    </row>
    <row r="81" spans="2:12">
      <c r="C81" s="147" t="s">
        <v>59</v>
      </c>
      <c r="E81" s="9">
        <v>10</v>
      </c>
      <c r="F81" s="43" t="s">
        <v>103</v>
      </c>
      <c r="G81" s="43"/>
      <c r="J81" s="271" t="s">
        <v>316</v>
      </c>
      <c r="K81" s="271" t="s">
        <v>317</v>
      </c>
    </row>
    <row r="82" spans="2:12" s="255" customFormat="1" ht="24">
      <c r="C82" s="261" t="s">
        <v>308</v>
      </c>
      <c r="E82"/>
      <c r="F82" s="256"/>
      <c r="G82" s="256"/>
      <c r="J82" s="143" t="s">
        <v>318</v>
      </c>
      <c r="K82" s="143" t="s">
        <v>319</v>
      </c>
    </row>
    <row r="83" spans="2:12" s="105" customFormat="1">
      <c r="C83" s="147" t="s">
        <v>221</v>
      </c>
      <c r="E83" s="11">
        <v>21</v>
      </c>
      <c r="F83" s="43"/>
      <c r="G83" s="100"/>
      <c r="J83" s="148" t="s">
        <v>113</v>
      </c>
      <c r="K83" s="148" t="s">
        <v>114</v>
      </c>
      <c r="L83"/>
    </row>
    <row r="84" spans="2:12" s="255" customFormat="1">
      <c r="C84" s="262" t="s">
        <v>309</v>
      </c>
      <c r="E84"/>
      <c r="F84" s="256"/>
      <c r="G84" s="257"/>
      <c r="J84" s="1" t="s">
        <v>115</v>
      </c>
      <c r="K84" s="1" t="s">
        <v>116</v>
      </c>
      <c r="L84" s="105"/>
    </row>
    <row r="85" spans="2:12">
      <c r="C85" s="147" t="s">
        <v>222</v>
      </c>
      <c r="E85" s="10">
        <f>E83*AVERAGE(J85:K85)</f>
        <v>276.491985</v>
      </c>
      <c r="F85" s="43" t="s">
        <v>104</v>
      </c>
      <c r="G85"/>
      <c r="J85" s="132">
        <v>13.16155</v>
      </c>
      <c r="K85" s="132">
        <v>13.17102</v>
      </c>
    </row>
    <row r="87" spans="2:12" s="255" customFormat="1">
      <c r="C87" s="263" t="s">
        <v>310</v>
      </c>
      <c r="G87" s="158"/>
    </row>
    <row r="88" spans="2:12" s="105" customFormat="1">
      <c r="C88" s="142" t="s">
        <v>98</v>
      </c>
      <c r="E88" s="139">
        <v>0.1</v>
      </c>
      <c r="F88" s="43" t="s">
        <v>100</v>
      </c>
      <c r="G88" s="43"/>
      <c r="K88"/>
    </row>
    <row r="89" spans="2:12" s="105" customFormat="1"/>
    <row r="90" spans="2:12" s="255" customFormat="1">
      <c r="C90" s="264" t="s">
        <v>311</v>
      </c>
      <c r="G90" s="158"/>
    </row>
    <row r="91" spans="2:12">
      <c r="C91" s="142" t="s">
        <v>96</v>
      </c>
      <c r="E91" s="138">
        <v>0.02</v>
      </c>
      <c r="F91" s="43" t="s">
        <v>105</v>
      </c>
      <c r="G91" s="43"/>
    </row>
    <row r="92" spans="2:12">
      <c r="E92" s="43"/>
    </row>
    <row r="94" spans="2:12" s="255" customFormat="1">
      <c r="B94" s="265" t="s">
        <v>312</v>
      </c>
    </row>
    <row r="95" spans="2:12">
      <c r="B95" s="157" t="s">
        <v>117</v>
      </c>
      <c r="C95" s="270"/>
    </row>
    <row r="97" spans="2:11" s="255" customFormat="1">
      <c r="C97" s="266" t="s">
        <v>313</v>
      </c>
      <c r="K97" s="158"/>
    </row>
    <row r="98" spans="2:11">
      <c r="C98" s="142" t="s">
        <v>120</v>
      </c>
      <c r="I98" s="9">
        <v>15</v>
      </c>
      <c r="J98" s="43" t="s">
        <v>121</v>
      </c>
      <c r="K98" s="43"/>
    </row>
    <row r="99" spans="2:11" s="255" customFormat="1">
      <c r="C99" s="267" t="s">
        <v>314</v>
      </c>
      <c r="I99"/>
      <c r="J99" s="256"/>
      <c r="K99" s="158"/>
    </row>
    <row r="100" spans="2:11">
      <c r="C100" s="142" t="s">
        <v>118</v>
      </c>
      <c r="I100" s="9">
        <v>50</v>
      </c>
      <c r="J100" s="43" t="s">
        <v>122</v>
      </c>
      <c r="K100" s="43"/>
    </row>
    <row r="101" spans="2:11" s="255" customFormat="1">
      <c r="C101" s="268" t="s">
        <v>315</v>
      </c>
      <c r="I101"/>
      <c r="J101" s="256"/>
      <c r="K101" s="158"/>
    </row>
    <row r="102" spans="2:11">
      <c r="C102" s="142" t="s">
        <v>223</v>
      </c>
      <c r="I102" s="9">
        <v>50</v>
      </c>
      <c r="J102" s="43" t="s">
        <v>123</v>
      </c>
      <c r="K102" s="43"/>
    </row>
    <row r="103" spans="2:11" s="105" customFormat="1"/>
    <row r="104" spans="2:11">
      <c r="B104" s="336" t="s">
        <v>483</v>
      </c>
    </row>
    <row r="105" spans="2:11">
      <c r="B105" s="157" t="s">
        <v>482</v>
      </c>
      <c r="E105" s="344">
        <v>0.1</v>
      </c>
      <c r="F105" s="334" t="s">
        <v>484</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139"/>
  <sheetViews>
    <sheetView showGridLines="0" defaultGridColor="0" colorId="22" zoomScaleNormal="100" workbookViewId="0">
      <pane ySplit="1" topLeftCell="A2" activePane="bottomLeft" state="frozen"/>
      <selection pane="bottomLeft" activeCell="A128" sqref="A128"/>
    </sheetView>
  </sheetViews>
  <sheetFormatPr baseColWidth="10" defaultColWidth="12.7109375" defaultRowHeight="12" outlineLevelRow="1"/>
  <cols>
    <col min="1" max="1" width="6.7109375" style="326" customWidth="1"/>
    <col min="2" max="2" width="12.7109375" style="326" customWidth="1"/>
    <col min="3" max="3" width="28.85546875" style="326" customWidth="1"/>
    <col min="4" max="4" width="42" style="326" customWidth="1"/>
    <col min="5" max="16384" width="12.7109375" style="326"/>
  </cols>
  <sheetData>
    <row r="1" spans="1:18" s="164" customFormat="1" ht="33.75" customHeight="1">
      <c r="D1" s="274" t="s">
        <v>667</v>
      </c>
      <c r="L1" s="164" t="s">
        <v>20</v>
      </c>
    </row>
    <row r="3" spans="1:18" ht="20.25" thickBot="1">
      <c r="A3" s="214" t="s">
        <v>569</v>
      </c>
      <c r="B3" s="214"/>
      <c r="C3" s="214"/>
    </row>
    <row r="4" spans="1:18" ht="21" thickTop="1" thickBot="1">
      <c r="A4" s="214" t="s">
        <v>570</v>
      </c>
      <c r="B4" s="214"/>
      <c r="C4" s="214"/>
      <c r="D4" s="214"/>
      <c r="E4" s="214"/>
      <c r="F4" s="214"/>
      <c r="G4" s="214"/>
      <c r="H4" s="214"/>
      <c r="I4" s="214"/>
      <c r="J4" s="214"/>
      <c r="K4" s="214"/>
      <c r="L4" s="214"/>
      <c r="M4" s="214"/>
      <c r="N4" s="214"/>
      <c r="O4" s="214"/>
      <c r="P4" s="214"/>
      <c r="Q4" s="214"/>
      <c r="R4" s="214"/>
    </row>
    <row r="5" spans="1:18" ht="12.75" thickTop="1"/>
    <row r="6" spans="1:18" ht="17.25" outlineLevel="1" thickBot="1">
      <c r="B6" s="198" t="s">
        <v>571</v>
      </c>
      <c r="C6" s="198"/>
    </row>
    <row r="7" spans="1:18" ht="18" outlineLevel="1" thickTop="1" thickBot="1">
      <c r="B7" s="198" t="s">
        <v>572</v>
      </c>
      <c r="C7" s="198"/>
      <c r="D7" s="198"/>
      <c r="E7" s="198"/>
      <c r="F7" s="198"/>
      <c r="G7" s="198"/>
      <c r="H7" s="198"/>
      <c r="I7" s="198"/>
      <c r="J7" s="198"/>
      <c r="K7" s="198"/>
      <c r="L7" s="198"/>
      <c r="M7" s="198"/>
      <c r="N7" s="198"/>
      <c r="O7" s="198"/>
      <c r="P7" s="198"/>
      <c r="Q7" s="198"/>
      <c r="R7" s="198"/>
    </row>
    <row r="8" spans="1:18" ht="12.75" outlineLevel="1" thickTop="1"/>
    <row r="9" spans="1:18" ht="15.75" outlineLevel="1" thickBot="1">
      <c r="C9" s="362" t="s">
        <v>581</v>
      </c>
      <c r="D9" s="362"/>
    </row>
    <row r="10" spans="1:18" ht="15.75" outlineLevel="1" thickBot="1">
      <c r="C10" s="362" t="s">
        <v>488</v>
      </c>
      <c r="D10" s="362"/>
      <c r="E10" s="362"/>
      <c r="F10" s="362"/>
      <c r="G10" s="362"/>
      <c r="H10" s="362"/>
      <c r="I10" s="362"/>
      <c r="J10" s="362"/>
      <c r="K10" s="362"/>
      <c r="L10" s="362"/>
      <c r="M10" s="362"/>
      <c r="N10" s="362"/>
      <c r="O10" s="362"/>
      <c r="P10" s="362"/>
      <c r="Q10" s="362"/>
      <c r="R10" s="362"/>
    </row>
    <row r="11" spans="1:18" outlineLevel="1"/>
    <row r="12" spans="1:18" ht="36" outlineLevel="1">
      <c r="D12" s="340" t="s">
        <v>485</v>
      </c>
      <c r="E12" s="340" t="s">
        <v>584</v>
      </c>
      <c r="F12" s="340" t="s">
        <v>586</v>
      </c>
      <c r="H12"/>
    </row>
    <row r="13" spans="1:18" ht="24" outlineLevel="1">
      <c r="D13" s="340" t="s">
        <v>486</v>
      </c>
      <c r="E13" s="340" t="s">
        <v>585</v>
      </c>
      <c r="F13" s="340" t="s">
        <v>587</v>
      </c>
      <c r="H13"/>
    </row>
    <row r="14" spans="1:18" outlineLevel="1">
      <c r="D14" s="331">
        <f t="array" ref="D14:E14">'Inputs de precios'!D87:E87</f>
        <v>50</v>
      </c>
      <c r="E14" s="331">
        <v>49</v>
      </c>
      <c r="F14"/>
    </row>
    <row r="15" spans="1:18" outlineLevel="1">
      <c r="D15" s="331">
        <f t="array" ref="D15:F15">'Inputs de precios'!D88:F88</f>
        <v>100</v>
      </c>
      <c r="E15" s="331">
        <v>70</v>
      </c>
      <c r="F15" s="331">
        <v>100</v>
      </c>
      <c r="G15" s="326" t="s">
        <v>507</v>
      </c>
    </row>
    <row r="16" spans="1:18" outlineLevel="1"/>
    <row r="17" spans="3:18" outlineLevel="1"/>
    <row r="18" spans="3:18" ht="15.75" outlineLevel="1" thickBot="1">
      <c r="C18" s="362" t="s">
        <v>564</v>
      </c>
      <c r="D18" s="362"/>
    </row>
    <row r="19" spans="3:18" ht="15.75" outlineLevel="1" thickBot="1">
      <c r="C19" s="362" t="s">
        <v>565</v>
      </c>
      <c r="D19" s="362"/>
      <c r="E19" s="362"/>
      <c r="F19" s="362"/>
      <c r="G19" s="362"/>
      <c r="H19" s="362"/>
      <c r="I19" s="362"/>
      <c r="J19" s="362"/>
      <c r="K19" s="362"/>
      <c r="L19" s="362"/>
      <c r="M19" s="362"/>
      <c r="N19" s="362"/>
      <c r="O19" s="362"/>
      <c r="P19" s="362"/>
      <c r="Q19" s="362"/>
      <c r="R19" s="362"/>
    </row>
    <row r="20" spans="3:18" outlineLevel="1"/>
    <row r="21" spans="3:18" ht="36" outlineLevel="1">
      <c r="D21" s="340" t="s">
        <v>495</v>
      </c>
      <c r="E21" s="340" t="s">
        <v>584</v>
      </c>
      <c r="F21" s="340" t="s">
        <v>586</v>
      </c>
    </row>
    <row r="22" spans="3:18" ht="24" outlineLevel="1">
      <c r="D22" s="340" t="s">
        <v>496</v>
      </c>
      <c r="E22" s="340" t="s">
        <v>585</v>
      </c>
      <c r="F22" s="340" t="s">
        <v>587</v>
      </c>
    </row>
    <row r="23" spans="3:18" ht="11.25" customHeight="1" outlineLevel="1">
      <c r="D23" s="331">
        <f>'Inputs de precios'!D96</f>
        <v>50</v>
      </c>
      <c r="E23"/>
      <c r="F23" s="331">
        <f>'Inputs de precios'!F96</f>
        <v>40</v>
      </c>
    </row>
    <row r="24" spans="3:18" ht="11.25" customHeight="1" outlineLevel="1">
      <c r="D24" s="331">
        <f>'Inputs de precios'!D97</f>
        <v>100</v>
      </c>
      <c r="E24"/>
      <c r="F24" s="93">
        <f>'Inputs de precios'!F97</f>
        <v>119.48</v>
      </c>
    </row>
    <row r="25" spans="3:18" outlineLevel="1">
      <c r="D25" s="331">
        <f t="array" ref="D25:E25">'Inputs de precios'!D98:E98</f>
        <v>150</v>
      </c>
      <c r="E25" s="93">
        <v>119.48</v>
      </c>
    </row>
    <row r="26" spans="3:18" outlineLevel="1"/>
    <row r="27" spans="3:18" outlineLevel="1"/>
    <row r="28" spans="3:18" ht="15.75" outlineLevel="1" thickBot="1">
      <c r="C28" s="362" t="s">
        <v>491</v>
      </c>
      <c r="D28" s="362"/>
      <c r="E28" s="362"/>
      <c r="F28" s="362"/>
    </row>
    <row r="29" spans="3:18" ht="15.75" outlineLevel="1" thickBot="1">
      <c r="C29" s="362" t="s">
        <v>492</v>
      </c>
      <c r="D29" s="362"/>
      <c r="E29" s="362"/>
      <c r="F29" s="362"/>
      <c r="G29" s="362"/>
      <c r="H29" s="362"/>
      <c r="I29" s="362"/>
      <c r="J29" s="362"/>
      <c r="K29" s="362"/>
      <c r="L29" s="362"/>
      <c r="M29" s="362"/>
      <c r="N29" s="362"/>
      <c r="O29" s="362"/>
      <c r="P29" s="362"/>
      <c r="Q29" s="362"/>
      <c r="R29" s="362"/>
    </row>
    <row r="30" spans="3:18" outlineLevel="1"/>
    <row r="31" spans="3:18" ht="24" outlineLevel="1">
      <c r="D31" s="340" t="s">
        <v>495</v>
      </c>
      <c r="E31" s="340" t="s">
        <v>235</v>
      </c>
    </row>
    <row r="32" spans="3:18" outlineLevel="1">
      <c r="D32" s="340" t="s">
        <v>496</v>
      </c>
      <c r="E32" s="340" t="s">
        <v>494</v>
      </c>
    </row>
    <row r="33" spans="2:18" outlineLevel="1">
      <c r="D33" s="331">
        <f t="array" ref="D33:E33">'Inputs de precios'!D106:E106</f>
        <v>100</v>
      </c>
      <c r="E33" s="331">
        <v>179</v>
      </c>
      <c r="F33"/>
    </row>
    <row r="34" spans="2:18" outlineLevel="1"/>
    <row r="35" spans="2:18" outlineLevel="1"/>
    <row r="36" spans="2:18" ht="15.75" outlineLevel="1" thickBot="1">
      <c r="C36" s="362" t="s">
        <v>493</v>
      </c>
      <c r="D36" s="362"/>
      <c r="E36" s="362"/>
      <c r="F36" s="362"/>
      <c r="G36" s="362"/>
      <c r="H36" s="362"/>
    </row>
    <row r="37" spans="2:18" ht="15.75" outlineLevel="1" thickBot="1">
      <c r="C37" s="362" t="s">
        <v>497</v>
      </c>
      <c r="D37" s="362"/>
      <c r="E37" s="362"/>
      <c r="F37" s="362"/>
      <c r="G37" s="362"/>
      <c r="H37" s="362"/>
      <c r="I37" s="362"/>
      <c r="J37" s="362"/>
      <c r="K37" s="362"/>
      <c r="L37" s="362"/>
      <c r="M37" s="362"/>
      <c r="N37" s="362"/>
      <c r="O37" s="362"/>
      <c r="P37" s="362"/>
      <c r="Q37" s="362"/>
      <c r="R37" s="362"/>
    </row>
    <row r="38" spans="2:18" outlineLevel="1"/>
    <row r="39" spans="2:18" ht="24" outlineLevel="1">
      <c r="D39" s="340" t="s">
        <v>495</v>
      </c>
      <c r="E39" s="340" t="s">
        <v>235</v>
      </c>
    </row>
    <row r="40" spans="2:18" outlineLevel="1">
      <c r="D40" s="340" t="s">
        <v>496</v>
      </c>
      <c r="E40" s="340" t="s">
        <v>494</v>
      </c>
    </row>
    <row r="41" spans="2:18" outlineLevel="1">
      <c r="D41" s="331">
        <f t="array" ref="D41:E41">'Inputs de precios'!D114:E114</f>
        <v>50</v>
      </c>
      <c r="E41" s="331">
        <v>119</v>
      </c>
    </row>
    <row r="42" spans="2:18" outlineLevel="1">
      <c r="D42" s="331">
        <f t="array" ref="D42:E42">'Inputs de precios'!D115:E115</f>
        <v>200</v>
      </c>
      <c r="E42" s="331">
        <v>299</v>
      </c>
    </row>
    <row r="43" spans="2:18" outlineLevel="1"/>
    <row r="44" spans="2:18" outlineLevel="1"/>
    <row r="45" spans="2:18" ht="17.25" outlineLevel="1" thickBot="1">
      <c r="B45" s="198" t="s">
        <v>573</v>
      </c>
      <c r="C45" s="198"/>
    </row>
    <row r="46" spans="2:18" ht="18" outlineLevel="1" thickTop="1" thickBot="1">
      <c r="B46" s="198" t="s">
        <v>574</v>
      </c>
      <c r="C46" s="198"/>
      <c r="D46" s="198"/>
      <c r="E46" s="198"/>
      <c r="F46" s="198"/>
      <c r="G46" s="198"/>
      <c r="H46" s="198"/>
      <c r="I46" s="198"/>
      <c r="J46" s="198"/>
      <c r="K46" s="198"/>
      <c r="L46" s="198"/>
      <c r="M46" s="198"/>
      <c r="N46" s="198"/>
      <c r="O46" s="198"/>
      <c r="P46" s="198"/>
      <c r="Q46" s="198"/>
      <c r="R46" s="198"/>
    </row>
    <row r="47" spans="2:18" ht="12.75" outlineLevel="1" thickTop="1"/>
    <row r="48" spans="2:18" ht="15.75" outlineLevel="1" thickBot="1">
      <c r="C48" s="362" t="s">
        <v>575</v>
      </c>
    </row>
    <row r="49" spans="2:18" ht="15.75" outlineLevel="1" thickBot="1">
      <c r="C49" s="362" t="s">
        <v>575</v>
      </c>
      <c r="D49" s="362"/>
      <c r="E49" s="362"/>
      <c r="F49" s="362"/>
      <c r="G49" s="362"/>
      <c r="H49" s="362"/>
      <c r="I49" s="362"/>
      <c r="J49" s="362"/>
      <c r="K49" s="362"/>
      <c r="L49" s="362"/>
      <c r="M49" s="362"/>
      <c r="N49" s="362"/>
      <c r="O49" s="362"/>
      <c r="P49" s="362"/>
      <c r="Q49" s="362"/>
      <c r="R49" s="362"/>
    </row>
    <row r="50" spans="2:18" outlineLevel="1"/>
    <row r="51" spans="2:18" ht="24" outlineLevel="1">
      <c r="D51" s="340" t="s">
        <v>577</v>
      </c>
      <c r="E51" s="340" t="s">
        <v>235</v>
      </c>
    </row>
    <row r="52" spans="2:18" outlineLevel="1">
      <c r="D52" s="340" t="s">
        <v>576</v>
      </c>
      <c r="E52" s="340" t="s">
        <v>494</v>
      </c>
    </row>
    <row r="53" spans="2:18" outlineLevel="1">
      <c r="E53" s="345">
        <v>69</v>
      </c>
    </row>
    <row r="54" spans="2:18" outlineLevel="1"/>
    <row r="55" spans="2:18" outlineLevel="1"/>
    <row r="56" spans="2:18" ht="17.25" outlineLevel="1" thickBot="1">
      <c r="B56" s="198" t="s">
        <v>589</v>
      </c>
      <c r="C56" s="198"/>
    </row>
    <row r="57" spans="2:18" ht="18" outlineLevel="1" thickTop="1" thickBot="1">
      <c r="B57" s="198" t="s">
        <v>588</v>
      </c>
      <c r="C57" s="198"/>
      <c r="D57" s="198"/>
      <c r="E57" s="198"/>
      <c r="F57" s="198"/>
      <c r="G57" s="198"/>
      <c r="H57" s="198"/>
      <c r="I57" s="198"/>
      <c r="J57" s="198"/>
      <c r="K57" s="198"/>
      <c r="L57" s="198"/>
      <c r="M57" s="198"/>
      <c r="N57" s="198"/>
      <c r="O57" s="198"/>
      <c r="P57" s="198"/>
      <c r="Q57" s="198"/>
      <c r="R57" s="198"/>
    </row>
    <row r="58" spans="2:18" ht="12.75" outlineLevel="1" thickTop="1"/>
    <row r="59" spans="2:18" ht="36" outlineLevel="1">
      <c r="D59" s="340" t="s">
        <v>590</v>
      </c>
      <c r="E59" s="340" t="s">
        <v>596</v>
      </c>
      <c r="F59"/>
      <c r="G59" s="340" t="s">
        <v>593</v>
      </c>
      <c r="H59" s="340" t="s">
        <v>594</v>
      </c>
    </row>
    <row r="60" spans="2:18" ht="24" outlineLevel="1">
      <c r="D60" s="340" t="s">
        <v>591</v>
      </c>
      <c r="E60" s="340" t="s">
        <v>597</v>
      </c>
      <c r="G60" s="340" t="s">
        <v>592</v>
      </c>
      <c r="H60" s="340" t="s">
        <v>595</v>
      </c>
    </row>
    <row r="61" spans="2:18" outlineLevel="1">
      <c r="C61" s="326" t="s">
        <v>487</v>
      </c>
      <c r="G61"/>
      <c r="H61"/>
    </row>
    <row r="62" spans="2:18" outlineLevel="1">
      <c r="C62" s="269" t="s">
        <v>598</v>
      </c>
      <c r="D62" s="331">
        <f>D15</f>
        <v>100</v>
      </c>
      <c r="E62" s="331">
        <f>E15</f>
        <v>70</v>
      </c>
      <c r="G62" s="329">
        <f>D62*Unlimited.voice.multiplier</f>
        <v>200</v>
      </c>
      <c r="H62" s="329">
        <f>E62*Unlimited.voice.multiplier</f>
        <v>140</v>
      </c>
    </row>
    <row r="63" spans="2:18" outlineLevel="1">
      <c r="C63" s="269" t="s">
        <v>599</v>
      </c>
      <c r="D63" s="331">
        <f>D15</f>
        <v>100</v>
      </c>
      <c r="E63" s="331">
        <f>F15</f>
        <v>100</v>
      </c>
      <c r="G63" s="329">
        <f>D63*Unlimited.voice.multiplier</f>
        <v>200</v>
      </c>
      <c r="H63" s="329">
        <f>E63*Unlimited.voice.multiplier</f>
        <v>200</v>
      </c>
    </row>
    <row r="64" spans="2:18" outlineLevel="1">
      <c r="C64" s="326" t="s">
        <v>489</v>
      </c>
      <c r="G64"/>
      <c r="H64"/>
    </row>
    <row r="65" spans="1:18" outlineLevel="1">
      <c r="C65" s="269" t="s">
        <v>598</v>
      </c>
      <c r="D65" s="331">
        <f>D25</f>
        <v>150</v>
      </c>
      <c r="E65" s="331">
        <f>E25</f>
        <v>119.48</v>
      </c>
      <c r="G65" s="329">
        <f t="shared" ref="G65:H68" si="0">D65*Unlimited.voice.multiplier</f>
        <v>300</v>
      </c>
      <c r="H65" s="329">
        <f t="shared" si="0"/>
        <v>238.96</v>
      </c>
    </row>
    <row r="66" spans="1:18" outlineLevel="1">
      <c r="C66" s="269" t="s">
        <v>599</v>
      </c>
      <c r="D66" s="331">
        <f>D24</f>
        <v>100</v>
      </c>
      <c r="E66" s="331">
        <f>F24</f>
        <v>119.48</v>
      </c>
      <c r="G66" s="329">
        <f t="shared" si="0"/>
        <v>200</v>
      </c>
      <c r="H66" s="329">
        <f t="shared" si="0"/>
        <v>238.96</v>
      </c>
    </row>
    <row r="67" spans="1:18" outlineLevel="1">
      <c r="C67" s="326" t="s">
        <v>491</v>
      </c>
      <c r="D67" s="331">
        <f>D33</f>
        <v>100</v>
      </c>
      <c r="E67" s="331">
        <f>E33</f>
        <v>179</v>
      </c>
      <c r="G67" s="329">
        <f t="shared" si="0"/>
        <v>200</v>
      </c>
      <c r="H67" s="329">
        <f t="shared" si="0"/>
        <v>358</v>
      </c>
    </row>
    <row r="68" spans="1:18" outlineLevel="1">
      <c r="C68" s="326" t="s">
        <v>563</v>
      </c>
      <c r="D68" s="331">
        <f>D41</f>
        <v>50</v>
      </c>
      <c r="E68" s="331">
        <f>E41</f>
        <v>119</v>
      </c>
      <c r="G68" s="329">
        <f t="shared" si="0"/>
        <v>100</v>
      </c>
      <c r="H68" s="329">
        <f t="shared" si="0"/>
        <v>238</v>
      </c>
    </row>
    <row r="69" spans="1:18" outlineLevel="1"/>
    <row r="73" spans="1:18" ht="20.25" thickBot="1">
      <c r="A73" s="214" t="s">
        <v>567</v>
      </c>
      <c r="B73" s="214"/>
      <c r="C73" s="214"/>
    </row>
    <row r="74" spans="1:18" ht="21" thickTop="1" thickBot="1">
      <c r="A74" s="214" t="s">
        <v>568</v>
      </c>
      <c r="B74" s="214"/>
      <c r="C74" s="214"/>
      <c r="D74" s="214"/>
      <c r="E74" s="214"/>
      <c r="F74" s="214"/>
      <c r="G74" s="214"/>
      <c r="H74" s="214"/>
      <c r="I74" s="214"/>
      <c r="J74" s="214"/>
      <c r="K74" s="214"/>
      <c r="L74" s="214"/>
      <c r="M74" s="214"/>
      <c r="N74" s="214"/>
      <c r="O74" s="214"/>
      <c r="P74" s="214"/>
      <c r="Q74" s="214"/>
      <c r="R74" s="214"/>
    </row>
    <row r="75" spans="1:18" ht="12.75" thickTop="1"/>
    <row r="76" spans="1:18" ht="17.25" thickBot="1">
      <c r="B76" s="198" t="s">
        <v>669</v>
      </c>
      <c r="C76" s="198"/>
    </row>
    <row r="77" spans="1:18" ht="18" thickTop="1" thickBot="1">
      <c r="B77" s="198" t="s">
        <v>668</v>
      </c>
      <c r="C77" s="198"/>
      <c r="D77" s="198"/>
      <c r="E77" s="198"/>
      <c r="F77" s="198"/>
      <c r="G77" s="198"/>
      <c r="H77" s="198"/>
      <c r="I77" s="198"/>
      <c r="J77" s="198"/>
      <c r="K77" s="198"/>
      <c r="L77" s="198"/>
      <c r="M77" s="198"/>
      <c r="N77" s="198"/>
      <c r="O77" s="198"/>
      <c r="P77" s="198"/>
      <c r="Q77" s="198"/>
      <c r="R77" s="198"/>
    </row>
    <row r="78" spans="1:18" ht="12.75" thickTop="1"/>
    <row r="79" spans="1:18" ht="60">
      <c r="G79" s="340" t="str">
        <f t="array" ref="G79:R79">TRANSPOSE(Broadband.plans)</f>
        <v>Paquete Acerques (5 Mbps)</v>
      </c>
      <c r="H79" s="340" t="str">
        <v>Paquete Conectes (3 Mbps)</v>
      </c>
      <c r="I79" s="340" t="str">
        <v>Paquete Conectes Frontera (3 Mbps)</v>
      </c>
      <c r="J79" s="340" t="str">
        <v>Paquete Conectes Negocio (3 Mbps)</v>
      </c>
      <c r="K79" s="340" t="str">
        <v>Infinitum 10 Mb</v>
      </c>
      <c r="L79" s="340" t="str">
        <v>Infinitum 5 Mb</v>
      </c>
      <c r="M79" s="340" t="str">
        <v>Paquete Mi Negocio (3 Mbps)</v>
      </c>
      <c r="N79" s="340" t="str">
        <v>Paquete SuperNegocio (5 Mbps)</v>
      </c>
      <c r="O79" s="340" t="str">
        <v>Paquete Telmex Negocio Sin Límites 1 (10 Mbps)</v>
      </c>
      <c r="P79" s="340" t="str">
        <v>Paquete Telmex Negocio Sin Límites 2 (10 Mbps)</v>
      </c>
      <c r="Q79" s="340" t="str">
        <v>Paquete Telmex Negocio Sin Límites 3 (10 Mbps)</v>
      </c>
      <c r="R79" s="340" t="str">
        <v>Paquete Telmex Todo México Sin Límites (10 Mbps)</v>
      </c>
    </row>
    <row r="81" spans="2:18">
      <c r="B81" s="345">
        <v>1</v>
      </c>
      <c r="C81" s="326" t="s">
        <v>536</v>
      </c>
      <c r="D81" s="326" t="s">
        <v>537</v>
      </c>
      <c r="E81" s="71" t="s">
        <v>670</v>
      </c>
      <c r="F81" s="71"/>
      <c r="G81" s="473">
        <f t="array" ref="G81:R81">INDEX(TRANSPOSE(Prices.and.services.by.plan),B81,)</f>
        <v>440.01119999999997</v>
      </c>
      <c r="H81" s="473">
        <v>348.14640000000003</v>
      </c>
      <c r="I81" s="473">
        <v>285.74279999999999</v>
      </c>
      <c r="J81" s="473">
        <v>404.28</v>
      </c>
      <c r="K81" s="473">
        <v>516.20399999999995</v>
      </c>
      <c r="L81" s="473">
        <v>288.82758620689657</v>
      </c>
      <c r="M81" s="473">
        <v>523.81149999999991</v>
      </c>
      <c r="N81" s="473">
        <v>735.35760000000005</v>
      </c>
      <c r="O81" s="473">
        <v>1290.9732000000001</v>
      </c>
      <c r="P81" s="473">
        <v>1827.7292</v>
      </c>
      <c r="Q81" s="473">
        <v>2125.9590000000003</v>
      </c>
      <c r="R81" s="473">
        <v>1096.55</v>
      </c>
    </row>
    <row r="82" spans="2:18">
      <c r="B82" s="329">
        <f t="shared" ref="B82:B92" si="1">B81+1</f>
        <v>2</v>
      </c>
      <c r="C82" s="326" t="s">
        <v>538</v>
      </c>
      <c r="D82" s="326" t="s">
        <v>539</v>
      </c>
      <c r="E82" s="71" t="s">
        <v>670</v>
      </c>
      <c r="F82" s="71"/>
      <c r="G82" s="473">
        <f t="array" ref="G82:R82">INDEX(TRANSPOSE(Prices.and.services.by.plan),B82,)</f>
        <v>1073.5</v>
      </c>
      <c r="H82" s="473">
        <v>1389.9</v>
      </c>
      <c r="I82" s="473">
        <v>983.1</v>
      </c>
      <c r="J82" s="473">
        <v>1254.3000000000002</v>
      </c>
      <c r="K82" s="473">
        <v>0</v>
      </c>
      <c r="L82" s="473">
        <v>0</v>
      </c>
      <c r="M82" s="473">
        <v>937.9</v>
      </c>
      <c r="N82" s="473">
        <v>1073.5</v>
      </c>
      <c r="O82" s="473">
        <v>1265.6000000000001</v>
      </c>
      <c r="P82" s="473">
        <v>1265.6000000000001</v>
      </c>
      <c r="Q82" s="473">
        <v>1243</v>
      </c>
      <c r="R82" s="473">
        <v>1231.7</v>
      </c>
    </row>
    <row r="83" spans="2:18">
      <c r="B83" s="329">
        <f t="shared" si="1"/>
        <v>3</v>
      </c>
      <c r="E83" s="71"/>
      <c r="F83" s="71"/>
    </row>
    <row r="84" spans="2:18">
      <c r="B84" s="329">
        <f t="shared" si="1"/>
        <v>4</v>
      </c>
      <c r="C84" s="326" t="s">
        <v>271</v>
      </c>
      <c r="D84" s="326" t="s">
        <v>29</v>
      </c>
      <c r="E84" s="71" t="s">
        <v>670</v>
      </c>
      <c r="F84" s="71"/>
      <c r="G84" s="473">
        <f t="array" ref="G84:R84">INDEX(TRANSPOSE(Prices.and.services.by.plan),B84,)</f>
        <v>156.55000000000001</v>
      </c>
      <c r="H84" s="473">
        <v>156.55000000000001</v>
      </c>
      <c r="I84" s="473">
        <v>156.55000000000001</v>
      </c>
      <c r="J84" s="473">
        <v>198</v>
      </c>
      <c r="K84" s="473">
        <v>0</v>
      </c>
      <c r="L84" s="473">
        <v>0</v>
      </c>
      <c r="M84" s="473">
        <v>198</v>
      </c>
      <c r="N84" s="473">
        <v>198</v>
      </c>
      <c r="O84" s="473">
        <v>198</v>
      </c>
      <c r="P84" s="473">
        <v>198</v>
      </c>
      <c r="Q84" s="473">
        <v>198</v>
      </c>
      <c r="R84" s="473">
        <v>156.55000000000001</v>
      </c>
    </row>
    <row r="85" spans="2:18">
      <c r="B85" s="329">
        <f t="shared" si="1"/>
        <v>5</v>
      </c>
      <c r="E85" s="71"/>
      <c r="F85" s="71"/>
      <c r="K85" s="338" t="s">
        <v>236</v>
      </c>
      <c r="L85" s="338" t="s">
        <v>236</v>
      </c>
    </row>
    <row r="86" spans="2:18">
      <c r="B86" s="329">
        <f t="shared" si="1"/>
        <v>6</v>
      </c>
      <c r="C86" s="326" t="s">
        <v>487</v>
      </c>
      <c r="D86" s="326" t="s">
        <v>488</v>
      </c>
      <c r="E86" s="71" t="s">
        <v>495</v>
      </c>
      <c r="F86" s="71"/>
      <c r="G86" s="473" t="str">
        <f t="array" ref="G86:R86">INDEX(TRANSPOSE(Prices.and.services.by.plan),B86,)</f>
        <v>Illimitadas</v>
      </c>
      <c r="H86" s="473">
        <v>100</v>
      </c>
      <c r="I86" s="473">
        <v>100</v>
      </c>
      <c r="J86" s="473">
        <v>30</v>
      </c>
      <c r="K86" s="473">
        <v>0</v>
      </c>
      <c r="L86" s="473">
        <v>0</v>
      </c>
      <c r="M86" s="473">
        <v>125</v>
      </c>
      <c r="N86" s="473">
        <v>200</v>
      </c>
      <c r="O86" s="473" t="str">
        <v>Illimitadas</v>
      </c>
      <c r="P86" s="473" t="str">
        <v>No encontrado</v>
      </c>
      <c r="Q86" s="473" t="str">
        <v>No encontrado</v>
      </c>
      <c r="R86" s="473" t="str">
        <v>Illimitadas</v>
      </c>
    </row>
    <row r="87" spans="2:18">
      <c r="B87" s="329">
        <f t="shared" si="1"/>
        <v>7</v>
      </c>
      <c r="C87" s="326" t="s">
        <v>489</v>
      </c>
      <c r="D87" s="326" t="s">
        <v>490</v>
      </c>
      <c r="E87" s="71" t="s">
        <v>495</v>
      </c>
      <c r="F87" s="71"/>
      <c r="G87" s="473" t="str">
        <f t="array" ref="G87:R87">INDEX(TRANSPOSE(Prices.and.services.by.plan),B87,)</f>
        <v>Illimitados</v>
      </c>
      <c r="H87" s="473">
        <v>200</v>
      </c>
      <c r="I87" s="473">
        <v>200</v>
      </c>
      <c r="J87" s="473">
        <v>100</v>
      </c>
      <c r="K87" s="473">
        <v>0</v>
      </c>
      <c r="L87" s="473">
        <v>0</v>
      </c>
      <c r="M87" s="473">
        <v>100</v>
      </c>
      <c r="N87" s="473">
        <v>100</v>
      </c>
      <c r="O87" s="473">
        <v>0</v>
      </c>
      <c r="P87" s="473" t="str">
        <v>No encontrado</v>
      </c>
      <c r="Q87" s="473" t="str">
        <v>No encontrado</v>
      </c>
      <c r="R87" s="473" t="str">
        <v>Illimitados</v>
      </c>
    </row>
    <row r="88" spans="2:18">
      <c r="B88" s="329">
        <f t="shared" si="1"/>
        <v>8</v>
      </c>
      <c r="C88" s="326" t="s">
        <v>491</v>
      </c>
      <c r="D88" s="326" t="s">
        <v>492</v>
      </c>
      <c r="E88" s="71" t="s">
        <v>495</v>
      </c>
      <c r="F88" s="71"/>
      <c r="G88" s="473" t="str">
        <f t="array" ref="G88:R88">INDEX(TRANSPOSE(Prices.and.services.by.plan),B88,)</f>
        <v>Illimitados</v>
      </c>
      <c r="H88" s="473" t="str">
        <v>Illimitados</v>
      </c>
      <c r="I88" s="473" t="str">
        <v>Illimitados</v>
      </c>
      <c r="J88" s="473">
        <v>0</v>
      </c>
      <c r="K88" s="473">
        <v>0</v>
      </c>
      <c r="L88" s="473">
        <v>0</v>
      </c>
      <c r="M88" s="473">
        <v>0</v>
      </c>
      <c r="N88" s="473">
        <v>100</v>
      </c>
      <c r="O88" s="473">
        <v>300</v>
      </c>
      <c r="P88" s="473" t="str">
        <v>No encontrado</v>
      </c>
      <c r="Q88" s="473" t="str">
        <v>No encontrado</v>
      </c>
      <c r="R88" s="473" t="str">
        <v>Illimitados</v>
      </c>
    </row>
    <row r="89" spans="2:18">
      <c r="B89" s="329">
        <f t="shared" si="1"/>
        <v>9</v>
      </c>
      <c r="C89" s="326" t="s">
        <v>563</v>
      </c>
      <c r="D89" s="326" t="s">
        <v>497</v>
      </c>
      <c r="E89" s="71" t="s">
        <v>495</v>
      </c>
      <c r="F89" s="71"/>
      <c r="G89" s="473" t="str">
        <f t="array" ref="G89:R89">INDEX(TRANSPOSE(Prices.and.services.by.plan),B89,)</f>
        <v>Illimitadas</v>
      </c>
      <c r="H89" s="473" t="str">
        <v>Illimitadas</v>
      </c>
      <c r="I89" s="473" t="str">
        <v>Illimitadas</v>
      </c>
      <c r="J89" s="473">
        <v>0</v>
      </c>
      <c r="K89" s="473">
        <v>0</v>
      </c>
      <c r="L89" s="473">
        <v>0</v>
      </c>
      <c r="M89" s="473">
        <v>0</v>
      </c>
      <c r="N89" s="473">
        <v>0</v>
      </c>
      <c r="O89" s="473">
        <v>0</v>
      </c>
      <c r="P89" s="473" t="str">
        <v>No encontrado</v>
      </c>
      <c r="Q89" s="473" t="str">
        <v>No encontrado</v>
      </c>
      <c r="R89" s="473" t="str">
        <v>Illimitadas</v>
      </c>
    </row>
    <row r="90" spans="2:18">
      <c r="B90" s="329">
        <f t="shared" si="1"/>
        <v>10</v>
      </c>
      <c r="E90" s="71"/>
      <c r="F90" s="71"/>
      <c r="J90" s="326" t="s">
        <v>559</v>
      </c>
      <c r="M90" s="326" t="s">
        <v>559</v>
      </c>
      <c r="N90" s="326" t="s">
        <v>562</v>
      </c>
      <c r="O90" s="326" t="s">
        <v>562</v>
      </c>
    </row>
    <row r="91" spans="2:18">
      <c r="B91" s="329">
        <f t="shared" si="1"/>
        <v>11</v>
      </c>
      <c r="C91" s="326" t="s">
        <v>231</v>
      </c>
      <c r="D91" s="326" t="s">
        <v>183</v>
      </c>
      <c r="E91" s="71" t="s">
        <v>671</v>
      </c>
      <c r="F91" s="71"/>
      <c r="G91" s="473" t="str">
        <f t="array" ref="G91:R91">INDEX(TRANSPOSE(Prices.and.services.by.plan),B91,)</f>
        <v>12 meses gratis</v>
      </c>
      <c r="H91" s="473" t="str">
        <v>12 meses gratis</v>
      </c>
      <c r="I91" s="473" t="str">
        <v>12 meses gratis</v>
      </c>
      <c r="J91" s="473" t="str">
        <v>No</v>
      </c>
      <c r="K91" s="473" t="str">
        <v>No</v>
      </c>
      <c r="L91" s="473" t="str">
        <v>No</v>
      </c>
      <c r="M91" s="473" t="str">
        <v>No</v>
      </c>
      <c r="N91" s="473" t="str">
        <v>No</v>
      </c>
      <c r="O91" s="473" t="str">
        <v>No</v>
      </c>
      <c r="P91" s="473" t="str">
        <v>No</v>
      </c>
      <c r="Q91" s="473" t="str">
        <v>No</v>
      </c>
      <c r="R91" s="473" t="str">
        <v>12 meses gratis</v>
      </c>
    </row>
    <row r="92" spans="2:18">
      <c r="B92" s="329">
        <f t="shared" si="1"/>
        <v>12</v>
      </c>
      <c r="C92" s="326" t="s">
        <v>232</v>
      </c>
      <c r="D92" s="326" t="s">
        <v>184</v>
      </c>
      <c r="E92" s="71" t="s">
        <v>670</v>
      </c>
      <c r="F92" s="71"/>
      <c r="G92" s="473">
        <f t="array" ref="G92:R92">INDEX(TRANSPOSE(Prices.and.services.by.plan),B92,)</f>
        <v>69</v>
      </c>
      <c r="H92" s="473">
        <v>69</v>
      </c>
      <c r="I92" s="473">
        <v>69</v>
      </c>
      <c r="J92" s="473" t="str">
        <v>NA</v>
      </c>
      <c r="K92" s="473" t="str">
        <v>NA</v>
      </c>
      <c r="L92" s="473" t="str">
        <v>NA</v>
      </c>
      <c r="M92" s="473" t="str">
        <v>NA</v>
      </c>
      <c r="N92" s="473" t="str">
        <v>NA</v>
      </c>
      <c r="O92" s="473" t="str">
        <v>NA</v>
      </c>
      <c r="P92" s="473" t="str">
        <v>NA</v>
      </c>
      <c r="Q92" s="473" t="str">
        <v>NA</v>
      </c>
      <c r="R92" s="473">
        <v>69</v>
      </c>
    </row>
    <row r="96" spans="2:18" ht="17.25" thickBot="1">
      <c r="B96" s="198" t="s">
        <v>578</v>
      </c>
      <c r="C96" s="198"/>
    </row>
    <row r="97" spans="2:20" ht="18" thickTop="1" thickBot="1">
      <c r="B97" s="198" t="s">
        <v>579</v>
      </c>
      <c r="C97" s="198"/>
      <c r="D97" s="198"/>
      <c r="E97" s="198"/>
      <c r="F97" s="198"/>
      <c r="G97" s="198"/>
      <c r="H97" s="198"/>
      <c r="I97" s="198"/>
      <c r="J97" s="198"/>
      <c r="K97" s="198"/>
      <c r="L97" s="198"/>
      <c r="M97" s="198"/>
      <c r="N97" s="198"/>
      <c r="O97" s="198"/>
      <c r="P97" s="198"/>
      <c r="Q97" s="198"/>
      <c r="R97" s="198"/>
      <c r="S97" s="198"/>
      <c r="T97" s="198"/>
    </row>
    <row r="98" spans="2:20" ht="12.75" thickTop="1"/>
    <row r="99" spans="2:20" ht="60">
      <c r="G99" s="340" t="str">
        <f t="array" ref="G99:R99">TRANSPOSE(Broadband.plans)</f>
        <v>Paquete Acerques (5 Mbps)</v>
      </c>
      <c r="H99" s="340" t="str">
        <v>Paquete Conectes (3 Mbps)</v>
      </c>
      <c r="I99" s="340" t="str">
        <v>Paquete Conectes Frontera (3 Mbps)</v>
      </c>
      <c r="J99" s="340" t="str">
        <v>Paquete Conectes Negocio (3 Mbps)</v>
      </c>
      <c r="K99" s="340" t="str">
        <v>Infinitum 10 Mb</v>
      </c>
      <c r="L99" s="340" t="str">
        <v>Infinitum 5 Mb</v>
      </c>
      <c r="M99" s="340" t="str">
        <v>Paquete Mi Negocio (3 Mbps)</v>
      </c>
      <c r="N99" s="340" t="str">
        <v>Paquete SuperNegocio (5 Mbps)</v>
      </c>
      <c r="O99" s="340" t="str">
        <v>Paquete Telmex Negocio Sin Límites 1 (10 Mbps)</v>
      </c>
      <c r="P99" s="340" t="str">
        <v>Paquete Telmex Negocio Sin Límites 2 (10 Mbps)</v>
      </c>
      <c r="Q99" s="340" t="str">
        <v>Paquete Telmex Negocio Sin Límites 3 (10 Mbps)</v>
      </c>
      <c r="R99" s="340" t="str">
        <v>Paquete Telmex Todo México Sin Límites (10 Mbps)</v>
      </c>
    </row>
    <row r="100" spans="2:20" customFormat="1">
      <c r="E100" s="326"/>
      <c r="F100" s="326"/>
    </row>
    <row r="101" spans="2:20">
      <c r="C101" s="326" t="s">
        <v>536</v>
      </c>
      <c r="D101" s="326" t="s">
        <v>537</v>
      </c>
      <c r="E101" s="71" t="s">
        <v>670</v>
      </c>
      <c r="F101" s="71"/>
      <c r="G101" s="473">
        <f t="array" ref="G101:R102">G81:R82</f>
        <v>440.01119999999997</v>
      </c>
      <c r="H101" s="473">
        <v>348.14640000000003</v>
      </c>
      <c r="I101" s="473">
        <v>285.74279999999999</v>
      </c>
      <c r="J101" s="473">
        <v>404.28</v>
      </c>
      <c r="K101" s="473">
        <v>516.20399999999995</v>
      </c>
      <c r="L101" s="473">
        <v>288.82758620689657</v>
      </c>
      <c r="M101" s="473">
        <v>523.81149999999991</v>
      </c>
      <c r="N101" s="473">
        <v>735.35760000000005</v>
      </c>
      <c r="O101" s="473">
        <v>1290.9732000000001</v>
      </c>
      <c r="P101" s="473">
        <v>1827.7292</v>
      </c>
      <c r="Q101" s="473">
        <v>2125.9590000000003</v>
      </c>
      <c r="R101" s="473">
        <v>1096.55</v>
      </c>
    </row>
    <row r="102" spans="2:20">
      <c r="C102" s="326" t="s">
        <v>538</v>
      </c>
      <c r="D102" s="326" t="s">
        <v>539</v>
      </c>
      <c r="E102" s="71" t="s">
        <v>670</v>
      </c>
      <c r="F102" s="71"/>
      <c r="G102" s="473">
        <v>1073.5</v>
      </c>
      <c r="H102" s="473">
        <v>1389.9</v>
      </c>
      <c r="I102" s="473">
        <v>983.1</v>
      </c>
      <c r="J102" s="473">
        <v>1254.3000000000002</v>
      </c>
      <c r="K102" s="473">
        <v>0</v>
      </c>
      <c r="L102" s="473">
        <v>0</v>
      </c>
      <c r="M102" s="473">
        <v>937.9</v>
      </c>
      <c r="N102" s="473">
        <v>1073.5</v>
      </c>
      <c r="O102" s="473">
        <v>1265.6000000000001</v>
      </c>
      <c r="P102" s="473">
        <v>1265.6000000000001</v>
      </c>
      <c r="Q102" s="473">
        <v>1243</v>
      </c>
      <c r="R102" s="473">
        <v>1231.7</v>
      </c>
    </row>
    <row r="104" spans="2:20">
      <c r="C104" s="326" t="s">
        <v>271</v>
      </c>
      <c r="D104" s="326" t="s">
        <v>29</v>
      </c>
      <c r="E104" s="71" t="s">
        <v>670</v>
      </c>
      <c r="F104" s="71"/>
      <c r="G104" s="473">
        <f t="array" ref="G104:R104">G84:R84</f>
        <v>156.55000000000001</v>
      </c>
      <c r="H104" s="473">
        <v>156.55000000000001</v>
      </c>
      <c r="I104" s="473">
        <v>156.55000000000001</v>
      </c>
      <c r="J104" s="473">
        <v>198</v>
      </c>
      <c r="K104" s="473">
        <v>0</v>
      </c>
      <c r="L104" s="473">
        <v>0</v>
      </c>
      <c r="M104" s="473">
        <v>198</v>
      </c>
      <c r="N104" s="473">
        <v>198</v>
      </c>
      <c r="O104" s="473">
        <v>198</v>
      </c>
      <c r="P104" s="473">
        <v>198</v>
      </c>
      <c r="Q104" s="473">
        <v>198</v>
      </c>
      <c r="R104" s="473">
        <v>156.55000000000001</v>
      </c>
    </row>
    <row r="106" spans="2:20">
      <c r="B106"/>
      <c r="C106" s="326" t="s">
        <v>487</v>
      </c>
      <c r="D106" s="326" t="s">
        <v>488</v>
      </c>
      <c r="E106" s="71" t="s">
        <v>670</v>
      </c>
      <c r="F106" s="71"/>
      <c r="G106" s="473">
        <f>$H$62</f>
        <v>140</v>
      </c>
      <c r="H106" s="473">
        <f>$E$62</f>
        <v>70</v>
      </c>
      <c r="I106" s="473">
        <f>$E$62</f>
        <v>70</v>
      </c>
      <c r="J106" s="327">
        <f>J$86/$D$63*$E$63</f>
        <v>30</v>
      </c>
      <c r="K106" s="474">
        <v>0</v>
      </c>
      <c r="L106" s="474">
        <v>0</v>
      </c>
      <c r="M106" s="327">
        <f>M$86/$D$63*$E$63</f>
        <v>125</v>
      </c>
      <c r="N106" s="327">
        <f>N$86/$D$63*$E$63</f>
        <v>200</v>
      </c>
      <c r="O106" s="331">
        <f>$H$63</f>
        <v>200</v>
      </c>
      <c r="R106" s="331">
        <f>$H$62</f>
        <v>140</v>
      </c>
    </row>
    <row r="107" spans="2:20">
      <c r="B107"/>
      <c r="C107" s="326" t="s">
        <v>489</v>
      </c>
      <c r="D107" s="326" t="s">
        <v>490</v>
      </c>
      <c r="E107" s="71" t="s">
        <v>670</v>
      </c>
      <c r="F107" s="71"/>
      <c r="G107" s="329">
        <f>$H$65</f>
        <v>238.96</v>
      </c>
      <c r="H107" s="327">
        <f>H$87/$D$65*$E$65</f>
        <v>159.30666666666667</v>
      </c>
      <c r="I107" s="327">
        <f>I$87/$D$65*$E$65</f>
        <v>159.30666666666667</v>
      </c>
      <c r="J107" s="331">
        <f>$E$66</f>
        <v>119.48</v>
      </c>
      <c r="K107" s="474">
        <v>0</v>
      </c>
      <c r="L107" s="474">
        <v>0</v>
      </c>
      <c r="M107" s="331">
        <f>$E$66</f>
        <v>119.48</v>
      </c>
      <c r="N107" s="331">
        <f>$E$66</f>
        <v>119.48</v>
      </c>
      <c r="O107" s="474">
        <v>0</v>
      </c>
      <c r="R107" s="329">
        <f>$H$65</f>
        <v>238.96</v>
      </c>
    </row>
    <row r="108" spans="2:20">
      <c r="B108"/>
      <c r="C108" s="326" t="s">
        <v>491</v>
      </c>
      <c r="D108" s="326" t="s">
        <v>492</v>
      </c>
      <c r="E108" s="71" t="s">
        <v>670</v>
      </c>
      <c r="F108" s="71"/>
      <c r="G108" s="473">
        <f t="array" ref="G108:G109">$H$67:$H$68</f>
        <v>358</v>
      </c>
      <c r="H108" s="473">
        <f t="array" ref="H108:H109">$H$67:$H$68</f>
        <v>358</v>
      </c>
      <c r="I108" s="473">
        <f t="array" ref="I108:I109">$H$67:$H$68</f>
        <v>358</v>
      </c>
      <c r="J108" s="474">
        <v>0</v>
      </c>
      <c r="K108" s="474">
        <v>0</v>
      </c>
      <c r="L108" s="474">
        <v>0</v>
      </c>
      <c r="M108" s="474">
        <v>0</v>
      </c>
      <c r="N108" s="331">
        <f>$E$67</f>
        <v>179</v>
      </c>
      <c r="O108" s="327">
        <f>$O$88/$D$67*$E$67</f>
        <v>537</v>
      </c>
      <c r="R108" s="331">
        <f t="array" ref="R108:R109">$H$67:$H$68</f>
        <v>358</v>
      </c>
    </row>
    <row r="109" spans="2:20">
      <c r="B109"/>
      <c r="C109" s="326" t="s">
        <v>563</v>
      </c>
      <c r="D109" s="326" t="s">
        <v>497</v>
      </c>
      <c r="E109" s="71" t="s">
        <v>670</v>
      </c>
      <c r="F109" s="71"/>
      <c r="G109" s="331">
        <v>238</v>
      </c>
      <c r="H109" s="331">
        <v>238</v>
      </c>
      <c r="I109" s="331">
        <v>238</v>
      </c>
      <c r="J109" s="474">
        <v>0</v>
      </c>
      <c r="K109" s="474">
        <v>0</v>
      </c>
      <c r="L109" s="474">
        <v>0</v>
      </c>
      <c r="M109" s="474">
        <v>0</v>
      </c>
      <c r="N109" s="474">
        <v>0</v>
      </c>
      <c r="O109" s="474">
        <v>0</v>
      </c>
      <c r="R109" s="331">
        <v>238</v>
      </c>
    </row>
    <row r="110" spans="2:20">
      <c r="B110"/>
    </row>
    <row r="111" spans="2:20">
      <c r="B111"/>
      <c r="C111" s="326" t="s">
        <v>231</v>
      </c>
      <c r="D111" s="326" t="s">
        <v>183</v>
      </c>
      <c r="E111" s="71" t="s">
        <v>670</v>
      </c>
      <c r="F111" s="71"/>
      <c r="G111" s="317">
        <f>G$92</f>
        <v>69</v>
      </c>
      <c r="H111" s="317">
        <f t="shared" ref="H111:I112" si="2">H$92</f>
        <v>69</v>
      </c>
      <c r="I111" s="317">
        <f t="shared" si="2"/>
        <v>69</v>
      </c>
      <c r="J111" s="474">
        <v>0</v>
      </c>
      <c r="K111" s="474">
        <v>0</v>
      </c>
      <c r="L111" s="474">
        <v>0</v>
      </c>
      <c r="M111" s="474">
        <v>0</v>
      </c>
      <c r="N111" s="474">
        <v>0</v>
      </c>
      <c r="O111" s="474">
        <v>0</v>
      </c>
      <c r="P111" s="474">
        <v>0</v>
      </c>
      <c r="Q111" s="474">
        <v>0</v>
      </c>
      <c r="R111" s="317">
        <f>R$92</f>
        <v>69</v>
      </c>
    </row>
    <row r="112" spans="2:20">
      <c r="B112"/>
      <c r="C112" s="326" t="s">
        <v>232</v>
      </c>
      <c r="D112" s="326" t="s">
        <v>184</v>
      </c>
      <c r="E112" s="71" t="s">
        <v>670</v>
      </c>
      <c r="F112" s="71"/>
      <c r="G112" s="317">
        <f>G$92</f>
        <v>69</v>
      </c>
      <c r="H112" s="317">
        <f t="shared" si="2"/>
        <v>69</v>
      </c>
      <c r="I112" s="317">
        <f t="shared" si="2"/>
        <v>69</v>
      </c>
      <c r="J112" s="474">
        <v>0</v>
      </c>
      <c r="K112" s="474">
        <v>0</v>
      </c>
      <c r="L112" s="474">
        <v>0</v>
      </c>
      <c r="M112" s="474">
        <v>0</v>
      </c>
      <c r="N112" s="474">
        <v>0</v>
      </c>
      <c r="O112" s="474">
        <v>0</v>
      </c>
      <c r="P112" s="474">
        <v>0</v>
      </c>
      <c r="Q112" s="474">
        <v>0</v>
      </c>
      <c r="R112" s="317">
        <f>R$92</f>
        <v>69</v>
      </c>
    </row>
    <row r="113" spans="1:19">
      <c r="B113"/>
    </row>
    <row r="116" spans="1:19" ht="17.25" thickBot="1">
      <c r="B116" s="198" t="s">
        <v>601</v>
      </c>
      <c r="C116" s="198"/>
    </row>
    <row r="117" spans="1:19" ht="18" thickTop="1" thickBot="1">
      <c r="B117" s="198" t="s">
        <v>600</v>
      </c>
      <c r="C117" s="198"/>
      <c r="D117" s="198"/>
      <c r="E117" s="198"/>
      <c r="F117" s="198"/>
      <c r="G117" s="198"/>
      <c r="H117" s="198"/>
      <c r="I117" s="198"/>
      <c r="J117" s="198"/>
      <c r="K117" s="198"/>
      <c r="L117" s="198"/>
      <c r="M117" s="198"/>
      <c r="N117" s="198"/>
      <c r="O117" s="198"/>
      <c r="P117" s="198"/>
      <c r="Q117" s="198"/>
      <c r="R117" s="198"/>
      <c r="S117" s="198"/>
    </row>
    <row r="118" spans="1:19" ht="12.75" thickTop="1"/>
    <row r="119" spans="1:19" ht="60">
      <c r="G119" s="340" t="str">
        <f t="array" ref="G119:R119">TRANSPOSE(Broadband.plans)</f>
        <v>Paquete Acerques (5 Mbps)</v>
      </c>
      <c r="H119" s="340" t="str">
        <v>Paquete Conectes (3 Mbps)</v>
      </c>
      <c r="I119" s="340" t="str">
        <v>Paquete Conectes Frontera (3 Mbps)</v>
      </c>
      <c r="J119" s="340" t="str">
        <v>Paquete Conectes Negocio (3 Mbps)</v>
      </c>
      <c r="K119" s="340" t="str">
        <v>Infinitum 10 Mb</v>
      </c>
      <c r="L119" s="340" t="str">
        <v>Infinitum 5 Mb</v>
      </c>
      <c r="M119" s="340" t="str">
        <v>Paquete Mi Negocio (3 Mbps)</v>
      </c>
      <c r="N119" s="340" t="str">
        <v>Paquete SuperNegocio (5 Mbps)</v>
      </c>
      <c r="O119" s="340" t="str">
        <v>Paquete Telmex Negocio Sin Límites 1 (10 Mbps)</v>
      </c>
      <c r="P119" s="340" t="str">
        <v>Paquete Telmex Negocio Sin Límites 2 (10 Mbps)</v>
      </c>
      <c r="Q119" s="340" t="str">
        <v>Paquete Telmex Negocio Sin Límites 3 (10 Mbps)</v>
      </c>
      <c r="R119" s="340" t="str">
        <v>Paquete Telmex Todo México Sin Límites (10 Mbps)</v>
      </c>
    </row>
    <row r="120" spans="1:19">
      <c r="C120" s="326" t="s">
        <v>10</v>
      </c>
      <c r="D120" s="326" t="s">
        <v>10</v>
      </c>
      <c r="E120" s="71" t="s">
        <v>670</v>
      </c>
      <c r="F120" s="71"/>
      <c r="G120" s="341">
        <f>SUM(G122:G125)</f>
        <v>1489.3375862068965</v>
      </c>
      <c r="H120" s="341">
        <f t="shared" ref="H120:R120" si="3">SUM(H122:H125)</f>
        <v>1339.6842528735633</v>
      </c>
      <c r="I120" s="341">
        <f t="shared" si="3"/>
        <v>1339.6842528735633</v>
      </c>
      <c r="J120" s="341">
        <f t="shared" si="3"/>
        <v>636.30758620689653</v>
      </c>
      <c r="K120" s="341">
        <f t="shared" si="3"/>
        <v>516.20399999999995</v>
      </c>
      <c r="L120" s="341">
        <f t="shared" si="3"/>
        <v>288.82758620689657</v>
      </c>
      <c r="M120" s="341">
        <f t="shared" si="3"/>
        <v>731.30758620689653</v>
      </c>
      <c r="N120" s="341">
        <f t="shared" si="3"/>
        <v>985.30758620689653</v>
      </c>
      <c r="O120" s="341">
        <f t="shared" si="3"/>
        <v>1451.204</v>
      </c>
      <c r="P120" s="341">
        <f t="shared" si="3"/>
        <v>714.20399999999995</v>
      </c>
      <c r="Q120" s="341">
        <f t="shared" si="3"/>
        <v>714.20399999999995</v>
      </c>
      <c r="R120" s="341">
        <f t="shared" si="3"/>
        <v>1716.7139999999999</v>
      </c>
    </row>
    <row r="121" spans="1:19">
      <c r="G121" s="16"/>
      <c r="H121" s="16"/>
      <c r="I121" s="16"/>
      <c r="J121" s="16"/>
      <c r="K121" s="16"/>
      <c r="L121" s="16"/>
      <c r="M121" s="16"/>
      <c r="N121" s="16"/>
      <c r="O121" s="16"/>
      <c r="P121" s="158"/>
      <c r="Q121" s="158"/>
      <c r="R121" s="16"/>
    </row>
    <row r="122" spans="1:19">
      <c r="A122"/>
      <c r="C122" s="326" t="s">
        <v>260</v>
      </c>
      <c r="D122" s="326" t="s">
        <v>36</v>
      </c>
      <c r="E122" s="71" t="s">
        <v>670</v>
      </c>
      <c r="F122" s="71"/>
      <c r="G122" s="473">
        <f>$L$101</f>
        <v>288.82758620689657</v>
      </c>
      <c r="H122" s="473">
        <f t="shared" ref="H122:J122" si="4">$L$101</f>
        <v>288.82758620689657</v>
      </c>
      <c r="I122" s="473">
        <f t="shared" si="4"/>
        <v>288.82758620689657</v>
      </c>
      <c r="J122" s="473">
        <f t="shared" si="4"/>
        <v>288.82758620689657</v>
      </c>
      <c r="K122" s="475">
        <f>$K$101</f>
        <v>516.20399999999995</v>
      </c>
      <c r="L122" s="473">
        <f t="shared" ref="L122:N122" si="5">$L$101</f>
        <v>288.82758620689657</v>
      </c>
      <c r="M122" s="473">
        <f t="shared" si="5"/>
        <v>288.82758620689657</v>
      </c>
      <c r="N122" s="473">
        <f t="shared" si="5"/>
        <v>288.82758620689657</v>
      </c>
      <c r="O122" s="475">
        <f t="shared" ref="O122:R122" si="6">$K$101</f>
        <v>516.20399999999995</v>
      </c>
      <c r="P122" s="475">
        <f t="shared" si="6"/>
        <v>516.20399999999995</v>
      </c>
      <c r="Q122" s="475">
        <f t="shared" si="6"/>
        <v>516.20399999999995</v>
      </c>
      <c r="R122" s="475">
        <f t="shared" si="6"/>
        <v>516.20399999999995</v>
      </c>
      <c r="S122" s="334" t="s">
        <v>763</v>
      </c>
    </row>
    <row r="123" spans="1:19">
      <c r="A123"/>
      <c r="C123" s="326" t="s">
        <v>271</v>
      </c>
      <c r="D123" s="326" t="s">
        <v>29</v>
      </c>
      <c r="E123" s="71" t="s">
        <v>670</v>
      </c>
      <c r="F123" s="71"/>
      <c r="G123" s="473">
        <f t="array" ref="G123:R123">G104:R104</f>
        <v>156.55000000000001</v>
      </c>
      <c r="H123" s="473">
        <v>156.55000000000001</v>
      </c>
      <c r="I123" s="473">
        <v>156.55000000000001</v>
      </c>
      <c r="J123" s="473">
        <v>198</v>
      </c>
      <c r="K123" s="473">
        <v>0</v>
      </c>
      <c r="L123" s="473">
        <v>0</v>
      </c>
      <c r="M123" s="473">
        <v>198</v>
      </c>
      <c r="N123" s="473">
        <v>198</v>
      </c>
      <c r="O123" s="473">
        <v>198</v>
      </c>
      <c r="P123" s="473">
        <v>198</v>
      </c>
      <c r="Q123" s="473">
        <v>198</v>
      </c>
      <c r="R123" s="473">
        <v>156.55000000000001</v>
      </c>
      <c r="S123" s="334" t="s">
        <v>768</v>
      </c>
    </row>
    <row r="124" spans="1:19">
      <c r="A124"/>
      <c r="C124" s="326" t="s">
        <v>571</v>
      </c>
      <c r="D124" s="326" t="s">
        <v>572</v>
      </c>
      <c r="E124" s="71" t="s">
        <v>670</v>
      </c>
      <c r="F124" s="71"/>
      <c r="G124" s="475">
        <f>SUM(G106:G109)</f>
        <v>974.96</v>
      </c>
      <c r="H124" s="475">
        <f t="shared" ref="H124:R124" si="7">SUM(H106:H109)</f>
        <v>825.30666666666662</v>
      </c>
      <c r="I124" s="475">
        <f t="shared" si="7"/>
        <v>825.30666666666662</v>
      </c>
      <c r="J124" s="475">
        <f t="shared" si="7"/>
        <v>149.48000000000002</v>
      </c>
      <c r="K124" s="475">
        <f t="shared" si="7"/>
        <v>0</v>
      </c>
      <c r="L124" s="475">
        <f t="shared" si="7"/>
        <v>0</v>
      </c>
      <c r="M124" s="475">
        <f t="shared" si="7"/>
        <v>244.48000000000002</v>
      </c>
      <c r="N124" s="475">
        <f t="shared" si="7"/>
        <v>498.48</v>
      </c>
      <c r="O124" s="475">
        <f t="shared" si="7"/>
        <v>737</v>
      </c>
      <c r="P124" s="475">
        <f t="shared" si="7"/>
        <v>0</v>
      </c>
      <c r="Q124" s="475">
        <f t="shared" si="7"/>
        <v>0</v>
      </c>
      <c r="R124" s="475">
        <f t="shared" si="7"/>
        <v>974.96</v>
      </c>
    </row>
    <row r="125" spans="1:19">
      <c r="A125"/>
      <c r="C125" s="326" t="s">
        <v>573</v>
      </c>
      <c r="D125" s="326" t="s">
        <v>574</v>
      </c>
      <c r="E125" s="71" t="s">
        <v>670</v>
      </c>
      <c r="F125" s="71"/>
      <c r="G125" s="473">
        <f t="array" ref="G125:R125">G111:R111</f>
        <v>69</v>
      </c>
      <c r="H125" s="473">
        <v>69</v>
      </c>
      <c r="I125" s="473">
        <v>69</v>
      </c>
      <c r="J125" s="473">
        <v>0</v>
      </c>
      <c r="K125" s="473">
        <v>0</v>
      </c>
      <c r="L125" s="473">
        <v>0</v>
      </c>
      <c r="M125" s="473">
        <v>0</v>
      </c>
      <c r="N125" s="473">
        <v>0</v>
      </c>
      <c r="O125" s="473">
        <v>0</v>
      </c>
      <c r="P125" s="473">
        <v>0</v>
      </c>
      <c r="Q125" s="473">
        <v>0</v>
      </c>
      <c r="R125" s="473">
        <v>69</v>
      </c>
    </row>
    <row r="126" spans="1:19">
      <c r="A126"/>
      <c r="G126" s="16"/>
      <c r="H126" s="16"/>
      <c r="I126" s="16"/>
      <c r="J126" s="16"/>
      <c r="K126" s="16"/>
      <c r="L126" s="16"/>
      <c r="M126" s="16"/>
      <c r="N126" s="16"/>
      <c r="O126" s="16"/>
      <c r="P126" s="16"/>
      <c r="Q126" s="16"/>
      <c r="R126" s="16"/>
    </row>
    <row r="127" spans="1:19">
      <c r="A127"/>
      <c r="C127" s="326" t="s">
        <v>536</v>
      </c>
      <c r="D127" s="326" t="s">
        <v>537</v>
      </c>
      <c r="E127" s="71" t="s">
        <v>670</v>
      </c>
      <c r="F127" s="71"/>
      <c r="G127" s="473">
        <f t="array" ref="G127:R127">G101:R101</f>
        <v>440.01119999999997</v>
      </c>
      <c r="H127" s="473">
        <v>348.14640000000003</v>
      </c>
      <c r="I127" s="473">
        <v>285.74279999999999</v>
      </c>
      <c r="J127" s="473">
        <v>404.28</v>
      </c>
      <c r="K127" s="473">
        <v>516.20399999999995</v>
      </c>
      <c r="L127" s="473">
        <v>288.82758620689657</v>
      </c>
      <c r="M127" s="473">
        <v>523.81149999999991</v>
      </c>
      <c r="N127" s="473">
        <v>735.35760000000005</v>
      </c>
      <c r="O127" s="473">
        <v>1290.9732000000001</v>
      </c>
      <c r="P127" s="473">
        <v>1827.7292</v>
      </c>
      <c r="Q127" s="473">
        <v>2125.9590000000003</v>
      </c>
      <c r="R127" s="473">
        <v>1096.55</v>
      </c>
    </row>
    <row r="128" spans="1:19" customFormat="1">
      <c r="F128" s="326"/>
      <c r="P128" s="158"/>
      <c r="Q128" s="158"/>
    </row>
    <row r="129" spans="1:20">
      <c r="A129"/>
      <c r="C129" s="326" t="s">
        <v>605</v>
      </c>
      <c r="D129" s="326" t="s">
        <v>604</v>
      </c>
      <c r="E129" s="71" t="s">
        <v>670</v>
      </c>
      <c r="F129" s="71"/>
      <c r="G129" s="163">
        <f t="array" ref="G129:R129">1-G127:R127/G120:R120</f>
        <v>0.70455912475784777</v>
      </c>
      <c r="H129" s="163">
        <v>0.74012801952904839</v>
      </c>
      <c r="I129" s="163">
        <v>0.7867088462172378</v>
      </c>
      <c r="J129" s="163">
        <v>0.36464689599261257</v>
      </c>
      <c r="K129" s="163">
        <v>0</v>
      </c>
      <c r="L129" s="163">
        <v>0</v>
      </c>
      <c r="M129" s="163">
        <v>0.28373298748769338</v>
      </c>
      <c r="N129" s="163">
        <v>0.25367711535554094</v>
      </c>
      <c r="O129" s="163">
        <v>0.11041231970143395</v>
      </c>
      <c r="P129" s="163">
        <v>-1.5591136426007135</v>
      </c>
      <c r="Q129" s="163">
        <v>-1.9766831325503644</v>
      </c>
      <c r="R129" s="163">
        <v>0.36125062182751466</v>
      </c>
      <c r="T129"/>
    </row>
    <row r="130" spans="1:20">
      <c r="A130"/>
      <c r="C130" s="326" t="s">
        <v>605</v>
      </c>
      <c r="D130" s="326" t="s">
        <v>604</v>
      </c>
      <c r="E130" s="71" t="s">
        <v>670</v>
      </c>
      <c r="F130" s="71"/>
      <c r="G130" s="211">
        <f t="shared" ref="G130:O130" si="8">G129</f>
        <v>0.70455912475784777</v>
      </c>
      <c r="H130" s="211">
        <f t="shared" si="8"/>
        <v>0.74012801952904839</v>
      </c>
      <c r="I130" s="211">
        <f t="shared" si="8"/>
        <v>0.7867088462172378</v>
      </c>
      <c r="J130" s="211">
        <f t="shared" si="8"/>
        <v>0.36464689599261257</v>
      </c>
      <c r="K130" s="211">
        <f t="shared" si="8"/>
        <v>0</v>
      </c>
      <c r="L130" s="211">
        <f t="shared" si="8"/>
        <v>0</v>
      </c>
      <c r="M130" s="211">
        <f t="shared" si="8"/>
        <v>0.28373298748769338</v>
      </c>
      <c r="N130" s="211">
        <f t="shared" si="8"/>
        <v>0.25367711535554094</v>
      </c>
      <c r="O130" s="211">
        <f t="shared" si="8"/>
        <v>0.11041231970143395</v>
      </c>
      <c r="P130" s="86">
        <f>O130</f>
        <v>0.11041231970143395</v>
      </c>
      <c r="Q130" s="86">
        <f>O130</f>
        <v>0.11041231970143395</v>
      </c>
      <c r="R130" s="211">
        <f>R129</f>
        <v>0.36125062182751466</v>
      </c>
    </row>
    <row r="131" spans="1:20">
      <c r="A131"/>
    </row>
    <row r="132" spans="1:20">
      <c r="C132" s="326" t="s">
        <v>606</v>
      </c>
      <c r="D132" s="326" t="s">
        <v>607</v>
      </c>
      <c r="E132" s="71" t="s">
        <v>670</v>
      </c>
      <c r="F132" s="71"/>
      <c r="G132" s="341">
        <f t="array" ref="G132:R132">G$122:R$122*(1-G$130:R$130)</f>
        <v>85.331474863043695</v>
      </c>
      <c r="H132" s="341">
        <v>75.058196842230714</v>
      </c>
      <c r="I132" s="341">
        <v>61.604369106359179</v>
      </c>
      <c r="J132" s="341">
        <v>183.507503419513</v>
      </c>
      <c r="K132" s="341">
        <v>516.20399999999995</v>
      </c>
      <c r="L132" s="341">
        <v>288.82758620689657</v>
      </c>
      <c r="M132" s="341">
        <v>206.8776723035545</v>
      </c>
      <c r="N132" s="341">
        <v>215.55863730282724</v>
      </c>
      <c r="O132" s="341">
        <v>459.20871892084097</v>
      </c>
      <c r="P132" s="341">
        <v>459.20871892084097</v>
      </c>
      <c r="Q132" s="341">
        <v>459.20871892084097</v>
      </c>
      <c r="R132" s="341">
        <v>329.72498401014957</v>
      </c>
      <c r="S132" s="334" t="s">
        <v>675</v>
      </c>
    </row>
    <row r="134" spans="1:20">
      <c r="C134" s="326" t="s">
        <v>672</v>
      </c>
      <c r="D134" s="326" t="s">
        <v>673</v>
      </c>
      <c r="E134" s="71" t="s">
        <v>670</v>
      </c>
      <c r="F134" s="71"/>
      <c r="G134" s="341">
        <f t="array" ref="G134:R134">G$123:R$123*(1-G$130:R$130)</f>
        <v>46.251269019158933</v>
      </c>
      <c r="H134" s="341">
        <v>40.682958542727476</v>
      </c>
      <c r="I134" s="341">
        <v>33.390730124691423</v>
      </c>
      <c r="J134" s="341">
        <v>125.79991459346272</v>
      </c>
      <c r="K134" s="341">
        <v>0</v>
      </c>
      <c r="L134" s="341">
        <v>0</v>
      </c>
      <c r="M134" s="341">
        <v>141.8208684774367</v>
      </c>
      <c r="N134" s="341">
        <v>147.7719311596029</v>
      </c>
      <c r="O134" s="341">
        <v>176.13836069911608</v>
      </c>
      <c r="P134" s="341">
        <v>176.13836069911608</v>
      </c>
      <c r="Q134" s="341">
        <v>176.13836069911608</v>
      </c>
      <c r="R134" s="341">
        <v>99.996215152902593</v>
      </c>
      <c r="S134" s="334" t="s">
        <v>674</v>
      </c>
    </row>
    <row r="135" spans="1:20">
      <c r="A135"/>
    </row>
    <row r="136" spans="1:20">
      <c r="A136"/>
      <c r="C136" s="326" t="s">
        <v>697</v>
      </c>
      <c r="D136" s="326" t="s">
        <v>698</v>
      </c>
      <c r="E136" s="71" t="s">
        <v>756</v>
      </c>
      <c r="F136" s="71"/>
      <c r="G136" s="123">
        <f t="array" ref="G136:R136">TRANSPOSE(Distribution.broadband.plans)</f>
        <v>0.45</v>
      </c>
      <c r="H136" s="123">
        <v>1.4999999999999999E-2</v>
      </c>
      <c r="I136" s="123">
        <v>1.4999999999999999E-2</v>
      </c>
      <c r="J136" s="123">
        <v>0.01</v>
      </c>
      <c r="K136" s="123">
        <v>0.01</v>
      </c>
      <c r="L136" s="123">
        <v>0.18</v>
      </c>
      <c r="M136" s="123">
        <v>1.4999999999999999E-2</v>
      </c>
      <c r="N136" s="123">
        <v>0.12</v>
      </c>
      <c r="O136" s="123">
        <v>0.08</v>
      </c>
      <c r="P136" s="123">
        <v>0.05</v>
      </c>
      <c r="Q136" s="123">
        <v>2.5000000000000001E-2</v>
      </c>
      <c r="R136" s="123">
        <v>0.03</v>
      </c>
    </row>
    <row r="137" spans="1:20">
      <c r="A137"/>
      <c r="C137" s="326" t="s">
        <v>757</v>
      </c>
      <c r="D137" s="326" t="s">
        <v>758</v>
      </c>
      <c r="E137" s="71" t="s">
        <v>756</v>
      </c>
      <c r="F137" s="487">
        <f>SUMPRODUCT(G130:R130,G136:R136)</f>
        <v>0.40624930495068007</v>
      </c>
    </row>
    <row r="138" spans="1:20">
      <c r="A138"/>
    </row>
    <row r="139" spans="1:20">
      <c r="A139"/>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K12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198"/>
  <sheetViews>
    <sheetView showGridLines="0" defaultGridColor="0" colorId="22" zoomScaleNormal="100" workbookViewId="0">
      <pane ySplit="2" topLeftCell="A3" activePane="bottomLeft" state="frozen"/>
      <selection pane="bottomLeft" activeCell="E61" sqref="E61"/>
    </sheetView>
  </sheetViews>
  <sheetFormatPr baseColWidth="10" defaultColWidth="12.7109375" defaultRowHeight="12"/>
  <cols>
    <col min="1" max="1" width="6.7109375" style="105" customWidth="1"/>
    <col min="2" max="2" width="12.7109375" style="105"/>
    <col min="3" max="3" width="22.42578125" style="105" customWidth="1"/>
    <col min="4" max="4" width="14" style="105" customWidth="1"/>
    <col min="5" max="5" width="15" style="105" bestFit="1" customWidth="1"/>
    <col min="6" max="6" width="12.7109375" style="105"/>
    <col min="7" max="7" width="13.7109375" style="105" customWidth="1"/>
    <col min="8" max="16384" width="12.7109375" style="105"/>
  </cols>
  <sheetData>
    <row r="1" spans="2:13" s="106" customFormat="1" ht="33.75" customHeight="1">
      <c r="E1" s="274" t="s">
        <v>348</v>
      </c>
      <c r="M1" s="106" t="s">
        <v>20</v>
      </c>
    </row>
    <row r="2" spans="2:13" ht="27.75">
      <c r="C2" s="103"/>
      <c r="D2" s="130"/>
      <c r="E2" s="108" t="s">
        <v>68</v>
      </c>
    </row>
    <row r="3" spans="2:13" s="272" customFormat="1">
      <c r="C3" s="273"/>
      <c r="D3" s="273"/>
    </row>
    <row r="4" spans="2:13" s="272" customFormat="1">
      <c r="B4" s="276" t="s">
        <v>320</v>
      </c>
      <c r="C4" s="273"/>
      <c r="D4" s="273"/>
    </row>
    <row r="5" spans="2:13">
      <c r="B5" s="157" t="s">
        <v>21</v>
      </c>
      <c r="C5" s="103"/>
      <c r="D5" s="130"/>
      <c r="E5"/>
    </row>
    <row r="6" spans="2:13" customFormat="1">
      <c r="C6" s="307" t="s">
        <v>10</v>
      </c>
    </row>
    <row r="7" spans="2:13">
      <c r="B7" s="107"/>
      <c r="C7" s="190" t="s">
        <v>10</v>
      </c>
      <c r="D7" s="130"/>
    </row>
    <row r="8" spans="2:13" s="275" customFormat="1">
      <c r="B8" s="276"/>
      <c r="C8" s="190"/>
      <c r="D8" s="280" t="s">
        <v>229</v>
      </c>
    </row>
    <row r="9" spans="2:13">
      <c r="D9" s="190" t="s">
        <v>71</v>
      </c>
      <c r="E9" s="12">
        <f>Telmex.DSL.subs.year.selected</f>
        <v>8428682.41465405</v>
      </c>
    </row>
    <row r="10" spans="2:13" s="275" customFormat="1">
      <c r="D10" s="281" t="s">
        <v>321</v>
      </c>
      <c r="E10"/>
    </row>
    <row r="11" spans="2:13">
      <c r="D11" s="190" t="s">
        <v>75</v>
      </c>
      <c r="E11" s="331">
        <f>Telmex.DSL.subs.year.selected.minus.1</f>
        <v>8584968.2913398407</v>
      </c>
    </row>
    <row r="12" spans="2:13">
      <c r="D12" s="103"/>
    </row>
    <row r="13" spans="2:13" s="275" customFormat="1">
      <c r="D13" s="282" t="s">
        <v>322</v>
      </c>
    </row>
    <row r="14" spans="2:13">
      <c r="D14" s="190" t="s">
        <v>76</v>
      </c>
      <c r="E14" s="10">
        <f>E9-E11</f>
        <v>-156285.87668579072</v>
      </c>
    </row>
    <row r="15" spans="2:13">
      <c r="D15" s="103"/>
    </row>
    <row r="16" spans="2:13" s="275" customFormat="1">
      <c r="D16" s="277" t="s">
        <v>351</v>
      </c>
    </row>
    <row r="17" spans="3:5">
      <c r="D17" s="190" t="s">
        <v>47</v>
      </c>
      <c r="E17" s="91">
        <f>Broadband.churn</f>
        <v>8.3000000000000004E-2</v>
      </c>
    </row>
    <row r="18" spans="3:5">
      <c r="D18" s="103"/>
    </row>
    <row r="19" spans="3:5" s="275" customFormat="1">
      <c r="D19" s="284" t="s">
        <v>323</v>
      </c>
    </row>
    <row r="20" spans="3:5">
      <c r="D20" s="190" t="s">
        <v>79</v>
      </c>
      <c r="E20" s="10">
        <f>E11*E17+E14</f>
        <v>556266.49149541615</v>
      </c>
    </row>
    <row r="21" spans="3:5">
      <c r="C21" s="103"/>
      <c r="D21" s="130"/>
    </row>
    <row r="22" spans="3:5" s="275" customFormat="1">
      <c r="C22" s="278" t="s">
        <v>349</v>
      </c>
      <c r="D22" s="277"/>
    </row>
    <row r="23" spans="3:5">
      <c r="C23" s="190" t="s">
        <v>204</v>
      </c>
      <c r="D23" s="130"/>
    </row>
    <row r="24" spans="3:5" s="283" customFormat="1">
      <c r="C24" s="190"/>
      <c r="D24" s="284" t="s">
        <v>229</v>
      </c>
    </row>
    <row r="25" spans="3:5">
      <c r="D25" s="190" t="s">
        <v>71</v>
      </c>
      <c r="E25" s="470">
        <f>Telmex.DSL.subs.residential.with.line.rental.year.selected</f>
        <v>4298628.0314735658</v>
      </c>
    </row>
    <row r="26" spans="3:5" s="283" customFormat="1">
      <c r="D26" s="284" t="s">
        <v>321</v>
      </c>
      <c r="E26"/>
    </row>
    <row r="27" spans="3:5">
      <c r="D27" s="190" t="s">
        <v>75</v>
      </c>
      <c r="E27" s="331">
        <f>Telmex.DSL.subs.residential.with.line.rental.year.selected.minus.1</f>
        <v>4378333.8285833187</v>
      </c>
    </row>
    <row r="28" spans="3:5">
      <c r="D28" s="284"/>
    </row>
    <row r="29" spans="3:5" s="283" customFormat="1">
      <c r="D29" s="284" t="s">
        <v>322</v>
      </c>
    </row>
    <row r="30" spans="3:5">
      <c r="D30" s="190" t="s">
        <v>76</v>
      </c>
      <c r="E30" s="10">
        <f>E25-E27</f>
        <v>-79705.797109752893</v>
      </c>
    </row>
    <row r="31" spans="3:5">
      <c r="D31" s="284"/>
    </row>
    <row r="32" spans="3:5" s="283" customFormat="1">
      <c r="D32" s="284" t="s">
        <v>351</v>
      </c>
    </row>
    <row r="33" spans="3:6">
      <c r="D33" s="190" t="s">
        <v>47</v>
      </c>
      <c r="E33" s="91">
        <f>Broadband.churn</f>
        <v>8.3000000000000004E-2</v>
      </c>
    </row>
    <row r="34" spans="3:6">
      <c r="D34" s="284"/>
    </row>
    <row r="35" spans="3:6" s="283" customFormat="1">
      <c r="D35" s="284" t="s">
        <v>323</v>
      </c>
    </row>
    <row r="36" spans="3:6">
      <c r="D36" s="190" t="s">
        <v>79</v>
      </c>
      <c r="E36" s="10">
        <f>E27*E33+E30</f>
        <v>283695.91066266259</v>
      </c>
      <c r="F36" s="43" t="s">
        <v>205</v>
      </c>
    </row>
    <row r="37" spans="3:6">
      <c r="C37" s="130"/>
      <c r="D37" s="130"/>
    </row>
    <row r="38" spans="3:6" s="275" customFormat="1">
      <c r="C38" s="279" t="s">
        <v>350</v>
      </c>
      <c r="D38" s="277"/>
    </row>
    <row r="39" spans="3:6">
      <c r="C39" s="190" t="s">
        <v>161</v>
      </c>
      <c r="D39" s="130"/>
    </row>
    <row r="40" spans="3:6" s="283" customFormat="1">
      <c r="C40" s="190"/>
      <c r="D40" s="284" t="s">
        <v>229</v>
      </c>
    </row>
    <row r="41" spans="3:6">
      <c r="D41" s="190" t="s">
        <v>71</v>
      </c>
      <c r="E41" s="12">
        <f>Telmex.DSL.subs.non.residential.year.selected</f>
        <v>2528604.7243962144</v>
      </c>
    </row>
    <row r="42" spans="3:6" s="283" customFormat="1">
      <c r="D42" s="284" t="s">
        <v>321</v>
      </c>
      <c r="E42"/>
    </row>
    <row r="43" spans="3:6">
      <c r="D43" s="190" t="s">
        <v>75</v>
      </c>
      <c r="E43" s="470">
        <f>Telmex.DSL.subs.non.residential.year.selected.minus.1</f>
        <v>2575490.487401952</v>
      </c>
    </row>
    <row r="44" spans="3:6">
      <c r="D44" s="284"/>
    </row>
    <row r="45" spans="3:6" s="283" customFormat="1">
      <c r="D45" s="284" t="s">
        <v>322</v>
      </c>
    </row>
    <row r="46" spans="3:6">
      <c r="D46" s="190" t="s">
        <v>76</v>
      </c>
      <c r="E46" s="10">
        <f>E41-E43</f>
        <v>-46885.763005737681</v>
      </c>
    </row>
    <row r="47" spans="3:6">
      <c r="D47" s="284"/>
    </row>
    <row r="48" spans="3:6" s="283" customFormat="1">
      <c r="D48" s="284" t="s">
        <v>351</v>
      </c>
    </row>
    <row r="49" spans="2:12">
      <c r="D49" s="190" t="s">
        <v>47</v>
      </c>
      <c r="E49" s="91">
        <f>Broadband.churn</f>
        <v>8.3000000000000004E-2</v>
      </c>
      <c r="K49"/>
      <c r="L49"/>
    </row>
    <row r="50" spans="2:12">
      <c r="D50" s="284"/>
      <c r="K50"/>
      <c r="L50"/>
    </row>
    <row r="51" spans="2:12" s="283" customFormat="1">
      <c r="D51" s="284" t="s">
        <v>323</v>
      </c>
      <c r="K51"/>
      <c r="L51"/>
    </row>
    <row r="52" spans="2:12">
      <c r="D52" s="190" t="s">
        <v>79</v>
      </c>
      <c r="E52" s="10">
        <f>E43*E49+E46</f>
        <v>166879.94744862436</v>
      </c>
      <c r="F52" s="43" t="s">
        <v>206</v>
      </c>
      <c r="K52"/>
      <c r="L52"/>
    </row>
    <row r="53" spans="2:12">
      <c r="C53" s="130"/>
      <c r="D53" s="130"/>
      <c r="J53"/>
      <c r="K53"/>
      <c r="L53"/>
    </row>
    <row r="54" spans="2:12">
      <c r="C54" s="130"/>
      <c r="D54" s="130"/>
      <c r="J54"/>
      <c r="K54"/>
      <c r="L54"/>
    </row>
    <row r="55" spans="2:12">
      <c r="C55" s="103"/>
      <c r="D55" s="130"/>
      <c r="J55"/>
      <c r="K55"/>
      <c r="L55"/>
    </row>
    <row r="56" spans="2:12">
      <c r="B56" s="287" t="s">
        <v>324</v>
      </c>
      <c r="C56" s="290"/>
      <c r="D56" s="130"/>
      <c r="E56"/>
      <c r="G56"/>
      <c r="H56"/>
      <c r="I56"/>
      <c r="J56"/>
      <c r="K56"/>
      <c r="L56"/>
    </row>
    <row r="57" spans="2:12" s="326" customFormat="1">
      <c r="B57" s="157" t="s">
        <v>74</v>
      </c>
      <c r="C57" s="324"/>
      <c r="D57" s="324"/>
    </row>
    <row r="58" spans="2:12" s="326" customFormat="1">
      <c r="B58" s="336"/>
      <c r="C58" s="324" t="s">
        <v>759</v>
      </c>
      <c r="D58" s="324"/>
    </row>
    <row r="59" spans="2:12" s="326" customFormat="1">
      <c r="B59" s="336"/>
      <c r="C59" s="190" t="s">
        <v>760</v>
      </c>
      <c r="D59" s="324"/>
      <c r="E59" s="329">
        <f t="array" ref="E59">SUMPRODUCT(Telmex.DSL.subs.by.plan.year.selected.average,TRANSPOSE(Broadband.prices.within.plans.before.discount))*12</f>
        <v>34010218369.054016</v>
      </c>
    </row>
    <row r="60" spans="2:12" s="326" customFormat="1">
      <c r="B60" s="336"/>
      <c r="C60" s="324" t="s">
        <v>761</v>
      </c>
      <c r="D60" s="324"/>
    </row>
    <row r="61" spans="2:12">
      <c r="B61"/>
      <c r="C61" s="190" t="s">
        <v>762</v>
      </c>
      <c r="D61" s="130"/>
      <c r="E61" s="14">
        <f t="array" ref="E61">SUMPRODUCT(Telmex.DSL.subs.by.plan.year.selected.average,TRANSPOSE(Broadband.prices.within.plans))*12</f>
        <v>21383554342.44981</v>
      </c>
      <c r="F61"/>
      <c r="G61" s="497">
        <v>25256420480</v>
      </c>
      <c r="H61" s="326"/>
      <c r="J61"/>
      <c r="K61"/>
      <c r="L61"/>
    </row>
    <row r="62" spans="2:12" customFormat="1">
      <c r="E62" s="326"/>
    </row>
    <row r="63" spans="2:12" s="285" customFormat="1">
      <c r="B63" s="287"/>
      <c r="C63" s="290" t="s">
        <v>325</v>
      </c>
      <c r="D63" s="290"/>
      <c r="E63"/>
      <c r="G63"/>
      <c r="H63" s="286"/>
      <c r="K63"/>
      <c r="L63"/>
    </row>
    <row r="64" spans="2:12">
      <c r="B64" s="285"/>
      <c r="C64" s="190" t="s">
        <v>224</v>
      </c>
      <c r="D64" s="134"/>
      <c r="E64" s="140">
        <f>E61/G61-1</f>
        <v>-0.15334184591268696</v>
      </c>
      <c r="J64"/>
      <c r="K64"/>
      <c r="L64"/>
    </row>
    <row r="65" spans="2:12">
      <c r="C65" s="103"/>
      <c r="D65" s="130"/>
      <c r="F65" s="127"/>
      <c r="J65"/>
      <c r="K65"/>
      <c r="L65"/>
    </row>
    <row r="66" spans="2:12" s="285" customFormat="1">
      <c r="C66" s="290"/>
      <c r="D66" s="290"/>
      <c r="F66" s="293"/>
      <c r="K66"/>
      <c r="L66"/>
    </row>
    <row r="67" spans="2:12" s="285" customFormat="1">
      <c r="B67" s="287" t="s">
        <v>326</v>
      </c>
      <c r="C67" s="290"/>
      <c r="D67" s="290"/>
      <c r="F67" s="293"/>
    </row>
    <row r="68" spans="2:12">
      <c r="B68" s="157" t="s">
        <v>52</v>
      </c>
      <c r="C68" s="290"/>
      <c r="D68" s="130"/>
      <c r="J68"/>
      <c r="K68"/>
    </row>
    <row r="69" spans="2:12">
      <c r="B69" s="287"/>
      <c r="C69" s="290"/>
      <c r="D69" s="130"/>
      <c r="E69"/>
      <c r="J69"/>
      <c r="K69"/>
    </row>
    <row r="70" spans="2:12" s="285" customFormat="1">
      <c r="B70" s="287"/>
      <c r="C70" s="290" t="s">
        <v>327</v>
      </c>
      <c r="D70" s="290"/>
    </row>
    <row r="71" spans="2:12">
      <c r="B71" s="287"/>
      <c r="C71" s="190" t="s">
        <v>91</v>
      </c>
      <c r="D71" s="130"/>
      <c r="E71" s="91">
        <f>Billing.cost</f>
        <v>0.05</v>
      </c>
      <c r="J71"/>
      <c r="K71"/>
    </row>
    <row r="72" spans="2:12">
      <c r="B72" s="287"/>
      <c r="C72" s="290"/>
      <c r="D72" s="130"/>
      <c r="E72"/>
      <c r="J72"/>
      <c r="K72"/>
    </row>
    <row r="73" spans="2:12" s="285" customFormat="1">
      <c r="B73" s="287"/>
      <c r="C73" s="290" t="s">
        <v>328</v>
      </c>
      <c r="D73" s="290"/>
    </row>
    <row r="74" spans="2:12">
      <c r="B74" s="287"/>
      <c r="C74" s="190" t="s">
        <v>89</v>
      </c>
      <c r="D74" s="130"/>
      <c r="E74" s="101">
        <f>$E$61*E71</f>
        <v>1069177717.1224905</v>
      </c>
      <c r="G74" s="486">
        <f>E74/$E$188</f>
        <v>3.1436955373839587E-2</v>
      </c>
      <c r="J74"/>
      <c r="K74"/>
    </row>
    <row r="75" spans="2:12">
      <c r="B75" s="285"/>
      <c r="C75" s="290"/>
      <c r="D75" s="130"/>
      <c r="E75"/>
      <c r="J75"/>
      <c r="K75"/>
    </row>
    <row r="76" spans="2:12">
      <c r="B76" s="285"/>
      <c r="C76" s="290"/>
      <c r="D76" s="130"/>
      <c r="J76"/>
      <c r="K76"/>
    </row>
    <row r="77" spans="2:12" s="285" customFormat="1">
      <c r="B77" s="287" t="s">
        <v>298</v>
      </c>
      <c r="C77" s="290"/>
      <c r="D77" s="290"/>
    </row>
    <row r="78" spans="2:12">
      <c r="B78" s="157" t="s">
        <v>53</v>
      </c>
      <c r="C78" s="290"/>
      <c r="D78" s="130"/>
      <c r="J78"/>
      <c r="K78"/>
    </row>
    <row r="79" spans="2:12">
      <c r="B79" s="285"/>
      <c r="C79" s="290"/>
      <c r="D79" s="130"/>
    </row>
    <row r="80" spans="2:12" s="285" customFormat="1">
      <c r="C80" s="290" t="s">
        <v>329</v>
      </c>
      <c r="D80" s="290"/>
    </row>
    <row r="81" spans="2:7">
      <c r="B81" s="285"/>
      <c r="C81" s="190" t="s">
        <v>90</v>
      </c>
      <c r="D81" s="130"/>
      <c r="E81" s="91">
        <f>Bad.debt.cost</f>
        <v>0.02</v>
      </c>
    </row>
    <row r="82" spans="2:7">
      <c r="B82" s="285"/>
      <c r="C82" s="290"/>
      <c r="D82" s="130"/>
    </row>
    <row r="83" spans="2:7" s="285" customFormat="1">
      <c r="C83" s="290" t="s">
        <v>328</v>
      </c>
      <c r="D83" s="290"/>
    </row>
    <row r="84" spans="2:7">
      <c r="B84" s="285"/>
      <c r="C84" s="190" t="s">
        <v>89</v>
      </c>
      <c r="D84" s="130"/>
      <c r="E84" s="101">
        <f>$E$61*E81</f>
        <v>427671086.84899622</v>
      </c>
      <c r="G84" s="486">
        <f>E84/$E$188</f>
        <v>1.2574782149535836E-2</v>
      </c>
    </row>
    <row r="85" spans="2:7">
      <c r="B85" s="285"/>
      <c r="C85" s="290"/>
      <c r="D85" s="130"/>
    </row>
    <row r="86" spans="2:7">
      <c r="B86" s="285"/>
      <c r="C86" s="290"/>
      <c r="D86" s="130"/>
    </row>
    <row r="87" spans="2:7" s="285" customFormat="1">
      <c r="B87" s="287" t="s">
        <v>330</v>
      </c>
      <c r="C87" s="290"/>
      <c r="D87" s="290"/>
    </row>
    <row r="88" spans="2:7">
      <c r="B88" s="157" t="s">
        <v>54</v>
      </c>
      <c r="C88" s="290"/>
      <c r="D88" s="130"/>
    </row>
    <row r="89" spans="2:7">
      <c r="B89" s="285"/>
      <c r="C89" s="290"/>
      <c r="D89" s="130"/>
    </row>
    <row r="90" spans="2:7" s="285" customFormat="1">
      <c r="C90" s="290" t="s">
        <v>367</v>
      </c>
      <c r="D90" s="290"/>
    </row>
    <row r="91" spans="2:7">
      <c r="B91" s="285"/>
      <c r="C91" s="190" t="s">
        <v>55</v>
      </c>
      <c r="D91" s="130"/>
      <c r="E91" s="95">
        <f>Marketing.and.sales.per.gross.add.broadband</f>
        <v>1800</v>
      </c>
    </row>
    <row r="92" spans="2:7" s="285" customFormat="1">
      <c r="C92" s="288" t="s">
        <v>368</v>
      </c>
      <c r="D92" s="290"/>
      <c r="E92"/>
    </row>
    <row r="93" spans="2:7">
      <c r="B93" s="285"/>
      <c r="C93" s="190" t="s">
        <v>86</v>
      </c>
      <c r="D93" s="92"/>
      <c r="E93" s="91">
        <f>Marketing.and.sales.minimum.proportion.broadband</f>
        <v>0.1</v>
      </c>
    </row>
    <row r="94" spans="2:7">
      <c r="B94" s="285"/>
      <c r="C94" s="290"/>
      <c r="D94" s="130"/>
    </row>
    <row r="95" spans="2:7" s="285" customFormat="1">
      <c r="C95" s="290" t="s">
        <v>366</v>
      </c>
      <c r="D95" s="290"/>
    </row>
    <row r="96" spans="2:7">
      <c r="B96" s="285"/>
      <c r="C96" s="190" t="s">
        <v>92</v>
      </c>
      <c r="D96" s="130"/>
      <c r="E96" s="101">
        <f>MAX(E20*E91,E61*E93)</f>
        <v>2138355434.2449811</v>
      </c>
      <c r="G96" s="486">
        <f>E96/$E$188</f>
        <v>6.2873910747679174E-2</v>
      </c>
    </row>
    <row r="97" spans="2:7">
      <c r="B97" s="285"/>
      <c r="C97" s="290"/>
      <c r="D97" s="130"/>
    </row>
    <row r="98" spans="2:7">
      <c r="B98" s="285"/>
      <c r="C98" s="290"/>
      <c r="D98" s="130"/>
    </row>
    <row r="99" spans="2:7" s="285" customFormat="1">
      <c r="B99" s="287" t="s">
        <v>306</v>
      </c>
      <c r="C99" s="290"/>
      <c r="D99" s="290"/>
    </row>
    <row r="100" spans="2:7">
      <c r="B100" s="157" t="s">
        <v>56</v>
      </c>
      <c r="C100" s="285"/>
    </row>
    <row r="101" spans="2:7">
      <c r="B101" s="285"/>
      <c r="C101" s="285"/>
    </row>
    <row r="102" spans="2:7" s="285" customFormat="1">
      <c r="C102" s="285" t="s">
        <v>304</v>
      </c>
    </row>
    <row r="103" spans="2:7">
      <c r="B103" s="285"/>
      <c r="C103" s="142" t="s">
        <v>87</v>
      </c>
      <c r="E103" s="95">
        <f>Customer.care.broadbandsubscriber.per.staff</f>
        <v>800</v>
      </c>
    </row>
    <row r="104" spans="2:7" s="285" customFormat="1">
      <c r="C104" s="285" t="s">
        <v>331</v>
      </c>
      <c r="E104"/>
    </row>
    <row r="105" spans="2:7">
      <c r="B105" s="285"/>
      <c r="C105" s="142" t="s">
        <v>88</v>
      </c>
      <c r="E105" s="95">
        <f>Monthly.cost.per.staff</f>
        <v>12000</v>
      </c>
    </row>
    <row r="106" spans="2:7">
      <c r="B106" s="285"/>
      <c r="C106" s="285"/>
    </row>
    <row r="107" spans="2:7" s="285" customFormat="1">
      <c r="C107" s="292" t="s">
        <v>332</v>
      </c>
    </row>
    <row r="108" spans="2:7">
      <c r="B108" s="285"/>
      <c r="C108" s="142" t="s">
        <v>94</v>
      </c>
      <c r="D108" s="109"/>
      <c r="E108" s="101">
        <f>AVERAGE(E9:E11)/E103*E105*12</f>
        <v>1531228563.5394502</v>
      </c>
      <c r="G108" s="486">
        <f>E108/$E$188</f>
        <v>4.5022603116618591E-2</v>
      </c>
    </row>
    <row r="111" spans="2:7" s="285" customFormat="1">
      <c r="B111" s="287" t="s">
        <v>333</v>
      </c>
    </row>
    <row r="112" spans="2:7">
      <c r="B112" s="157" t="s">
        <v>57</v>
      </c>
      <c r="C112" s="285"/>
    </row>
    <row r="113" spans="2:5">
      <c r="B113" s="285"/>
      <c r="C113" s="285"/>
    </row>
    <row r="114" spans="2:5" s="285" customFormat="1">
      <c r="C114" s="292" t="s">
        <v>334</v>
      </c>
    </row>
    <row r="115" spans="2:5">
      <c r="B115" s="285"/>
      <c r="C115" s="142" t="s">
        <v>99</v>
      </c>
      <c r="D115" s="109"/>
      <c r="E115" s="10">
        <f>AVERAGE(E9:E11)/E103</f>
        <v>10633.531691246182</v>
      </c>
    </row>
    <row r="116" spans="2:5">
      <c r="B116" s="285"/>
      <c r="C116" s="285"/>
    </row>
    <row r="117" spans="2:5" s="285" customFormat="1">
      <c r="C117" s="285" t="s">
        <v>310</v>
      </c>
    </row>
    <row r="118" spans="2:5">
      <c r="B118" s="285"/>
      <c r="C118" s="142" t="s">
        <v>98</v>
      </c>
      <c r="E118" s="93">
        <f>Admin.staff.per.customer.care.staff</f>
        <v>0.1</v>
      </c>
    </row>
    <row r="119" spans="2:5" s="285" customFormat="1">
      <c r="C119" s="285" t="s">
        <v>335</v>
      </c>
      <c r="E119"/>
    </row>
    <row r="120" spans="2:5">
      <c r="B120" s="285"/>
      <c r="C120" s="142" t="s">
        <v>101</v>
      </c>
      <c r="E120" s="10">
        <f>E115*E118</f>
        <v>1063.3531691246183</v>
      </c>
    </row>
    <row r="121" spans="2:5">
      <c r="B121" s="285"/>
      <c r="C121" s="285"/>
    </row>
    <row r="122" spans="2:5" s="285" customFormat="1">
      <c r="C122" s="285" t="s">
        <v>336</v>
      </c>
    </row>
    <row r="123" spans="2:5">
      <c r="B123" s="285"/>
      <c r="C123" s="142" t="s">
        <v>102</v>
      </c>
      <c r="E123" s="96">
        <f>E115+E120</f>
        <v>11696.884860370801</v>
      </c>
    </row>
    <row r="124" spans="2:5">
      <c r="B124" s="285"/>
      <c r="C124" s="285"/>
    </row>
    <row r="125" spans="2:5" s="285" customFormat="1">
      <c r="C125" s="285" t="s">
        <v>337</v>
      </c>
    </row>
    <row r="126" spans="2:5">
      <c r="B126" s="285"/>
      <c r="C126" s="142" t="s">
        <v>58</v>
      </c>
      <c r="D126" s="110"/>
    </row>
    <row r="127" spans="2:5" s="285" customFormat="1">
      <c r="C127" s="149" t="s">
        <v>338</v>
      </c>
      <c r="D127" s="291"/>
    </row>
    <row r="128" spans="2:5">
      <c r="B128" s="285"/>
      <c r="C128" s="146" t="s">
        <v>59</v>
      </c>
      <c r="D128" s="99"/>
      <c r="E128" s="12">
        <f>Floorspace.per.staff</f>
        <v>10</v>
      </c>
    </row>
    <row r="129" spans="2:7" s="285" customFormat="1">
      <c r="C129" s="149" t="s">
        <v>339</v>
      </c>
      <c r="D129" s="289"/>
      <c r="E129"/>
    </row>
    <row r="130" spans="2:7">
      <c r="B130" s="285"/>
      <c r="C130" s="146" t="s">
        <v>60</v>
      </c>
      <c r="D130" s="99"/>
      <c r="E130" s="12">
        <f>Rent.per.sqm</f>
        <v>276.491985</v>
      </c>
    </row>
    <row r="131" spans="2:7">
      <c r="B131" s="285"/>
      <c r="C131" s="292"/>
    </row>
    <row r="132" spans="2:7" s="285" customFormat="1">
      <c r="C132" s="292" t="s">
        <v>337</v>
      </c>
    </row>
    <row r="133" spans="2:7">
      <c r="B133" s="285"/>
      <c r="C133" s="142" t="s">
        <v>58</v>
      </c>
      <c r="D133" s="110"/>
      <c r="E133" s="13">
        <f>E123*E128*E130*12</f>
        <v>388091389.60324448</v>
      </c>
    </row>
    <row r="134" spans="2:7">
      <c r="B134" s="285"/>
      <c r="C134" s="285"/>
    </row>
    <row r="135" spans="2:7" s="285" customFormat="1">
      <c r="C135" s="285" t="s">
        <v>340</v>
      </c>
    </row>
    <row r="136" spans="2:7">
      <c r="B136" s="285"/>
      <c r="C136" s="142" t="s">
        <v>95</v>
      </c>
      <c r="E136" s="102">
        <f>Admin.costs</f>
        <v>0.02</v>
      </c>
    </row>
    <row r="137" spans="2:7">
      <c r="B137" s="285"/>
      <c r="C137" s="285"/>
    </row>
    <row r="138" spans="2:7" s="285" customFormat="1">
      <c r="C138" s="292" t="s">
        <v>333</v>
      </c>
    </row>
    <row r="139" spans="2:7">
      <c r="B139" s="285"/>
      <c r="C139" s="142" t="s">
        <v>57</v>
      </c>
      <c r="D139" s="109"/>
      <c r="E139" s="101">
        <f>E133+E61*E136</f>
        <v>815762476.45224071</v>
      </c>
      <c r="G139" s="486">
        <f>E139/$E$188</f>
        <v>2.3985805312985144E-2</v>
      </c>
    </row>
    <row r="142" spans="2:7" s="285" customFormat="1">
      <c r="B142" s="294" t="s">
        <v>352</v>
      </c>
    </row>
    <row r="143" spans="2:7">
      <c r="B143" s="157" t="s">
        <v>117</v>
      </c>
    </row>
    <row r="145" spans="2:7" s="285" customFormat="1">
      <c r="C145" s="295" t="s">
        <v>353</v>
      </c>
    </row>
    <row r="146" spans="2:7">
      <c r="C146" s="142" t="s">
        <v>212</v>
      </c>
      <c r="E146" s="12">
        <f>Average.broadband.speed</f>
        <v>15</v>
      </c>
    </row>
    <row r="147" spans="2:7" s="285" customFormat="1">
      <c r="C147" s="296" t="s">
        <v>314</v>
      </c>
      <c r="E147"/>
    </row>
    <row r="148" spans="2:7">
      <c r="C148" s="142" t="s">
        <v>118</v>
      </c>
      <c r="E148" s="133">
        <f>Broadband.contention.ratio</f>
        <v>50</v>
      </c>
    </row>
    <row r="149" spans="2:7" s="285" customFormat="1">
      <c r="C149" s="297" t="s">
        <v>354</v>
      </c>
      <c r="E149"/>
    </row>
    <row r="150" spans="2:7">
      <c r="C150" s="142" t="s">
        <v>119</v>
      </c>
      <c r="E150" s="12">
        <f>Price.per.Mbps.for.transport</f>
        <v>50</v>
      </c>
    </row>
    <row r="152" spans="2:7" s="285" customFormat="1">
      <c r="C152" s="298" t="s">
        <v>355</v>
      </c>
    </row>
    <row r="153" spans="2:7">
      <c r="C153" s="142" t="s">
        <v>198</v>
      </c>
      <c r="E153" s="101">
        <f>AVERAGE(E9:E11)*E146/E148*E150</f>
        <v>127602380.29495417</v>
      </c>
      <c r="G153" s="486">
        <f>E153/$E$188</f>
        <v>3.7518835930515485E-3</v>
      </c>
    </row>
    <row r="155" spans="2:7" s="299" customFormat="1"/>
    <row r="156" spans="2:7" s="285" customFormat="1">
      <c r="B156" s="300" t="s">
        <v>356</v>
      </c>
    </row>
    <row r="157" spans="2:7">
      <c r="B157" s="157" t="s">
        <v>83</v>
      </c>
    </row>
    <row r="158" spans="2:7" s="285" customFormat="1">
      <c r="B158" s="287"/>
    </row>
    <row r="159" spans="2:7" s="285" customFormat="1">
      <c r="B159" s="287"/>
      <c r="C159" s="301" t="s">
        <v>357</v>
      </c>
    </row>
    <row r="160" spans="2:7">
      <c r="C160" s="190" t="s">
        <v>46</v>
      </c>
      <c r="D160" s="130"/>
      <c r="E160" s="12">
        <f>CPE.lifetime</f>
        <v>5</v>
      </c>
    </row>
    <row r="161" spans="2:8">
      <c r="C161" s="103"/>
      <c r="D161" s="130"/>
    </row>
    <row r="162" spans="2:8" s="285" customFormat="1">
      <c r="C162" s="302" t="s">
        <v>358</v>
      </c>
      <c r="D162" s="290"/>
    </row>
    <row r="163" spans="2:8">
      <c r="C163" s="190" t="s">
        <v>80</v>
      </c>
      <c r="D163" s="130"/>
      <c r="E163" s="10">
        <f>E11/E160*MAX(0,1-E17*E160)</f>
        <v>1004441.2900867612</v>
      </c>
    </row>
    <row r="164" spans="2:8">
      <c r="C164" s="103"/>
      <c r="D164" s="130"/>
    </row>
    <row r="165" spans="2:8" s="285" customFormat="1">
      <c r="C165" s="303" t="s">
        <v>359</v>
      </c>
      <c r="D165" s="290"/>
    </row>
    <row r="166" spans="2:8">
      <c r="C166" s="190" t="s">
        <v>81</v>
      </c>
      <c r="D166" s="130"/>
      <c r="E166" s="13">
        <f>E20+E163</f>
        <v>1560707.7815821774</v>
      </c>
    </row>
    <row r="167" spans="2:8">
      <c r="C167" s="103"/>
      <c r="D167" s="130"/>
      <c r="H167"/>
    </row>
    <row r="168" spans="2:8" s="285" customFormat="1">
      <c r="C168" s="304" t="s">
        <v>360</v>
      </c>
      <c r="D168" s="290"/>
    </row>
    <row r="169" spans="2:8">
      <c r="C169" s="190" t="s">
        <v>83</v>
      </c>
      <c r="D169" s="130"/>
      <c r="E169" s="101">
        <f>CPE.cost.for.the.operator*E166</f>
        <v>780353890.7910887</v>
      </c>
      <c r="G169" s="486">
        <f>E169/$E$188</f>
        <v>2.294468922025901E-2</v>
      </c>
      <c r="H169"/>
    </row>
    <row r="170" spans="2:8" customFormat="1"/>
    <row r="171" spans="2:8" s="285" customFormat="1"/>
    <row r="172" spans="2:8" s="326" customFormat="1">
      <c r="B172" s="336" t="s">
        <v>483</v>
      </c>
    </row>
    <row r="173" spans="2:8" s="326" customFormat="1">
      <c r="B173" s="157" t="s">
        <v>482</v>
      </c>
      <c r="E173" s="337">
        <f>Retail.profit</f>
        <v>0.1</v>
      </c>
      <c r="G173" s="486">
        <f>SUM(G74:G169)*E173</f>
        <v>2.025906295139689E-2</v>
      </c>
    </row>
    <row r="174" spans="2:8" s="326" customFormat="1"/>
    <row r="175" spans="2:8" s="326" customFormat="1">
      <c r="B175" s="336" t="s">
        <v>764</v>
      </c>
    </row>
    <row r="176" spans="2:8" s="326" customFormat="1">
      <c r="B176" s="157" t="s">
        <v>765</v>
      </c>
    </row>
    <row r="177" spans="2:13" s="326" customFormat="1"/>
    <row r="178" spans="2:13" s="326" customFormat="1">
      <c r="C178" s="326" t="s">
        <v>766</v>
      </c>
    </row>
    <row r="179" spans="2:13" s="326" customFormat="1">
      <c r="C179" s="326" t="s">
        <v>767</v>
      </c>
      <c r="E179" s="101">
        <f>E59-E61</f>
        <v>12626664026.604206</v>
      </c>
      <c r="G179"/>
    </row>
    <row r="180" spans="2:13" s="326" customFormat="1">
      <c r="G180"/>
    </row>
    <row r="181" spans="2:13" s="285" customFormat="1">
      <c r="B181" s="306" t="s">
        <v>341</v>
      </c>
      <c r="G181"/>
    </row>
    <row r="182" spans="2:13">
      <c r="B182" s="157" t="s">
        <v>208</v>
      </c>
      <c r="E182" s="60">
        <f>(E74+E84+E96+E108+E139+E153+E169)*(1+E173)+E179</f>
        <v>20205830730.827827</v>
      </c>
      <c r="G182"/>
    </row>
    <row r="185" spans="2:13" s="305" customFormat="1">
      <c r="B185" s="306" t="s">
        <v>342</v>
      </c>
    </row>
    <row r="186" spans="2:13">
      <c r="B186" s="157" t="s">
        <v>188</v>
      </c>
    </row>
    <row r="187" spans="2:13" s="326" customFormat="1">
      <c r="B187" s="157"/>
      <c r="C187" s="326" t="s">
        <v>343</v>
      </c>
      <c r="D187" s="324" t="s">
        <v>759</v>
      </c>
    </row>
    <row r="188" spans="2:13" s="326" customFormat="1">
      <c r="B188" s="157"/>
      <c r="C188" s="142" t="s">
        <v>189</v>
      </c>
      <c r="D188" s="190" t="s">
        <v>760</v>
      </c>
      <c r="E188" s="331">
        <f>E59</f>
        <v>34010218369.054016</v>
      </c>
      <c r="F188" s="338" t="s">
        <v>522</v>
      </c>
    </row>
    <row r="189" spans="2:13" s="305" customFormat="1">
      <c r="B189" s="306"/>
      <c r="C189" s="309" t="s">
        <v>344</v>
      </c>
      <c r="E189"/>
      <c r="J189"/>
      <c r="K189"/>
      <c r="L189"/>
      <c r="M189"/>
    </row>
    <row r="190" spans="2:13">
      <c r="C190" s="142" t="s">
        <v>208</v>
      </c>
      <c r="D190" s="109"/>
      <c r="E190" s="12">
        <f>E182</f>
        <v>20205830730.827827</v>
      </c>
      <c r="J190"/>
      <c r="K190"/>
      <c r="L190"/>
      <c r="M190"/>
    </row>
    <row r="191" spans="2:13" s="305" customFormat="1">
      <c r="C191" s="305" t="s">
        <v>345</v>
      </c>
      <c r="D191" s="309"/>
      <c r="E191"/>
      <c r="G191" s="326"/>
      <c r="J191"/>
      <c r="K191"/>
      <c r="L191"/>
      <c r="M191"/>
    </row>
    <row r="192" spans="2:13">
      <c r="C192" s="142" t="s">
        <v>209</v>
      </c>
      <c r="D192" s="109"/>
      <c r="E192" s="10">
        <f>E188-E190</f>
        <v>13804387638.226189</v>
      </c>
      <c r="G192" s="497">
        <v>21857598000</v>
      </c>
      <c r="H192" s="326"/>
    </row>
    <row r="193" spans="3:8" s="305" customFormat="1">
      <c r="C193" s="308" t="s">
        <v>346</v>
      </c>
      <c r="D193" s="309"/>
      <c r="E193"/>
      <c r="G193"/>
      <c r="H193" s="326"/>
    </row>
    <row r="194" spans="3:8">
      <c r="C194" s="190" t="s">
        <v>347</v>
      </c>
      <c r="E194" s="140">
        <f>E192/G192-1</f>
        <v>-0.36843986067333712</v>
      </c>
    </row>
    <row r="195" spans="3:8" s="305" customFormat="1"/>
    <row r="196" spans="3:8">
      <c r="C196" s="309" t="s">
        <v>188</v>
      </c>
      <c r="E196" s="128">
        <f>E190/E$188</f>
        <v>0.59411058498857405</v>
      </c>
      <c r="F196" s="334" t="s">
        <v>371</v>
      </c>
    </row>
    <row r="197" spans="3:8">
      <c r="C197" s="269" t="s">
        <v>520</v>
      </c>
      <c r="E197" s="349">
        <f>E179/E$188</f>
        <v>0.37126089252320826</v>
      </c>
    </row>
    <row r="198" spans="3:8">
      <c r="C198" s="269" t="s">
        <v>521</v>
      </c>
      <c r="E198" s="349">
        <f>Retail.minus.broadband-E197</f>
        <v>0.22284969246536579</v>
      </c>
      <c r="G198" s="486">
        <f>SUM(G74:G173)</f>
        <v>0.22284969246536579</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208"/>
  <sheetViews>
    <sheetView showGridLines="0" defaultGridColor="0" colorId="22" zoomScaleNormal="100" workbookViewId="0">
      <pane ySplit="1" topLeftCell="A2" activePane="bottomLeft" state="frozen"/>
      <selection activeCell="C114" sqref="C114"/>
      <selection pane="bottomLeft" activeCell="G197" sqref="G197"/>
    </sheetView>
  </sheetViews>
  <sheetFormatPr baseColWidth="10" defaultColWidth="12.7109375" defaultRowHeight="12"/>
  <cols>
    <col min="1" max="1" width="6.7109375" style="105" customWidth="1"/>
    <col min="2" max="2" width="12.7109375" style="105"/>
    <col min="3" max="3" width="22.42578125" style="105" customWidth="1"/>
    <col min="4" max="5" width="14" style="105" bestFit="1" customWidth="1"/>
    <col min="6" max="6" width="12.7109375" style="105"/>
    <col min="7" max="7" width="14" style="105" customWidth="1"/>
    <col min="8" max="8" width="14" style="105" bestFit="1" customWidth="1"/>
    <col min="9" max="16384" width="12.7109375" style="105"/>
  </cols>
  <sheetData>
    <row r="1" spans="2:12" s="106" customFormat="1" ht="33.75" customHeight="1">
      <c r="D1" s="108" t="s">
        <v>225</v>
      </c>
      <c r="L1" s="106" t="s">
        <v>20</v>
      </c>
    </row>
    <row r="2" spans="2:12">
      <c r="C2" s="103"/>
    </row>
    <row r="3" spans="2:12" s="305" customFormat="1">
      <c r="C3" s="308"/>
    </row>
    <row r="4" spans="2:12" s="305" customFormat="1">
      <c r="B4" s="306" t="s">
        <v>320</v>
      </c>
      <c r="C4" s="308"/>
      <c r="D4" s="308"/>
    </row>
    <row r="5" spans="2:12">
      <c r="B5" s="157" t="s">
        <v>21</v>
      </c>
      <c r="C5" s="308"/>
      <c r="D5" s="308"/>
    </row>
    <row r="6" spans="2:12" s="305" customFormat="1">
      <c r="C6" s="307" t="s">
        <v>10</v>
      </c>
    </row>
    <row r="7" spans="2:12">
      <c r="B7" s="306"/>
      <c r="C7" s="190" t="s">
        <v>10</v>
      </c>
      <c r="D7" s="308"/>
    </row>
    <row r="8" spans="2:12" s="305" customFormat="1">
      <c r="B8" s="306"/>
      <c r="C8" s="190"/>
      <c r="D8" s="308" t="s">
        <v>229</v>
      </c>
    </row>
    <row r="9" spans="2:12">
      <c r="B9" s="305"/>
      <c r="C9" s="305"/>
      <c r="D9" s="190" t="s">
        <v>71</v>
      </c>
      <c r="E9" s="12">
        <f>Telmex.PSTN.lines.year.selected</f>
        <v>13556542.999999998</v>
      </c>
      <c r="G9"/>
    </row>
    <row r="10" spans="2:12" s="305" customFormat="1">
      <c r="D10" s="308" t="s">
        <v>321</v>
      </c>
      <c r="E10"/>
    </row>
    <row r="11" spans="2:12">
      <c r="B11" s="305"/>
      <c r="C11" s="305"/>
      <c r="D11" s="190" t="s">
        <v>75</v>
      </c>
      <c r="E11" s="331">
        <f>Telmex.PSTN.lines.year.selected.minus.1</f>
        <v>14238223.999999998</v>
      </c>
    </row>
    <row r="12" spans="2:12">
      <c r="B12" s="305"/>
      <c r="C12" s="305"/>
      <c r="D12" s="308"/>
    </row>
    <row r="13" spans="2:12" s="305" customFormat="1">
      <c r="D13" s="308" t="s">
        <v>322</v>
      </c>
    </row>
    <row r="14" spans="2:12">
      <c r="B14" s="305"/>
      <c r="C14" s="305"/>
      <c r="D14" s="190" t="s">
        <v>76</v>
      </c>
      <c r="E14" s="10">
        <f>E9-E11</f>
        <v>-681681</v>
      </c>
    </row>
    <row r="15" spans="2:12">
      <c r="B15" s="305"/>
      <c r="C15" s="305"/>
      <c r="D15" s="308"/>
    </row>
    <row r="16" spans="2:12" s="305" customFormat="1">
      <c r="D16" s="308" t="s">
        <v>351</v>
      </c>
    </row>
    <row r="17" spans="2:5">
      <c r="B17" s="305"/>
      <c r="C17" s="305"/>
      <c r="D17" s="190" t="s">
        <v>47</v>
      </c>
      <c r="E17" s="123">
        <f>Line.rental.churn</f>
        <v>8.3000000000000004E-2</v>
      </c>
    </row>
    <row r="18" spans="2:5">
      <c r="B18" s="305"/>
      <c r="C18" s="305"/>
      <c r="D18" s="308"/>
    </row>
    <row r="19" spans="2:5" s="305" customFormat="1">
      <c r="D19" s="308" t="s">
        <v>323</v>
      </c>
    </row>
    <row r="20" spans="2:5">
      <c r="B20" s="305"/>
      <c r="C20" s="305"/>
      <c r="D20" s="190" t="s">
        <v>79</v>
      </c>
      <c r="E20" s="10">
        <f>E11*E17+E14</f>
        <v>500091.59199999995</v>
      </c>
    </row>
    <row r="21" spans="2:5">
      <c r="B21" s="305"/>
      <c r="C21" s="308"/>
      <c r="D21" s="308"/>
    </row>
    <row r="22" spans="2:5" s="305" customFormat="1">
      <c r="C22" s="308" t="s">
        <v>693</v>
      </c>
      <c r="D22" s="308"/>
    </row>
    <row r="23" spans="2:5">
      <c r="B23" s="305"/>
      <c r="C23" s="190" t="s">
        <v>694</v>
      </c>
      <c r="D23" s="308"/>
    </row>
    <row r="24" spans="2:5" s="305" customFormat="1">
      <c r="C24" s="190"/>
      <c r="D24" s="308" t="s">
        <v>229</v>
      </c>
    </row>
    <row r="25" spans="2:5">
      <c r="B25" s="305"/>
      <c r="C25" s="305"/>
      <c r="D25" s="190" t="s">
        <v>71</v>
      </c>
      <c r="E25" s="12">
        <f>Telmex.PSTN.residential.lines.voice.only.year.selected</f>
        <v>2791101.2</v>
      </c>
    </row>
    <row r="26" spans="2:5" s="305" customFormat="1">
      <c r="D26" s="308" t="s">
        <v>321</v>
      </c>
      <c r="E26"/>
    </row>
    <row r="27" spans="2:5">
      <c r="B27" s="305"/>
      <c r="C27" s="305"/>
      <c r="D27" s="190" t="s">
        <v>75</v>
      </c>
      <c r="E27" s="331">
        <f>Telmex.PSTN.residential.lines.voice.only.year.selected.minus.1</f>
        <v>2864244.1694066273</v>
      </c>
    </row>
    <row r="28" spans="2:5">
      <c r="B28" s="305"/>
      <c r="C28" s="305"/>
      <c r="D28" s="308"/>
    </row>
    <row r="29" spans="2:5" s="305" customFormat="1">
      <c r="D29" s="308" t="s">
        <v>322</v>
      </c>
    </row>
    <row r="30" spans="2:5">
      <c r="B30" s="305"/>
      <c r="C30" s="305"/>
      <c r="D30" s="190" t="s">
        <v>76</v>
      </c>
      <c r="E30" s="10">
        <f>E25-E27</f>
        <v>-73142.969406627119</v>
      </c>
    </row>
    <row r="31" spans="2:5">
      <c r="B31" s="305"/>
      <c r="C31" s="305"/>
      <c r="D31" s="308"/>
    </row>
    <row r="32" spans="2:5" s="305" customFormat="1">
      <c r="D32" s="308" t="s">
        <v>351</v>
      </c>
    </row>
    <row r="33" spans="2:5">
      <c r="B33" s="305"/>
      <c r="C33" s="305"/>
      <c r="D33" s="190" t="s">
        <v>47</v>
      </c>
      <c r="E33" s="123">
        <f>Line.rental.churn</f>
        <v>8.3000000000000004E-2</v>
      </c>
    </row>
    <row r="34" spans="2:5">
      <c r="B34" s="305"/>
      <c r="C34" s="305"/>
      <c r="D34" s="308"/>
    </row>
    <row r="35" spans="2:5" s="305" customFormat="1">
      <c r="D35" s="308" t="s">
        <v>323</v>
      </c>
    </row>
    <row r="36" spans="2:5">
      <c r="B36" s="305"/>
      <c r="C36" s="305"/>
      <c r="D36" s="190" t="s">
        <v>79</v>
      </c>
      <c r="E36" s="10">
        <f>E27*E33+E30</f>
        <v>164589.29665412297</v>
      </c>
    </row>
    <row r="37" spans="2:5">
      <c r="B37" s="305"/>
      <c r="C37" s="308"/>
      <c r="D37" s="308"/>
    </row>
    <row r="38" spans="2:5" s="305" customFormat="1">
      <c r="C38" s="308" t="s">
        <v>695</v>
      </c>
      <c r="D38" s="308"/>
    </row>
    <row r="39" spans="2:5">
      <c r="B39" s="305"/>
      <c r="C39" s="190" t="s">
        <v>696</v>
      </c>
      <c r="D39" s="308"/>
    </row>
    <row r="40" spans="2:5" s="305" customFormat="1">
      <c r="C40" s="190"/>
      <c r="D40" s="308" t="s">
        <v>229</v>
      </c>
    </row>
    <row r="41" spans="2:5">
      <c r="B41" s="305"/>
      <c r="C41" s="305"/>
      <c r="D41" s="190" t="s">
        <v>71</v>
      </c>
      <c r="E41" s="12">
        <f>Telmex.PSTN.non.residential.lines.voice.only..year.selected</f>
        <v>4186651.8</v>
      </c>
    </row>
    <row r="42" spans="2:5" s="305" customFormat="1">
      <c r="D42" s="308" t="s">
        <v>321</v>
      </c>
      <c r="E42"/>
    </row>
    <row r="43" spans="2:5">
      <c r="B43" s="305"/>
      <c r="C43" s="305"/>
      <c r="D43" s="190" t="s">
        <v>75</v>
      </c>
      <c r="E43" s="12">
        <f>Telmex.PSTN.non.residential.lines.voice.only..year.selected.minus.1</f>
        <v>4296366.2541099414</v>
      </c>
    </row>
    <row r="44" spans="2:5">
      <c r="B44" s="305"/>
      <c r="C44" s="305"/>
      <c r="D44" s="308"/>
    </row>
    <row r="45" spans="2:5" s="305" customFormat="1">
      <c r="D45" s="308" t="s">
        <v>322</v>
      </c>
    </row>
    <row r="46" spans="2:5">
      <c r="B46" s="305"/>
      <c r="C46" s="305"/>
      <c r="D46" s="190" t="s">
        <v>76</v>
      </c>
      <c r="E46" s="10">
        <f>E41-E43</f>
        <v>-109714.45410994161</v>
      </c>
    </row>
    <row r="47" spans="2:5">
      <c r="B47" s="305"/>
      <c r="C47" s="305"/>
      <c r="D47" s="308"/>
    </row>
    <row r="48" spans="2:5" s="305" customFormat="1">
      <c r="D48" s="308" t="s">
        <v>351</v>
      </c>
    </row>
    <row r="49" spans="2:5">
      <c r="B49" s="305"/>
      <c r="C49" s="305"/>
      <c r="D49" s="190" t="s">
        <v>47</v>
      </c>
      <c r="E49" s="123">
        <f>Line.rental.churn</f>
        <v>8.3000000000000004E-2</v>
      </c>
    </row>
    <row r="50" spans="2:5">
      <c r="B50" s="305"/>
      <c r="C50" s="305"/>
      <c r="D50" s="308"/>
    </row>
    <row r="51" spans="2:5" s="305" customFormat="1">
      <c r="D51" s="308" t="s">
        <v>323</v>
      </c>
    </row>
    <row r="52" spans="2:5">
      <c r="B52" s="305"/>
      <c r="C52" s="305"/>
      <c r="D52" s="190" t="s">
        <v>79</v>
      </c>
      <c r="E52" s="10">
        <f>E43*E49+E46</f>
        <v>246883.94498118357</v>
      </c>
    </row>
    <row r="53" spans="2:5">
      <c r="C53" s="103"/>
    </row>
    <row r="54" spans="2:5" s="305" customFormat="1">
      <c r="C54" s="308" t="s">
        <v>323</v>
      </c>
    </row>
    <row r="55" spans="2:5">
      <c r="C55" s="190" t="s">
        <v>79</v>
      </c>
    </row>
    <row r="56" spans="2:5" s="305" customFormat="1">
      <c r="C56" s="308"/>
      <c r="D56" s="310" t="s">
        <v>254</v>
      </c>
    </row>
    <row r="57" spans="2:5">
      <c r="C57" s="103"/>
      <c r="D57" s="142" t="s">
        <v>141</v>
      </c>
      <c r="E57" s="12">
        <f>E36</f>
        <v>164589.29665412297</v>
      </c>
    </row>
    <row r="58" spans="2:5" s="305" customFormat="1">
      <c r="C58" s="308"/>
      <c r="D58" s="311" t="s">
        <v>350</v>
      </c>
      <c r="E58"/>
    </row>
    <row r="59" spans="2:5">
      <c r="C59" s="103"/>
      <c r="D59" s="142" t="s">
        <v>161</v>
      </c>
      <c r="E59" s="12">
        <f>E52</f>
        <v>246883.94498118357</v>
      </c>
    </row>
    <row r="60" spans="2:5">
      <c r="C60" s="103"/>
    </row>
    <row r="61" spans="2:5" s="305" customFormat="1">
      <c r="C61" s="312" t="s">
        <v>361</v>
      </c>
    </row>
    <row r="62" spans="2:5">
      <c r="C62" s="190" t="s">
        <v>172</v>
      </c>
    </row>
    <row r="63" spans="2:5" s="305" customFormat="1">
      <c r="C63" s="308"/>
      <c r="D63" s="311" t="s">
        <v>254</v>
      </c>
    </row>
    <row r="64" spans="2:5">
      <c r="C64" s="103"/>
      <c r="D64" s="142" t="s">
        <v>141</v>
      </c>
      <c r="E64" s="10">
        <f>AVERAGE(E25:E27)</f>
        <v>2827672.6847033137</v>
      </c>
    </row>
    <row r="65" spans="3:5">
      <c r="C65" s="103"/>
      <c r="D65" s="142" t="s">
        <v>161</v>
      </c>
      <c r="E65" s="10">
        <f>AVERAGE(E41:E43)</f>
        <v>4241509.0270549711</v>
      </c>
    </row>
    <row r="66" spans="3:5">
      <c r="C66" s="103"/>
      <c r="D66" s="311" t="s">
        <v>350</v>
      </c>
    </row>
    <row r="67" spans="3:5">
      <c r="C67" s="103"/>
    </row>
    <row r="68" spans="3:5" s="305" customFormat="1">
      <c r="C68" s="313" t="s">
        <v>362</v>
      </c>
    </row>
    <row r="69" spans="3:5">
      <c r="C69" s="190" t="s">
        <v>201</v>
      </c>
    </row>
    <row r="70" spans="3:5" s="305" customFormat="1">
      <c r="C70" s="308"/>
      <c r="D70" s="311" t="s">
        <v>254</v>
      </c>
    </row>
    <row r="71" spans="3:5">
      <c r="C71" s="130"/>
      <c r="D71" s="142" t="s">
        <v>141</v>
      </c>
      <c r="E71" s="12">
        <f>Broadband.gross.adds.residential.with.line.rental</f>
        <v>283695.91066266259</v>
      </c>
    </row>
    <row r="72" spans="3:5" s="305" customFormat="1">
      <c r="C72" s="308"/>
      <c r="D72" s="311" t="s">
        <v>350</v>
      </c>
      <c r="E72"/>
    </row>
    <row r="73" spans="3:5">
      <c r="C73" s="130"/>
      <c r="D73" s="142" t="s">
        <v>161</v>
      </c>
      <c r="E73" s="12">
        <f>Broadband.gross.adds.non.residential</f>
        <v>166879.94744862436</v>
      </c>
    </row>
    <row r="74" spans="3:5">
      <c r="C74" s="130"/>
    </row>
    <row r="75" spans="3:5" s="305" customFormat="1">
      <c r="C75" s="318" t="s">
        <v>363</v>
      </c>
    </row>
    <row r="76" spans="3:5">
      <c r="C76" s="190" t="s">
        <v>207</v>
      </c>
    </row>
    <row r="77" spans="3:5" s="305" customFormat="1">
      <c r="C77" s="308"/>
      <c r="D77" s="311" t="s">
        <v>254</v>
      </c>
    </row>
    <row r="78" spans="3:5">
      <c r="C78" s="130"/>
      <c r="D78" s="142" t="s">
        <v>141</v>
      </c>
      <c r="E78" s="10">
        <f>MAX(E57,E71)</f>
        <v>283695.91066266259</v>
      </c>
    </row>
    <row r="79" spans="3:5">
      <c r="C79" s="130"/>
      <c r="D79" s="142" t="s">
        <v>161</v>
      </c>
      <c r="E79" s="10">
        <f>MAX(E59,E73)</f>
        <v>246883.94498118357</v>
      </c>
    </row>
    <row r="80" spans="3:5">
      <c r="C80" s="130"/>
      <c r="D80" s="311" t="s">
        <v>350</v>
      </c>
    </row>
    <row r="81" spans="2:11">
      <c r="C81" s="130"/>
    </row>
    <row r="82" spans="2:11">
      <c r="C82" s="130"/>
    </row>
    <row r="83" spans="2:11" s="314" customFormat="1">
      <c r="B83" s="316" t="s">
        <v>324</v>
      </c>
      <c r="C83" s="318"/>
    </row>
    <row r="84" spans="2:11">
      <c r="B84" s="157" t="s">
        <v>74</v>
      </c>
      <c r="C84" s="103"/>
    </row>
    <row r="85" spans="2:11" s="314" customFormat="1">
      <c r="C85" s="319" t="s">
        <v>364</v>
      </c>
      <c r="E85"/>
      <c r="G85" s="326"/>
    </row>
    <row r="86" spans="2:11">
      <c r="B86" s="107"/>
      <c r="C86" s="190" t="s">
        <v>143</v>
      </c>
      <c r="E86" s="477">
        <f>SUMPRODUCT(E78:E79,Line.rental.one.time.fee.before.IVA)</f>
        <v>599555236.87754607</v>
      </c>
      <c r="F86"/>
      <c r="G86" s="497">
        <v>703874840</v>
      </c>
      <c r="H86" s="321"/>
    </row>
    <row r="87" spans="2:11" s="314" customFormat="1">
      <c r="B87" s="316"/>
      <c r="C87" s="319" t="s">
        <v>325</v>
      </c>
      <c r="E87" s="326"/>
      <c r="G87"/>
      <c r="H87" s="315"/>
    </row>
    <row r="88" spans="2:11" customFormat="1">
      <c r="C88" s="190" t="s">
        <v>224</v>
      </c>
      <c r="D88" s="134"/>
      <c r="E88" s="140">
        <f>E86/G86-1</f>
        <v>-0.14820760338933825</v>
      </c>
    </row>
    <row r="89" spans="2:11" s="326" customFormat="1">
      <c r="C89" s="190"/>
      <c r="D89"/>
      <c r="E89"/>
      <c r="F89"/>
    </row>
    <row r="90" spans="2:11" s="326" customFormat="1">
      <c r="C90" s="324" t="s">
        <v>365</v>
      </c>
      <c r="D90" s="324" t="s">
        <v>759</v>
      </c>
      <c r="E90"/>
      <c r="F90"/>
    </row>
    <row r="91" spans="2:11" s="326" customFormat="1">
      <c r="C91" s="190" t="s">
        <v>144</v>
      </c>
      <c r="D91" s="190" t="s">
        <v>760</v>
      </c>
      <c r="E91" s="350">
        <f t="array" ref="E91">(SUMPRODUCT(E64:E65,Line.rental.monthly.fee.before.IVA)+SUMPRODUCT(Telmex.DSL.subs.by.plan.year.selected.average,TRANSPOSE(Line.rental.prices.within.plans.before.discount)))*12</f>
        <v>29603826740.533916</v>
      </c>
      <c r="F91"/>
    </row>
    <row r="92" spans="2:11" s="326" customFormat="1">
      <c r="C92" s="324" t="s">
        <v>365</v>
      </c>
      <c r="D92" s="324" t="s">
        <v>761</v>
      </c>
      <c r="E92"/>
      <c r="F92"/>
    </row>
    <row r="93" spans="2:11" s="326" customFormat="1">
      <c r="C93" s="190" t="s">
        <v>144</v>
      </c>
      <c r="D93" s="190" t="s">
        <v>762</v>
      </c>
      <c r="E93" s="476">
        <f t="array" ref="E93">(SUMPRODUCT(E64:E65,Line.rental.monthly.fee.before.IVA)+SUMPRODUCT(Telmex.DSL.subs.by.plan.year.selected.average,TRANSPOSE(Line.rental.prices.within.plans)))*12</f>
        <v>22876930664.930405</v>
      </c>
      <c r="G93" s="497">
        <v>24297064110</v>
      </c>
      <c r="H93"/>
    </row>
    <row r="94" spans="2:11" s="326" customFormat="1">
      <c r="C94" s="190"/>
      <c r="D94" s="324"/>
      <c r="F94"/>
      <c r="H94" s="321"/>
    </row>
    <row r="95" spans="2:11" s="314" customFormat="1">
      <c r="B95" s="316"/>
      <c r="C95" s="319" t="s">
        <v>325</v>
      </c>
      <c r="E95"/>
      <c r="K95"/>
    </row>
    <row r="96" spans="2:11">
      <c r="C96" s="190" t="s">
        <v>224</v>
      </c>
      <c r="D96" s="134"/>
      <c r="E96" s="140">
        <f>E93/G93-1</f>
        <v>-5.844876725188819E-2</v>
      </c>
      <c r="F96"/>
      <c r="H96"/>
    </row>
    <row r="97" spans="2:8">
      <c r="C97" s="103"/>
      <c r="E97"/>
      <c r="H97"/>
    </row>
    <row r="98" spans="2:8" s="326" customFormat="1">
      <c r="C98" s="324"/>
      <c r="D98" s="324"/>
      <c r="E98"/>
      <c r="F98"/>
      <c r="G98"/>
      <c r="H98"/>
    </row>
    <row r="99" spans="2:8" s="326" customFormat="1">
      <c r="C99" s="190" t="s">
        <v>10</v>
      </c>
      <c r="D99" s="324"/>
      <c r="E99" s="14">
        <f>E86+E93</f>
        <v>23476485901.807949</v>
      </c>
      <c r="F99"/>
    </row>
    <row r="100" spans="2:8" s="326" customFormat="1">
      <c r="C100" s="190"/>
      <c r="D100" s="324"/>
      <c r="E100"/>
      <c r="F100"/>
    </row>
    <row r="101" spans="2:8" s="320" customFormat="1">
      <c r="C101" s="324"/>
    </row>
    <row r="102" spans="2:8" s="314" customFormat="1">
      <c r="B102" s="322" t="s">
        <v>326</v>
      </c>
      <c r="C102" s="324"/>
    </row>
    <row r="103" spans="2:8">
      <c r="B103" s="157" t="s">
        <v>52</v>
      </c>
      <c r="C103" s="324"/>
      <c r="E103"/>
    </row>
    <row r="104" spans="2:8">
      <c r="B104" s="322"/>
      <c r="C104" s="324"/>
      <c r="E104"/>
    </row>
    <row r="105" spans="2:8" s="314" customFormat="1">
      <c r="B105" s="322"/>
      <c r="C105" s="324" t="s">
        <v>327</v>
      </c>
    </row>
    <row r="106" spans="2:8">
      <c r="B106" s="322"/>
      <c r="C106" s="190" t="s">
        <v>91</v>
      </c>
      <c r="E106" s="91">
        <f>Billing.cost</f>
        <v>0.05</v>
      </c>
    </row>
    <row r="107" spans="2:8">
      <c r="B107" s="322"/>
      <c r="C107" s="324"/>
    </row>
    <row r="108" spans="2:8" s="314" customFormat="1">
      <c r="B108" s="322"/>
      <c r="C108" s="324" t="s">
        <v>328</v>
      </c>
    </row>
    <row r="109" spans="2:8">
      <c r="B109" s="322"/>
      <c r="C109" s="190" t="s">
        <v>89</v>
      </c>
      <c r="E109" s="101">
        <f>$E$99*E106</f>
        <v>1173824295.0903976</v>
      </c>
      <c r="G109" s="486">
        <f>E109/$E$193</f>
        <v>3.8864001917675264E-2</v>
      </c>
    </row>
    <row r="110" spans="2:8">
      <c r="B110" s="320"/>
      <c r="C110" s="324"/>
    </row>
    <row r="111" spans="2:8">
      <c r="B111" s="320"/>
      <c r="C111" s="324"/>
    </row>
    <row r="112" spans="2:8" s="314" customFormat="1">
      <c r="B112" s="322" t="s">
        <v>298</v>
      </c>
      <c r="C112" s="324"/>
    </row>
    <row r="113" spans="2:7">
      <c r="B113" s="157" t="s">
        <v>53</v>
      </c>
      <c r="C113" s="324"/>
    </row>
    <row r="114" spans="2:7">
      <c r="B114" s="320"/>
      <c r="C114" s="324"/>
    </row>
    <row r="115" spans="2:7" s="314" customFormat="1">
      <c r="B115" s="320"/>
      <c r="C115" s="324" t="s">
        <v>329</v>
      </c>
    </row>
    <row r="116" spans="2:7">
      <c r="B116" s="320"/>
      <c r="C116" s="190" t="s">
        <v>90</v>
      </c>
      <c r="E116" s="91">
        <f>Bad.debt.cost</f>
        <v>0.02</v>
      </c>
    </row>
    <row r="117" spans="2:7">
      <c r="B117" s="320"/>
      <c r="C117" s="324"/>
    </row>
    <row r="118" spans="2:7" s="314" customFormat="1">
      <c r="B118" s="320"/>
      <c r="C118" s="324" t="s">
        <v>328</v>
      </c>
    </row>
    <row r="119" spans="2:7">
      <c r="B119" s="320"/>
      <c r="C119" s="190" t="s">
        <v>89</v>
      </c>
      <c r="E119" s="101">
        <f>$E$99*E116</f>
        <v>469529718.03615898</v>
      </c>
      <c r="G119" s="486">
        <f>E119/$E$193</f>
        <v>1.5545600767070105E-2</v>
      </c>
    </row>
    <row r="120" spans="2:7">
      <c r="C120" s="103"/>
    </row>
    <row r="121" spans="2:7">
      <c r="C121" s="103"/>
    </row>
    <row r="122" spans="2:7" s="314" customFormat="1">
      <c r="B122" s="322" t="s">
        <v>330</v>
      </c>
      <c r="C122" s="324"/>
    </row>
    <row r="123" spans="2:7">
      <c r="B123" s="157" t="s">
        <v>54</v>
      </c>
      <c r="C123" s="324"/>
    </row>
    <row r="124" spans="2:7">
      <c r="B124" s="320"/>
      <c r="C124" s="324"/>
    </row>
    <row r="125" spans="2:7" s="314" customFormat="1">
      <c r="B125" s="320"/>
      <c r="C125" s="324" t="s">
        <v>367</v>
      </c>
    </row>
    <row r="126" spans="2:7">
      <c r="B126" s="320"/>
      <c r="C126" s="190" t="s">
        <v>55</v>
      </c>
      <c r="E126" s="95">
        <f>Marketing.and.sales.per.gross.add.line.rental</f>
        <v>0</v>
      </c>
    </row>
    <row r="127" spans="2:7" s="314" customFormat="1">
      <c r="B127" s="320"/>
      <c r="C127" s="323" t="s">
        <v>368</v>
      </c>
      <c r="E127" s="317"/>
    </row>
    <row r="128" spans="2:7">
      <c r="B128" s="320"/>
      <c r="C128" s="190" t="s">
        <v>86</v>
      </c>
      <c r="E128" s="91">
        <f>Marketing.and.sales.minimum.proportion.line.rental</f>
        <v>0</v>
      </c>
    </row>
    <row r="129" spans="2:7">
      <c r="B129" s="320"/>
      <c r="C129" s="324"/>
    </row>
    <row r="130" spans="2:7" s="314" customFormat="1">
      <c r="B130" s="320"/>
      <c r="C130" s="324" t="s">
        <v>366</v>
      </c>
    </row>
    <row r="131" spans="2:7">
      <c r="B131" s="320"/>
      <c r="C131" s="190" t="s">
        <v>92</v>
      </c>
      <c r="E131" s="101">
        <f>MAX(E20*E126,E99*E128)</f>
        <v>0</v>
      </c>
      <c r="G131" s="486">
        <f>E131/$E$193</f>
        <v>0</v>
      </c>
    </row>
    <row r="132" spans="2:7">
      <c r="C132" s="103"/>
    </row>
    <row r="133" spans="2:7">
      <c r="C133" s="103"/>
    </row>
    <row r="134" spans="2:7" s="314" customFormat="1">
      <c r="B134" s="322" t="s">
        <v>306</v>
      </c>
      <c r="C134" s="324"/>
    </row>
    <row r="135" spans="2:7">
      <c r="B135" s="157" t="s">
        <v>56</v>
      </c>
      <c r="C135" s="320"/>
    </row>
    <row r="136" spans="2:7">
      <c r="B136" s="320"/>
      <c r="C136" s="320"/>
    </row>
    <row r="137" spans="2:7" s="314" customFormat="1">
      <c r="B137" s="320"/>
      <c r="C137" s="320" t="s">
        <v>304</v>
      </c>
    </row>
    <row r="138" spans="2:7">
      <c r="B138" s="320"/>
      <c r="C138" s="142" t="s">
        <v>87</v>
      </c>
      <c r="E138" s="95">
        <f>Customer.care.line.rental.per.staff</f>
        <v>4000</v>
      </c>
    </row>
    <row r="139" spans="2:7" s="314" customFormat="1">
      <c r="B139" s="320"/>
      <c r="C139" s="320" t="s">
        <v>331</v>
      </c>
      <c r="E139"/>
    </row>
    <row r="140" spans="2:7">
      <c r="B140" s="320"/>
      <c r="C140" s="142" t="s">
        <v>88</v>
      </c>
      <c r="E140" s="95">
        <f>Monthly.cost.per.staff</f>
        <v>12000</v>
      </c>
    </row>
    <row r="141" spans="2:7">
      <c r="B141" s="320"/>
      <c r="C141" s="320"/>
    </row>
    <row r="142" spans="2:7" s="314" customFormat="1">
      <c r="B142" s="320"/>
      <c r="C142" s="325" t="s">
        <v>332</v>
      </c>
    </row>
    <row r="143" spans="2:7">
      <c r="B143" s="320"/>
      <c r="C143" s="142" t="s">
        <v>94</v>
      </c>
      <c r="E143" s="101">
        <f>AVERAGE(E9:E11)/E138*E140*12</f>
        <v>500305805.99999988</v>
      </c>
      <c r="G143" s="486">
        <f>E143/$E$193</f>
        <v>1.656456241801561E-2</v>
      </c>
    </row>
    <row r="144" spans="2:7">
      <c r="B144" s="320"/>
      <c r="C144" s="320"/>
    </row>
    <row r="145" spans="2:5">
      <c r="B145" s="320"/>
      <c r="C145" s="320"/>
    </row>
    <row r="146" spans="2:5" s="314" customFormat="1">
      <c r="B146" s="322" t="s">
        <v>333</v>
      </c>
      <c r="C146" s="320"/>
    </row>
    <row r="147" spans="2:5">
      <c r="B147" s="157" t="s">
        <v>57</v>
      </c>
      <c r="C147" s="320"/>
    </row>
    <row r="148" spans="2:5">
      <c r="B148" s="320"/>
      <c r="C148" s="320"/>
    </row>
    <row r="149" spans="2:5" s="314" customFormat="1">
      <c r="B149" s="320"/>
      <c r="C149" s="325" t="s">
        <v>334</v>
      </c>
    </row>
    <row r="150" spans="2:5">
      <c r="B150" s="320"/>
      <c r="C150" s="142" t="s">
        <v>99</v>
      </c>
      <c r="E150" s="10">
        <f>AVERAGE(E9:E11)/E138</f>
        <v>3474.3458749999995</v>
      </c>
    </row>
    <row r="151" spans="2:5">
      <c r="B151" s="320"/>
      <c r="C151" s="320"/>
    </row>
    <row r="152" spans="2:5" s="314" customFormat="1">
      <c r="B152" s="320"/>
      <c r="C152" s="320" t="s">
        <v>310</v>
      </c>
    </row>
    <row r="153" spans="2:5">
      <c r="B153" s="320"/>
      <c r="C153" s="142" t="s">
        <v>98</v>
      </c>
      <c r="E153" s="93">
        <f>Admin.staff.per.customer.care.staff</f>
        <v>0.1</v>
      </c>
    </row>
    <row r="154" spans="2:5" s="314" customFormat="1">
      <c r="B154" s="320"/>
      <c r="C154" s="320" t="s">
        <v>335</v>
      </c>
      <c r="E154"/>
    </row>
    <row r="155" spans="2:5">
      <c r="B155" s="320"/>
      <c r="C155" s="142" t="s">
        <v>101</v>
      </c>
      <c r="E155" s="10">
        <f>E150*E153</f>
        <v>347.43458749999996</v>
      </c>
    </row>
    <row r="156" spans="2:5">
      <c r="B156" s="320"/>
      <c r="C156" s="320"/>
    </row>
    <row r="157" spans="2:5" s="314" customFormat="1">
      <c r="B157" s="320"/>
      <c r="C157" s="320" t="s">
        <v>336</v>
      </c>
    </row>
    <row r="158" spans="2:5">
      <c r="B158" s="320"/>
      <c r="C158" s="142" t="s">
        <v>102</v>
      </c>
      <c r="E158" s="96">
        <f>E150+E155</f>
        <v>3821.7804624999994</v>
      </c>
    </row>
    <row r="159" spans="2:5">
      <c r="B159" s="320"/>
      <c r="C159" s="320"/>
    </row>
    <row r="160" spans="2:5" s="314" customFormat="1">
      <c r="B160" s="320"/>
      <c r="C160" s="320" t="s">
        <v>337</v>
      </c>
    </row>
    <row r="161" spans="2:7">
      <c r="B161" s="320"/>
      <c r="C161" s="142" t="s">
        <v>58</v>
      </c>
    </row>
    <row r="162" spans="2:7" s="314" customFormat="1">
      <c r="B162" s="320"/>
      <c r="C162" s="149" t="s">
        <v>338</v>
      </c>
    </row>
    <row r="163" spans="2:7">
      <c r="B163" s="320"/>
      <c r="C163" s="146" t="s">
        <v>59</v>
      </c>
      <c r="E163" s="12">
        <f>Floorspace.per.staff</f>
        <v>10</v>
      </c>
    </row>
    <row r="164" spans="2:7" s="314" customFormat="1">
      <c r="B164" s="320"/>
      <c r="C164" s="149" t="s">
        <v>339</v>
      </c>
      <c r="E164"/>
    </row>
    <row r="165" spans="2:7">
      <c r="B165" s="320"/>
      <c r="C165" s="146" t="s">
        <v>60</v>
      </c>
      <c r="E165" s="12">
        <f>Rent.per.sqm</f>
        <v>276.491985</v>
      </c>
    </row>
    <row r="166" spans="2:7">
      <c r="B166" s="320"/>
      <c r="C166" s="325"/>
    </row>
    <row r="167" spans="2:7" s="314" customFormat="1">
      <c r="B167" s="320"/>
      <c r="C167" s="325" t="s">
        <v>337</v>
      </c>
    </row>
    <row r="168" spans="2:7">
      <c r="B168" s="320"/>
      <c r="C168" s="142" t="s">
        <v>58</v>
      </c>
      <c r="E168" s="13">
        <f>E158*E163*E165*12</f>
        <v>126802999.95730114</v>
      </c>
    </row>
    <row r="169" spans="2:7">
      <c r="B169" s="320"/>
      <c r="C169" s="320"/>
    </row>
    <row r="170" spans="2:7" s="314" customFormat="1">
      <c r="B170" s="320"/>
      <c r="C170" s="320" t="s">
        <v>340</v>
      </c>
    </row>
    <row r="171" spans="2:7">
      <c r="B171" s="320"/>
      <c r="C171" s="142" t="s">
        <v>95</v>
      </c>
      <c r="E171" s="102">
        <f>Admin.costs</f>
        <v>0.02</v>
      </c>
    </row>
    <row r="172" spans="2:7">
      <c r="B172" s="320"/>
      <c r="C172" s="320"/>
    </row>
    <row r="173" spans="2:7" s="314" customFormat="1">
      <c r="B173" s="320"/>
      <c r="C173" s="325" t="s">
        <v>333</v>
      </c>
    </row>
    <row r="174" spans="2:7">
      <c r="B174" s="320"/>
      <c r="C174" s="142" t="s">
        <v>57</v>
      </c>
      <c r="E174" s="101">
        <f>E168+E99*E171</f>
        <v>596332717.99346018</v>
      </c>
      <c r="G174" s="486">
        <f>E174/$E$193</f>
        <v>1.9743905448715848E-2</v>
      </c>
    </row>
    <row r="177" spans="2:7" s="326" customFormat="1">
      <c r="B177" s="336" t="s">
        <v>483</v>
      </c>
    </row>
    <row r="178" spans="2:7" s="326" customFormat="1">
      <c r="B178" s="157" t="s">
        <v>482</v>
      </c>
      <c r="E178" s="337">
        <f>Retail.profit</f>
        <v>0.1</v>
      </c>
      <c r="G178" s="486">
        <f>SUM(G109:G174)*E178</f>
        <v>9.0718070551476845E-3</v>
      </c>
    </row>
    <row r="179" spans="2:7" s="326" customFormat="1"/>
    <row r="180" spans="2:7" s="326" customFormat="1">
      <c r="B180" s="336" t="s">
        <v>764</v>
      </c>
    </row>
    <row r="181" spans="2:7" s="326" customFormat="1">
      <c r="B181" s="157" t="s">
        <v>765</v>
      </c>
    </row>
    <row r="182" spans="2:7" s="326" customFormat="1"/>
    <row r="183" spans="2:7" s="326" customFormat="1">
      <c r="C183" s="326" t="s">
        <v>766</v>
      </c>
    </row>
    <row r="184" spans="2:7" s="326" customFormat="1">
      <c r="C184" s="326" t="s">
        <v>767</v>
      </c>
      <c r="E184" s="101">
        <f>E91-E93</f>
        <v>6726896075.6035118</v>
      </c>
      <c r="G184"/>
    </row>
    <row r="185" spans="2:7" s="326" customFormat="1"/>
    <row r="186" spans="2:7" s="314" customFormat="1">
      <c r="B186" s="322" t="s">
        <v>341</v>
      </c>
    </row>
    <row r="187" spans="2:7">
      <c r="B187" s="157" t="s">
        <v>208</v>
      </c>
      <c r="E187" s="60">
        <f>(E109+E119+E131+E143+E174)*(1+E178)+E184</f>
        <v>9740887866.4355297</v>
      </c>
      <c r="G187"/>
    </row>
    <row r="190" spans="2:7" s="314" customFormat="1">
      <c r="B190" s="322" t="s">
        <v>342</v>
      </c>
      <c r="C190" s="320"/>
    </row>
    <row r="191" spans="2:7">
      <c r="B191" s="157" t="s">
        <v>188</v>
      </c>
      <c r="C191" s="320"/>
    </row>
    <row r="192" spans="2:7" s="314" customFormat="1">
      <c r="B192" s="322"/>
      <c r="C192" s="320" t="s">
        <v>343</v>
      </c>
      <c r="D192" s="324" t="s">
        <v>759</v>
      </c>
    </row>
    <row r="193" spans="2:10">
      <c r="B193" s="320"/>
      <c r="C193" s="142" t="s">
        <v>189</v>
      </c>
      <c r="D193" s="190" t="s">
        <v>760</v>
      </c>
      <c r="E193" s="12">
        <f>E91+E86</f>
        <v>30203381977.411461</v>
      </c>
      <c r="F193" s="338" t="s">
        <v>522</v>
      </c>
    </row>
    <row r="194" spans="2:10" s="314" customFormat="1">
      <c r="B194" s="320"/>
      <c r="C194" s="325" t="s">
        <v>344</v>
      </c>
      <c r="E194"/>
    </row>
    <row r="195" spans="2:10">
      <c r="B195" s="320"/>
      <c r="C195" s="142" t="s">
        <v>208</v>
      </c>
      <c r="E195" s="12">
        <f>E187</f>
        <v>9740887866.4355297</v>
      </c>
      <c r="G195"/>
    </row>
    <row r="196" spans="2:10" s="314" customFormat="1">
      <c r="B196" s="320"/>
      <c r="C196" s="320" t="s">
        <v>345</v>
      </c>
      <c r="E196"/>
      <c r="G196" s="326"/>
    </row>
    <row r="197" spans="2:10">
      <c r="B197" s="320"/>
      <c r="C197" s="142" t="s">
        <v>209</v>
      </c>
      <c r="E197" s="10">
        <f>E193-E195</f>
        <v>20462494110.975929</v>
      </c>
      <c r="G197" s="497">
        <v>25379728360</v>
      </c>
      <c r="H197" s="321"/>
    </row>
    <row r="198" spans="2:10" s="314" customFormat="1">
      <c r="B198" s="320"/>
      <c r="C198" s="324" t="s">
        <v>346</v>
      </c>
      <c r="E198"/>
      <c r="G198"/>
      <c r="H198" s="315"/>
    </row>
    <row r="199" spans="2:10">
      <c r="B199" s="320"/>
      <c r="C199" s="190" t="s">
        <v>347</v>
      </c>
      <c r="E199" s="140">
        <f>E197/G197-1</f>
        <v>-0.19374652790901936</v>
      </c>
      <c r="H199"/>
    </row>
    <row r="200" spans="2:10">
      <c r="B200" s="320"/>
      <c r="C200" s="320"/>
    </row>
    <row r="201" spans="2:10" s="314" customFormat="1">
      <c r="B201" s="320"/>
      <c r="C201" s="320"/>
    </row>
    <row r="202" spans="2:10">
      <c r="B202" s="320"/>
      <c r="C202" s="325" t="s">
        <v>769</v>
      </c>
      <c r="E202" s="128">
        <f>E195/E$193</f>
        <v>0.32250983925311927</v>
      </c>
      <c r="F202" s="334" t="s">
        <v>372</v>
      </c>
      <c r="J202" s="325"/>
    </row>
    <row r="203" spans="2:10">
      <c r="C203" s="269" t="s">
        <v>520</v>
      </c>
      <c r="E203" s="349">
        <f>E184/E$193</f>
        <v>0.22271996164649477</v>
      </c>
    </row>
    <row r="204" spans="2:10">
      <c r="C204" s="269" t="s">
        <v>521</v>
      </c>
      <c r="E204" s="163">
        <f>Retail.minus.line.rental-E203</f>
        <v>9.97898776066245E-2</v>
      </c>
      <c r="G204" s="486">
        <f>SUM(G109:G178)</f>
        <v>9.9789877606624514E-2</v>
      </c>
    </row>
    <row r="206" spans="2:10">
      <c r="C206" s="325" t="s">
        <v>770</v>
      </c>
      <c r="E206" s="128">
        <f>E207+E208</f>
        <v>0.5052493049506801</v>
      </c>
      <c r="F206" s="334" t="s">
        <v>771</v>
      </c>
    </row>
    <row r="207" spans="2:10">
      <c r="C207" s="269" t="s">
        <v>520</v>
      </c>
      <c r="E207" s="211">
        <f>'Precios dentro de paquetes'!F137</f>
        <v>0.40624930495068007</v>
      </c>
    </row>
    <row r="208" spans="2:10">
      <c r="C208" s="269" t="s">
        <v>521</v>
      </c>
      <c r="E208" s="163">
        <f>(E106+E116+E171)*(1+E178)</f>
        <v>9.9000000000000019E-2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03"/>
  <sheetViews>
    <sheetView showGridLines="0" defaultGridColor="0" colorId="22" zoomScaleNormal="100" workbookViewId="0">
      <pane ySplit="1" topLeftCell="A2" activePane="bottomLeft" state="frozen"/>
      <selection pane="bottomLeft" activeCell="D60" sqref="D60"/>
    </sheetView>
  </sheetViews>
  <sheetFormatPr baseColWidth="10" defaultColWidth="12.7109375" defaultRowHeight="12"/>
  <cols>
    <col min="1" max="1" width="6.7109375" style="326" customWidth="1"/>
    <col min="2" max="2" width="12.7109375" style="326"/>
    <col min="3" max="3" width="62.7109375" style="326" customWidth="1"/>
    <col min="4" max="4" width="53.42578125" style="326" customWidth="1"/>
    <col min="5" max="5" width="21.42578125" style="326" bestFit="1" customWidth="1"/>
    <col min="6" max="6" width="14.42578125" style="326" customWidth="1"/>
    <col min="7" max="7" width="14.7109375" style="326" customWidth="1"/>
    <col min="8" max="8" width="15.42578125" style="326" customWidth="1"/>
    <col min="9" max="10" width="14.42578125" style="326" customWidth="1"/>
    <col min="11" max="16384" width="12.7109375" style="326"/>
  </cols>
  <sheetData>
    <row r="1" spans="1:12" s="164" customFormat="1" ht="33.75" customHeight="1">
      <c r="D1" s="274" t="s">
        <v>498</v>
      </c>
      <c r="L1" s="164" t="s">
        <v>20</v>
      </c>
    </row>
    <row r="3" spans="1:12" ht="20.25" thickBot="1">
      <c r="A3" s="214" t="s">
        <v>514</v>
      </c>
      <c r="B3" s="214"/>
      <c r="C3" s="214"/>
      <c r="D3"/>
    </row>
    <row r="4" spans="1:12" ht="21" thickTop="1" thickBot="1">
      <c r="A4" s="214" t="s">
        <v>369</v>
      </c>
      <c r="B4" s="214"/>
      <c r="C4" s="214"/>
      <c r="D4" s="214"/>
      <c r="E4" s="214"/>
      <c r="F4" s="214"/>
      <c r="G4" s="214"/>
      <c r="H4" s="214"/>
      <c r="I4" s="214"/>
      <c r="J4" s="214"/>
      <c r="K4" s="214"/>
    </row>
    <row r="5" spans="1:12" ht="12.75" thickTop="1"/>
    <row r="6" spans="1:12" ht="24">
      <c r="E6" s="340" t="s">
        <v>510</v>
      </c>
      <c r="G6" s="340" t="s">
        <v>722</v>
      </c>
    </row>
    <row r="7" spans="1:12" ht="24">
      <c r="C7" s="340" t="s">
        <v>499</v>
      </c>
      <c r="D7" s="340" t="s">
        <v>500</v>
      </c>
      <c r="E7" s="340" t="s">
        <v>511</v>
      </c>
      <c r="G7" s="340" t="s">
        <v>723</v>
      </c>
    </row>
    <row r="8" spans="1:12" customFormat="1">
      <c r="C8" s="336" t="s">
        <v>598</v>
      </c>
      <c r="D8" s="336" t="s">
        <v>141</v>
      </c>
    </row>
    <row r="9" spans="1:12">
      <c r="C9" s="94" t="s">
        <v>501</v>
      </c>
      <c r="D9" s="94" t="s">
        <v>502</v>
      </c>
      <c r="E9" s="341">
        <f>Line.rental.monthly.fee.residential.before.IVA*(1-Retail.minus.line.rental)</f>
        <v>106.06108466492418</v>
      </c>
      <c r="F9" s="364"/>
    </row>
    <row r="10" spans="1:12">
      <c r="C10" s="347" t="s">
        <v>523</v>
      </c>
      <c r="D10" s="94" t="s">
        <v>503</v>
      </c>
      <c r="E10" s="341">
        <f>Retail.price.50.local.calls.residential/(1+IVA.rate)*(1-Retail.minus.additional.calls)</f>
        <v>20.898951773635066</v>
      </c>
      <c r="G10" s="330">
        <v>50</v>
      </c>
    </row>
    <row r="11" spans="1:12">
      <c r="C11" s="347" t="s">
        <v>524</v>
      </c>
      <c r="D11" s="94" t="s">
        <v>505</v>
      </c>
      <c r="E11" s="341">
        <f>Retail.price.100.local.calls.residential/(1+IVA.rate)*(1-Retail.minus.additional.calls)</f>
        <v>29.855645390907238</v>
      </c>
      <c r="F11" s="364"/>
      <c r="G11" s="330">
        <v>100</v>
      </c>
    </row>
    <row r="12" spans="1:12">
      <c r="C12" s="94" t="s">
        <v>509</v>
      </c>
      <c r="D12" s="347" t="s">
        <v>513</v>
      </c>
      <c r="E12" s="341">
        <f>E11*(G12/G11)/(G11/G10)*(E11/E10)</f>
        <v>42.650921987010342</v>
      </c>
      <c r="F12"/>
      <c r="G12" s="329">
        <f>G11*Unlimited.voice.multiplier</f>
        <v>200</v>
      </c>
      <c r="H12" s="158" t="str">
        <f>"Se asume adicional "&amp;G12&amp;" llamadas por cada usuario"</f>
        <v>Se asume adicional 200 llamadas por cada usuario</v>
      </c>
    </row>
    <row r="13" spans="1:12">
      <c r="F13"/>
    </row>
    <row r="14" spans="1:12">
      <c r="C14" s="479" t="s">
        <v>773</v>
      </c>
      <c r="E14" s="478">
        <f>E9-E11</f>
        <v>76.205439274016939</v>
      </c>
      <c r="F14"/>
    </row>
    <row r="15" spans="1:12">
      <c r="F15"/>
    </row>
    <row r="16" spans="1:12">
      <c r="C16" s="336" t="s">
        <v>599</v>
      </c>
      <c r="D16" s="336" t="s">
        <v>142</v>
      </c>
      <c r="F16"/>
    </row>
    <row r="17" spans="3:7">
      <c r="C17" s="347" t="s">
        <v>775</v>
      </c>
      <c r="D17" s="347" t="s">
        <v>776</v>
      </c>
      <c r="E17" s="341">
        <f>Line.rental.monthly.fee.business.before.IVA*(1-Retail.minus.line.rental)</f>
        <v>134.14305182788237</v>
      </c>
      <c r="F17"/>
    </row>
    <row r="18" spans="3:7">
      <c r="C18" s="347" t="s">
        <v>504</v>
      </c>
      <c r="D18" s="94" t="s">
        <v>505</v>
      </c>
      <c r="E18" s="341">
        <f>Retail.price.100.local.calls.business/(1+IVA.rate)*(1-Retail.minus.additional.calls)</f>
        <v>42.650921987010335</v>
      </c>
      <c r="F18"/>
      <c r="G18" s="330">
        <v>100</v>
      </c>
    </row>
    <row r="19" spans="3:7">
      <c r="C19" s="94" t="s">
        <v>509</v>
      </c>
      <c r="D19" s="347" t="s">
        <v>513</v>
      </c>
      <c r="E19" s="341">
        <f>E18*(G19/G11)/(G11/G10)*(E11/E10)</f>
        <v>60.929888552871908</v>
      </c>
      <c r="F19"/>
      <c r="G19" s="329">
        <f>G18*Unlimited.voice.multiplier</f>
        <v>200</v>
      </c>
    </row>
    <row r="22" spans="3:7">
      <c r="C22" s="336" t="s">
        <v>781</v>
      </c>
      <c r="D22" s="336" t="s">
        <v>782</v>
      </c>
    </row>
    <row r="23" spans="3:7">
      <c r="C23" s="347" t="s">
        <v>549</v>
      </c>
      <c r="D23" s="94" t="s">
        <v>552</v>
      </c>
      <c r="E23" s="348">
        <f>SUMPRODUCT(D$88:D$91,F$88:F$91)/SUM(F$88:F$91)</f>
        <v>117.23206000467944</v>
      </c>
    </row>
    <row r="24" spans="3:7">
      <c r="C24" s="347" t="s">
        <v>550</v>
      </c>
      <c r="D24" s="94" t="s">
        <v>553</v>
      </c>
      <c r="E24" s="348">
        <f>SUMPRODUCT(D$94:D$96,F$94:F$96)/SUM(F$94:F$96)</f>
        <v>117.23206000467944</v>
      </c>
    </row>
    <row r="25" spans="3:7">
      <c r="C25" s="347" t="s">
        <v>551</v>
      </c>
      <c r="D25" s="94" t="s">
        <v>554</v>
      </c>
      <c r="E25" s="348">
        <f>SUMPRODUCT(D$99:D$103,F$99:F$103)/SUM(F$99:F$103)</f>
        <v>209.52173958655814</v>
      </c>
    </row>
    <row r="26" spans="3:7">
      <c r="C26" s="347" t="s">
        <v>783</v>
      </c>
      <c r="D26" s="347" t="s">
        <v>784</v>
      </c>
      <c r="E26" s="469" t="s">
        <v>561</v>
      </c>
    </row>
    <row r="27" spans="3:7">
      <c r="C27" s="336"/>
      <c r="D27" s="336"/>
    </row>
    <row r="29" spans="3:7">
      <c r="C29" s="336" t="s">
        <v>781</v>
      </c>
      <c r="D29" s="336" t="s">
        <v>782</v>
      </c>
    </row>
    <row r="30" spans="3:7">
      <c r="C30" s="347" t="s">
        <v>785</v>
      </c>
      <c r="D30" s="347" t="s">
        <v>789</v>
      </c>
      <c r="E30" s="348">
        <f>SUMPRODUCT(D$88:D$91+E$88:E$91,F$88:F$91)/SUM(F$88:F$91)</f>
        <v>236.05767519822098</v>
      </c>
    </row>
    <row r="31" spans="3:7">
      <c r="C31" s="347" t="s">
        <v>786</v>
      </c>
      <c r="D31" s="347" t="s">
        <v>790</v>
      </c>
      <c r="E31" s="348">
        <f>SUMPRODUCT(D$95:D$96,F$95:F$96)/SUM(F$95:F$96)+SUMPRODUCT(E$95:E$96,F$95:F$96)/SUM(F$95:F$96)</f>
        <v>229.20513775654217</v>
      </c>
    </row>
    <row r="32" spans="3:7">
      <c r="C32" s="347" t="s">
        <v>787</v>
      </c>
      <c r="D32" s="347" t="s">
        <v>791</v>
      </c>
      <c r="E32" s="348">
        <f>SUMPRODUCT(D$100:D$103,F$100:F$103)/SUM(F$100:F$103)+SUMPRODUCT(E$100:E$103,F$100:F$103)/SUM(F$100:F$103)</f>
        <v>339.11095890152842</v>
      </c>
    </row>
    <row r="33" spans="1:11">
      <c r="C33" s="347" t="s">
        <v>788</v>
      </c>
      <c r="D33" s="347" t="s">
        <v>792</v>
      </c>
      <c r="E33" s="469" t="s">
        <v>561</v>
      </c>
    </row>
    <row r="37" spans="1:11" ht="20.25" thickBot="1">
      <c r="A37" s="214" t="s">
        <v>515</v>
      </c>
      <c r="B37" s="214"/>
      <c r="C37" s="214"/>
    </row>
    <row r="38" spans="1:11" ht="21" thickTop="1" thickBot="1">
      <c r="A38" s="214" t="s">
        <v>516</v>
      </c>
      <c r="B38" s="214"/>
      <c r="C38" s="214"/>
      <c r="D38" s="214"/>
      <c r="E38" s="214"/>
      <c r="F38" s="214"/>
      <c r="G38" s="214"/>
      <c r="H38" s="214"/>
      <c r="I38" s="214"/>
      <c r="J38" s="214"/>
      <c r="K38" s="214"/>
    </row>
    <row r="39" spans="1:11" ht="12.75" thickTop="1"/>
    <row r="40" spans="1:11">
      <c r="B40" s="336" t="s">
        <v>730</v>
      </c>
      <c r="D40" s="324" t="s">
        <v>761</v>
      </c>
    </row>
    <row r="41" spans="1:11">
      <c r="B41" s="157" t="s">
        <v>731</v>
      </c>
      <c r="D41" s="190" t="s">
        <v>762</v>
      </c>
    </row>
    <row r="42" spans="1:11" ht="24">
      <c r="D42" s="340" t="s">
        <v>724</v>
      </c>
      <c r="E42" s="340" t="s">
        <v>720</v>
      </c>
    </row>
    <row r="43" spans="1:11" ht="24">
      <c r="C43" s="336" t="s">
        <v>185</v>
      </c>
      <c r="D43" s="339" t="s">
        <v>725</v>
      </c>
      <c r="E43" s="339" t="s">
        <v>721</v>
      </c>
    </row>
    <row r="44" spans="1:11">
      <c r="C44" s="335" t="str">
        <f t="array" ref="C44:C55">Broadband.plans</f>
        <v>Paquete Acerques (5 Mbps)</v>
      </c>
      <c r="D44" s="93">
        <f t="array" ref="D44:D55">TRANSPOSE(Broadband.prices.within.plans.before.discount)</f>
        <v>288.82758620689657</v>
      </c>
      <c r="E44" s="93">
        <f t="array" ref="E44:E55">TRANSPOSE(Line.rental.prices.within.plans.before.discount)</f>
        <v>156.55000000000001</v>
      </c>
    </row>
    <row r="45" spans="1:11">
      <c r="C45" s="335" t="str">
        <v>Paquete Conectes (3 Mbps)</v>
      </c>
      <c r="D45" s="93">
        <v>288.82758620689657</v>
      </c>
      <c r="E45" s="93">
        <v>156.55000000000001</v>
      </c>
    </row>
    <row r="46" spans="1:11">
      <c r="C46" s="335" t="str">
        <v>Paquete Conectes Frontera (3 Mbps)</v>
      </c>
      <c r="D46" s="93">
        <v>288.82758620689657</v>
      </c>
      <c r="E46" s="93">
        <v>156.55000000000001</v>
      </c>
    </row>
    <row r="47" spans="1:11">
      <c r="C47" s="335" t="str">
        <v>Paquete Conectes Negocio (3 Mbps)</v>
      </c>
      <c r="D47" s="93">
        <v>288.82758620689657</v>
      </c>
      <c r="E47" s="93">
        <v>198</v>
      </c>
    </row>
    <row r="48" spans="1:11">
      <c r="C48" s="335" t="str">
        <v>Infinitum 10 Mb</v>
      </c>
      <c r="D48" s="93">
        <v>516.20399999999995</v>
      </c>
      <c r="E48" s="93">
        <v>0</v>
      </c>
    </row>
    <row r="49" spans="2:5">
      <c r="C49" s="335" t="str">
        <v>Infinitum 5 Mb</v>
      </c>
      <c r="D49" s="93">
        <v>288.82758620689657</v>
      </c>
      <c r="E49" s="93">
        <v>0</v>
      </c>
    </row>
    <row r="50" spans="2:5">
      <c r="C50" s="335" t="str">
        <v>Paquete Mi Negocio (3 Mbps)</v>
      </c>
      <c r="D50" s="93">
        <v>288.82758620689657</v>
      </c>
      <c r="E50" s="93">
        <v>198</v>
      </c>
    </row>
    <row r="51" spans="2:5">
      <c r="C51" s="335" t="str">
        <v>Paquete SuperNegocio (5 Mbps)</v>
      </c>
      <c r="D51" s="93">
        <v>288.82758620689657</v>
      </c>
      <c r="E51" s="93">
        <v>198</v>
      </c>
    </row>
    <row r="52" spans="2:5">
      <c r="C52" s="335" t="str">
        <v>Paquete Telmex Negocio Sin Límites 1 (10 Mbps)</v>
      </c>
      <c r="D52" s="93">
        <v>516.20399999999995</v>
      </c>
      <c r="E52" s="93">
        <v>198</v>
      </c>
    </row>
    <row r="53" spans="2:5">
      <c r="C53" s="335" t="str">
        <v>Paquete Telmex Negocio Sin Límites 2 (10 Mbps)</v>
      </c>
      <c r="D53" s="93">
        <v>516.20399999999995</v>
      </c>
      <c r="E53" s="93">
        <v>198</v>
      </c>
    </row>
    <row r="54" spans="2:5">
      <c r="C54" s="335" t="str">
        <v>Paquete Telmex Negocio Sin Límites 3 (10 Mbps)</v>
      </c>
      <c r="D54" s="93">
        <v>516.20399999999995</v>
      </c>
      <c r="E54" s="93">
        <v>198</v>
      </c>
    </row>
    <row r="55" spans="2:5">
      <c r="C55" s="335" t="str">
        <v>Paquete Telmex Todo México Sin Límites (10 Mbps)</v>
      </c>
      <c r="D55" s="93">
        <v>516.20399999999995</v>
      </c>
      <c r="E55" s="93">
        <v>156.55000000000001</v>
      </c>
    </row>
    <row r="56" spans="2:5">
      <c r="D56"/>
      <c r="E56"/>
    </row>
    <row r="58" spans="2:5">
      <c r="B58" s="336" t="s">
        <v>188</v>
      </c>
    </row>
    <row r="60" spans="2:5">
      <c r="C60" s="326" t="s">
        <v>370</v>
      </c>
      <c r="D60" s="211">
        <f>Retail.minus.broadband</f>
        <v>0.59411058498857405</v>
      </c>
    </row>
    <row r="62" spans="2:5">
      <c r="C62" s="326" t="s">
        <v>29</v>
      </c>
      <c r="D62" s="211">
        <f>Retail.minus.line.rental</f>
        <v>0.32250983925311927</v>
      </c>
    </row>
    <row r="65" spans="2:6">
      <c r="B65" s="336" t="s">
        <v>518</v>
      </c>
    </row>
    <row r="66" spans="2:6">
      <c r="B66" s="157" t="s">
        <v>373</v>
      </c>
    </row>
    <row r="67" spans="2:6" ht="24">
      <c r="D67" s="340" t="s">
        <v>726</v>
      </c>
      <c r="E67" s="340" t="s">
        <v>729</v>
      </c>
      <c r="F67" s="340" t="s">
        <v>735</v>
      </c>
    </row>
    <row r="68" spans="2:6" ht="24">
      <c r="C68" s="336" t="s">
        <v>185</v>
      </c>
      <c r="D68" s="340" t="s">
        <v>727</v>
      </c>
      <c r="E68" s="340" t="s">
        <v>728</v>
      </c>
      <c r="F68" s="340" t="s">
        <v>736</v>
      </c>
    </row>
    <row r="69" spans="2:6">
      <c r="B69" s="330">
        <v>1</v>
      </c>
      <c r="C69" s="335" t="str">
        <f t="array" ref="C69:C80">Broadband.plans</f>
        <v>Paquete Acerques (5 Mbps)</v>
      </c>
      <c r="D69" s="341">
        <f t="array" ref="D69:D80">$D44:$D55*(1-$D$60)</f>
        <v>117.23206000467944</v>
      </c>
      <c r="E69" s="341">
        <f t="array" ref="E69:E80">$E44:$E55*(1-$D$62)</f>
        <v>106.06108466492418</v>
      </c>
      <c r="F69" s="468">
        <f t="array" ref="F69:F80">Distribution.broadband.plans</f>
        <v>0.45</v>
      </c>
    </row>
    <row r="70" spans="2:6">
      <c r="B70" s="329">
        <f>1+B69</f>
        <v>2</v>
      </c>
      <c r="C70" s="335" t="str">
        <v>Paquete Conectes (3 Mbps)</v>
      </c>
      <c r="D70" s="341">
        <v>117.23206000467944</v>
      </c>
      <c r="E70" s="341">
        <v>106.06108466492418</v>
      </c>
      <c r="F70" s="468">
        <v>1.4999999999999999E-2</v>
      </c>
    </row>
    <row r="71" spans="2:6">
      <c r="B71" s="329">
        <f t="shared" ref="B71:B80" si="0">1+B70</f>
        <v>3</v>
      </c>
      <c r="C71" s="335" t="str">
        <v>Paquete Conectes Frontera (3 Mbps)</v>
      </c>
      <c r="D71" s="341">
        <v>117.23206000467944</v>
      </c>
      <c r="E71" s="341">
        <v>106.06108466492418</v>
      </c>
      <c r="F71" s="468">
        <v>1.4999999999999999E-2</v>
      </c>
    </row>
    <row r="72" spans="2:6">
      <c r="B72" s="329">
        <f t="shared" si="0"/>
        <v>4</v>
      </c>
      <c r="C72" s="335" t="str">
        <v>Paquete Conectes Negocio (3 Mbps)</v>
      </c>
      <c r="D72" s="341">
        <v>117.23206000467944</v>
      </c>
      <c r="E72" s="341">
        <v>134.14305182788237</v>
      </c>
      <c r="F72" s="468">
        <v>0.01</v>
      </c>
    </row>
    <row r="73" spans="2:6">
      <c r="B73" s="329">
        <f t="shared" si="0"/>
        <v>5</v>
      </c>
      <c r="C73" s="335" t="str">
        <v>Infinitum 10 Mb</v>
      </c>
      <c r="D73" s="341">
        <v>209.52173958655811</v>
      </c>
      <c r="E73" s="341">
        <v>0</v>
      </c>
      <c r="F73" s="468">
        <v>0.01</v>
      </c>
    </row>
    <row r="74" spans="2:6">
      <c r="B74" s="329">
        <f t="shared" si="0"/>
        <v>6</v>
      </c>
      <c r="C74" s="335" t="str">
        <v>Infinitum 5 Mb</v>
      </c>
      <c r="D74" s="341">
        <v>117.23206000467944</v>
      </c>
      <c r="E74" s="341">
        <v>0</v>
      </c>
      <c r="F74" s="468">
        <v>0.18</v>
      </c>
    </row>
    <row r="75" spans="2:6">
      <c r="B75" s="329">
        <f t="shared" si="0"/>
        <v>7</v>
      </c>
      <c r="C75" s="335" t="str">
        <v>Paquete Mi Negocio (3 Mbps)</v>
      </c>
      <c r="D75" s="341">
        <v>117.23206000467944</v>
      </c>
      <c r="E75" s="341">
        <v>134.14305182788237</v>
      </c>
      <c r="F75" s="468">
        <v>1.4999999999999999E-2</v>
      </c>
    </row>
    <row r="76" spans="2:6">
      <c r="B76" s="329">
        <f t="shared" si="0"/>
        <v>8</v>
      </c>
      <c r="C76" s="335" t="str">
        <v>Paquete SuperNegocio (5 Mbps)</v>
      </c>
      <c r="D76" s="341">
        <v>117.23206000467944</v>
      </c>
      <c r="E76" s="341">
        <v>134.14305182788237</v>
      </c>
      <c r="F76" s="468">
        <v>0.12</v>
      </c>
    </row>
    <row r="77" spans="2:6">
      <c r="B77" s="329">
        <f t="shared" si="0"/>
        <v>9</v>
      </c>
      <c r="C77" s="335" t="str">
        <v>Paquete Telmex Negocio Sin Límites 1 (10 Mbps)</v>
      </c>
      <c r="D77" s="341">
        <v>209.52173958655811</v>
      </c>
      <c r="E77" s="341">
        <v>134.14305182788237</v>
      </c>
      <c r="F77" s="468">
        <v>0.08</v>
      </c>
    </row>
    <row r="78" spans="2:6">
      <c r="B78" s="329">
        <f t="shared" si="0"/>
        <v>10</v>
      </c>
      <c r="C78" s="335" t="str">
        <v>Paquete Telmex Negocio Sin Límites 2 (10 Mbps)</v>
      </c>
      <c r="D78" s="341">
        <v>209.52173958655811</v>
      </c>
      <c r="E78" s="341">
        <v>134.14305182788237</v>
      </c>
      <c r="F78" s="468">
        <v>0.05</v>
      </c>
    </row>
    <row r="79" spans="2:6">
      <c r="B79" s="329">
        <f t="shared" si="0"/>
        <v>11</v>
      </c>
      <c r="C79" s="335" t="str">
        <v>Paquete Telmex Negocio Sin Límites 3 (10 Mbps)</v>
      </c>
      <c r="D79" s="341">
        <v>209.52173958655811</v>
      </c>
      <c r="E79" s="341">
        <v>134.14305182788237</v>
      </c>
      <c r="F79" s="468">
        <v>2.5000000000000001E-2</v>
      </c>
    </row>
    <row r="80" spans="2:6">
      <c r="B80" s="329">
        <f t="shared" si="0"/>
        <v>12</v>
      </c>
      <c r="C80" s="335" t="str">
        <v>Paquete Telmex Todo México Sin Límites (10 Mbps)</v>
      </c>
      <c r="D80" s="341">
        <v>209.52173958655811</v>
      </c>
      <c r="E80" s="341">
        <v>106.06108466492418</v>
      </c>
      <c r="F80" s="468">
        <v>0.03</v>
      </c>
    </row>
    <row r="83" spans="2:7">
      <c r="B83" s="336" t="s">
        <v>732</v>
      </c>
    </row>
    <row r="84" spans="2:7">
      <c r="B84" s="157" t="s">
        <v>733</v>
      </c>
    </row>
    <row r="85" spans="2:7" ht="24">
      <c r="D85" s="340" t="s">
        <v>726</v>
      </c>
      <c r="E85" s="340" t="s">
        <v>729</v>
      </c>
      <c r="F85" s="340" t="s">
        <v>735</v>
      </c>
    </row>
    <row r="86" spans="2:7" ht="24">
      <c r="D86" s="340" t="s">
        <v>727</v>
      </c>
      <c r="E86" s="340" t="s">
        <v>728</v>
      </c>
      <c r="F86" s="340" t="s">
        <v>736</v>
      </c>
    </row>
    <row r="87" spans="2:7">
      <c r="C87" s="340" t="s">
        <v>734</v>
      </c>
    </row>
    <row r="88" spans="2:7">
      <c r="B88" s="330">
        <v>2</v>
      </c>
      <c r="C88" s="335" t="str">
        <f t="array" ref="C88:F88">INDEX($C$69:$F$80,$B88,)</f>
        <v>Paquete Conectes (3 Mbps)</v>
      </c>
      <c r="D88" s="156">
        <v>117.23206000467944</v>
      </c>
      <c r="E88" s="156">
        <v>106.06108466492418</v>
      </c>
      <c r="F88" s="211">
        <v>1.4999999999999999E-2</v>
      </c>
    </row>
    <row r="89" spans="2:7">
      <c r="B89" s="330">
        <v>3</v>
      </c>
      <c r="C89" s="335" t="str">
        <f t="array" ref="C89:F89">INDEX($C$69:$F$80,$B89,)</f>
        <v>Paquete Conectes Frontera (3 Mbps)</v>
      </c>
      <c r="D89" s="156">
        <v>117.23206000467944</v>
      </c>
      <c r="E89" s="156">
        <v>106.06108466492418</v>
      </c>
      <c r="F89" s="211">
        <v>1.4999999999999999E-2</v>
      </c>
    </row>
    <row r="90" spans="2:7">
      <c r="B90" s="330">
        <v>4</v>
      </c>
      <c r="C90" s="335" t="str">
        <f t="array" ref="C90:F90">INDEX($C$69:$F$80,$B90,)</f>
        <v>Paquete Conectes Negocio (3 Mbps)</v>
      </c>
      <c r="D90" s="156">
        <v>117.23206000467944</v>
      </c>
      <c r="E90" s="156">
        <v>134.14305182788237</v>
      </c>
      <c r="F90" s="211">
        <v>0.01</v>
      </c>
    </row>
    <row r="91" spans="2:7">
      <c r="B91" s="330">
        <v>7</v>
      </c>
      <c r="C91" s="335" t="str">
        <f t="array" ref="C91:F91">INDEX($C$69:$F$80,$B91,)</f>
        <v>Paquete Mi Negocio (3 Mbps)</v>
      </c>
      <c r="D91" s="156">
        <v>117.23206000467944</v>
      </c>
      <c r="E91" s="156">
        <v>134.14305182788237</v>
      </c>
      <c r="F91" s="211">
        <v>1.4999999999999999E-2</v>
      </c>
    </row>
    <row r="93" spans="2:7">
      <c r="C93" s="340" t="s">
        <v>181</v>
      </c>
    </row>
    <row r="94" spans="2:7">
      <c r="B94" s="330">
        <v>6</v>
      </c>
      <c r="C94" s="335" t="str">
        <f t="array" ref="C94:F94">INDEX($C$69:$F$80,$B94,)</f>
        <v>Infinitum 5 Mb</v>
      </c>
      <c r="D94" s="156">
        <v>117.23206000467944</v>
      </c>
      <c r="E94" s="156">
        <v>0</v>
      </c>
      <c r="F94" s="211">
        <v>0.18</v>
      </c>
      <c r="G94" s="338" t="s">
        <v>236</v>
      </c>
    </row>
    <row r="95" spans="2:7">
      <c r="B95" s="330">
        <v>1</v>
      </c>
      <c r="C95" s="335" t="str">
        <f t="array" ref="C95:F95">INDEX($C$69:$F$80,$B95,)</f>
        <v>Paquete Acerques (5 Mbps)</v>
      </c>
      <c r="D95" s="156">
        <v>117.23206000467944</v>
      </c>
      <c r="E95" s="156">
        <v>106.06108466492418</v>
      </c>
      <c r="F95" s="211">
        <v>0.45</v>
      </c>
    </row>
    <row r="96" spans="2:7">
      <c r="B96" s="330">
        <v>8</v>
      </c>
      <c r="C96" s="335" t="str">
        <f t="array" ref="C96:F96">INDEX($C$69:$F$80,$B96,)</f>
        <v>Paquete SuperNegocio (5 Mbps)</v>
      </c>
      <c r="D96" s="156">
        <v>117.23206000467944</v>
      </c>
      <c r="E96" s="156">
        <v>134.14305182788237</v>
      </c>
      <c r="F96" s="211">
        <v>0.12</v>
      </c>
    </row>
    <row r="98" spans="2:7">
      <c r="C98" s="340" t="s">
        <v>182</v>
      </c>
    </row>
    <row r="99" spans="2:7">
      <c r="B99" s="330">
        <v>5</v>
      </c>
      <c r="C99" s="335" t="str">
        <f t="array" ref="C99:F99">INDEX($C$69:$F$80,$B99,)</f>
        <v>Infinitum 10 Mb</v>
      </c>
      <c r="D99" s="156">
        <v>209.52173958655811</v>
      </c>
      <c r="E99" s="156">
        <v>0</v>
      </c>
      <c r="F99" s="211">
        <v>0.01</v>
      </c>
      <c r="G99" s="338" t="s">
        <v>236</v>
      </c>
    </row>
    <row r="100" spans="2:7">
      <c r="B100" s="330">
        <v>9</v>
      </c>
      <c r="C100" s="335" t="str">
        <f t="array" ref="C100:F100">INDEX($C$69:$F$80,$B100,)</f>
        <v>Paquete Telmex Negocio Sin Límites 1 (10 Mbps)</v>
      </c>
      <c r="D100" s="156">
        <v>209.52173958655811</v>
      </c>
      <c r="E100" s="156">
        <v>134.14305182788237</v>
      </c>
      <c r="F100" s="211">
        <v>0.08</v>
      </c>
    </row>
    <row r="101" spans="2:7">
      <c r="B101" s="330">
        <v>10</v>
      </c>
      <c r="C101" s="335" t="str">
        <f t="array" ref="C101:F101">INDEX($C$69:$F$80,$B101,)</f>
        <v>Paquete Telmex Negocio Sin Límites 2 (10 Mbps)</v>
      </c>
      <c r="D101" s="156">
        <v>209.52173958655811</v>
      </c>
      <c r="E101" s="156">
        <v>134.14305182788237</v>
      </c>
      <c r="F101" s="211">
        <v>0.05</v>
      </c>
    </row>
    <row r="102" spans="2:7">
      <c r="B102" s="330">
        <v>11</v>
      </c>
      <c r="C102" s="335" t="str">
        <f t="array" ref="C102:F102">INDEX($C$69:$F$80,$B102,)</f>
        <v>Paquete Telmex Negocio Sin Límites 3 (10 Mbps)</v>
      </c>
      <c r="D102" s="156">
        <v>209.52173958655811</v>
      </c>
      <c r="E102" s="156">
        <v>134.14305182788237</v>
      </c>
      <c r="F102" s="211">
        <v>2.5000000000000001E-2</v>
      </c>
    </row>
    <row r="103" spans="2:7">
      <c r="B103" s="330">
        <v>12</v>
      </c>
      <c r="C103" s="335" t="str">
        <f t="array" ref="C103:F103">INDEX($C$69:$F$80,$B103,)</f>
        <v>Paquete Telmex Todo México Sin Límites (10 Mbps)</v>
      </c>
      <c r="D103" s="156">
        <v>209.52173958655811</v>
      </c>
      <c r="E103" s="156">
        <v>106.06108466492418</v>
      </c>
      <c r="F103" s="211">
        <v>0.03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1:D4"/>
  <sheetViews>
    <sheetView showGridLines="0" defaultGridColor="0" colorId="22" zoomScaleNormal="100" workbookViewId="0">
      <pane ySplit="1" topLeftCell="A2" activePane="bottomLeft" state="frozen"/>
      <selection pane="bottomLeft" activeCell="D2" sqref="D2"/>
    </sheetView>
  </sheetViews>
  <sheetFormatPr baseColWidth="10" defaultColWidth="12.7109375" defaultRowHeight="12"/>
  <cols>
    <col min="1" max="1" width="6.7109375" style="326" customWidth="1"/>
    <col min="2" max="16384" width="12.7109375" style="326"/>
  </cols>
  <sheetData>
    <row r="1" spans="3:4" s="164" customFormat="1" ht="33.75" customHeight="1">
      <c r="D1" s="274" t="s">
        <v>794</v>
      </c>
    </row>
    <row r="4" spans="3:4">
      <c r="C4" s="338" t="s">
        <v>608</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P163"/>
  <sheetViews>
    <sheetView showGridLines="0" defaultGridColor="0" colorId="22" zoomScale="80" zoomScaleNormal="80" workbookViewId="0">
      <pane ySplit="2" topLeftCell="A3" activePane="bottomLeft" state="frozen"/>
      <selection pane="bottomLeft" activeCell="D1" sqref="D1:M1"/>
    </sheetView>
  </sheetViews>
  <sheetFormatPr baseColWidth="10" defaultColWidth="12.7109375" defaultRowHeight="12"/>
  <cols>
    <col min="1" max="1" width="6.7109375" style="326" customWidth="1"/>
    <col min="2" max="3" width="12.7109375" style="326"/>
    <col min="4" max="4" width="41.7109375" style="326" customWidth="1"/>
    <col min="5" max="16" width="12.7109375" style="326"/>
    <col min="17" max="17" width="25.140625" style="326" customWidth="1"/>
    <col min="18" max="16384" width="12.7109375" style="326"/>
  </cols>
  <sheetData>
    <row r="1" spans="4:13" ht="57" customHeight="1">
      <c r="D1" s="507"/>
      <c r="E1" s="507"/>
      <c r="F1" s="507"/>
      <c r="G1" s="507"/>
      <c r="H1" s="507"/>
      <c r="I1" s="507"/>
      <c r="J1" s="507"/>
      <c r="K1" s="507"/>
      <c r="L1" s="507"/>
      <c r="M1" s="507"/>
    </row>
    <row r="2" spans="4:13" s="164" customFormat="1" ht="33.75" customHeight="1">
      <c r="D2" s="274"/>
      <c r="L2" s="164" t="s">
        <v>20</v>
      </c>
    </row>
    <row r="14" spans="4:13" s="38" customFormat="1" ht="18">
      <c r="D14" s="366" t="s">
        <v>517</v>
      </c>
    </row>
    <row r="16" spans="4:13" ht="15.75">
      <c r="D16" s="35" t="s">
        <v>517</v>
      </c>
    </row>
    <row r="17" spans="3:28">
      <c r="D17" s="142" t="s">
        <v>536</v>
      </c>
      <c r="Q17" s="142" t="s">
        <v>609</v>
      </c>
    </row>
    <row r="18" spans="3:28">
      <c r="D18" s="340" t="s">
        <v>525</v>
      </c>
      <c r="E18" s="340">
        <v>2009</v>
      </c>
      <c r="F18" s="340">
        <v>2010</v>
      </c>
      <c r="G18" s="340">
        <v>2011</v>
      </c>
      <c r="H18" s="340">
        <v>2012</v>
      </c>
      <c r="I18" s="340">
        <v>2013</v>
      </c>
      <c r="J18" s="340">
        <v>2014</v>
      </c>
      <c r="K18" s="340">
        <v>2015</v>
      </c>
      <c r="L18" s="340">
        <v>2016</v>
      </c>
      <c r="M18" s="340">
        <v>2017</v>
      </c>
      <c r="N18" s="340">
        <v>2018</v>
      </c>
      <c r="O18" s="340">
        <v>2019</v>
      </c>
      <c r="Q18" s="340" t="s">
        <v>525</v>
      </c>
      <c r="R18" s="340">
        <v>2009</v>
      </c>
      <c r="S18" s="340">
        <v>2010</v>
      </c>
      <c r="T18" s="340">
        <v>2011</v>
      </c>
      <c r="U18" s="340">
        <v>2012</v>
      </c>
      <c r="V18" s="340">
        <v>2013</v>
      </c>
      <c r="W18" s="340">
        <v>2014</v>
      </c>
      <c r="X18" s="340">
        <v>2015</v>
      </c>
      <c r="Y18" s="340">
        <v>2016</v>
      </c>
      <c r="Z18" s="340">
        <v>2017</v>
      </c>
      <c r="AA18" s="340">
        <v>2018</v>
      </c>
      <c r="AB18" s="340">
        <v>2019</v>
      </c>
    </row>
    <row r="19" spans="3:28">
      <c r="D19" s="347" t="s">
        <v>610</v>
      </c>
      <c r="E19" s="488">
        <v>419.7808</v>
      </c>
      <c r="F19" s="488">
        <v>561.39359999999999</v>
      </c>
      <c r="G19" s="488">
        <v>556.33600000000001</v>
      </c>
      <c r="H19" s="488">
        <v>611.96960000000001</v>
      </c>
      <c r="I19" s="488">
        <v>440.01119999999997</v>
      </c>
      <c r="J19" s="488">
        <v>606.91199999999992</v>
      </c>
      <c r="K19" s="94"/>
      <c r="L19" s="94"/>
      <c r="M19" s="94"/>
      <c r="N19" s="94"/>
      <c r="O19" s="94"/>
      <c r="Q19" s="347" t="s">
        <v>541</v>
      </c>
      <c r="R19" s="94"/>
      <c r="S19" s="94"/>
      <c r="T19" s="94"/>
      <c r="U19" s="94"/>
      <c r="V19" s="94"/>
      <c r="W19" s="94"/>
      <c r="X19" s="94"/>
      <c r="Y19" s="94"/>
      <c r="Z19" s="94"/>
      <c r="AA19" s="94"/>
      <c r="AB19" s="94"/>
    </row>
    <row r="20" spans="3:28">
      <c r="D20" s="347" t="s">
        <v>526</v>
      </c>
      <c r="E20" s="488">
        <v>318.58679999999998</v>
      </c>
      <c r="F20" s="488">
        <v>341.57760000000002</v>
      </c>
      <c r="G20" s="488">
        <v>357.99960000000004</v>
      </c>
      <c r="H20" s="488">
        <v>387.55919999999998</v>
      </c>
      <c r="I20" s="488">
        <v>348.14640000000003</v>
      </c>
      <c r="J20" s="488">
        <v>400.6968</v>
      </c>
      <c r="K20" s="94"/>
      <c r="L20" s="94"/>
      <c r="M20" s="94"/>
      <c r="N20" s="94"/>
      <c r="O20" s="94"/>
      <c r="Q20" s="347" t="s">
        <v>542</v>
      </c>
      <c r="R20" s="94"/>
      <c r="S20" s="94"/>
      <c r="T20" s="94"/>
      <c r="U20" s="94"/>
      <c r="V20" s="94"/>
      <c r="W20" s="94"/>
      <c r="X20" s="94"/>
      <c r="Y20" s="94"/>
      <c r="Z20" s="94"/>
      <c r="AA20" s="94"/>
      <c r="AB20" s="94"/>
    </row>
    <row r="21" spans="3:28">
      <c r="D21" s="347" t="s">
        <v>611</v>
      </c>
      <c r="E21" s="367"/>
      <c r="F21" s="367"/>
      <c r="G21" s="367"/>
      <c r="H21" s="488">
        <v>252.89879999999999</v>
      </c>
      <c r="I21" s="488">
        <v>285.74279999999999</v>
      </c>
      <c r="J21" s="488">
        <v>344.86200000000002</v>
      </c>
      <c r="K21" s="94"/>
      <c r="L21" s="94"/>
      <c r="M21" s="94"/>
      <c r="N21" s="94"/>
      <c r="O21" s="94"/>
      <c r="Q21" s="347"/>
      <c r="R21" s="94"/>
      <c r="S21" s="94"/>
      <c r="T21" s="94"/>
      <c r="U21" s="94"/>
      <c r="V21" s="94"/>
      <c r="W21" s="94"/>
      <c r="X21" s="94"/>
      <c r="Y21" s="94"/>
      <c r="Z21" s="94"/>
      <c r="AA21" s="94"/>
      <c r="AB21" s="94"/>
    </row>
    <row r="22" spans="3:28">
      <c r="D22" s="347" t="s">
        <v>527</v>
      </c>
      <c r="E22" s="367"/>
      <c r="F22" s="367"/>
      <c r="G22" s="488">
        <v>272.88900000000001</v>
      </c>
      <c r="H22" s="488">
        <v>289.73399999999998</v>
      </c>
      <c r="I22" s="488">
        <v>404.28</v>
      </c>
      <c r="J22" s="488">
        <v>316.68599999999998</v>
      </c>
      <c r="K22" s="94"/>
      <c r="L22" s="94"/>
      <c r="M22" s="94"/>
      <c r="N22" s="94"/>
      <c r="O22" s="94"/>
      <c r="Q22" s="347"/>
      <c r="R22" s="94"/>
      <c r="S22" s="94"/>
      <c r="T22" s="94"/>
      <c r="U22" s="94"/>
      <c r="V22" s="94"/>
      <c r="W22" s="94"/>
      <c r="X22" s="94"/>
      <c r="Y22" s="94"/>
      <c r="Z22" s="94"/>
      <c r="AA22" s="94"/>
      <c r="AB22" s="94"/>
    </row>
    <row r="23" spans="3:28">
      <c r="C23" s="338"/>
      <c r="D23" s="347" t="s">
        <v>528</v>
      </c>
      <c r="E23" s="367"/>
      <c r="F23" s="367"/>
      <c r="G23" s="367"/>
      <c r="H23" s="488">
        <v>395.75640000000004</v>
      </c>
      <c r="I23" s="488">
        <v>516.20399999999995</v>
      </c>
      <c r="J23" s="488">
        <v>524.80740000000003</v>
      </c>
      <c r="K23" s="94"/>
      <c r="L23" s="94"/>
      <c r="M23" s="94"/>
      <c r="N23" s="94"/>
      <c r="O23" s="94"/>
      <c r="Q23" s="347"/>
      <c r="R23" s="94"/>
      <c r="S23" s="94"/>
      <c r="T23" s="94"/>
      <c r="U23" s="94"/>
      <c r="V23" s="94"/>
      <c r="W23" s="94"/>
      <c r="X23" s="94"/>
      <c r="Y23" s="94"/>
      <c r="Z23" s="94"/>
      <c r="AA23" s="94"/>
      <c r="AB23" s="94"/>
    </row>
    <row r="24" spans="3:28">
      <c r="C24" s="338"/>
      <c r="D24" s="347" t="s">
        <v>529</v>
      </c>
      <c r="E24" s="367"/>
      <c r="F24" s="367"/>
      <c r="G24" s="367"/>
      <c r="H24" s="489">
        <v>385.10344827586209</v>
      </c>
      <c r="I24" s="489">
        <v>288.82758620689657</v>
      </c>
      <c r="J24" s="489">
        <v>345.99137931034483</v>
      </c>
      <c r="K24" s="94"/>
      <c r="L24" s="94"/>
      <c r="M24" s="94"/>
      <c r="N24" s="94"/>
      <c r="O24" s="94"/>
      <c r="Q24" s="347"/>
      <c r="R24" s="94"/>
      <c r="S24" s="94"/>
      <c r="T24" s="94"/>
      <c r="U24" s="94"/>
      <c r="V24" s="94"/>
      <c r="W24" s="94"/>
      <c r="X24" s="94"/>
      <c r="Y24" s="94"/>
      <c r="Z24" s="94"/>
      <c r="AA24" s="94"/>
      <c r="AB24" s="94"/>
    </row>
    <row r="25" spans="3:28">
      <c r="D25" s="351" t="s">
        <v>530</v>
      </c>
      <c r="E25" s="490">
        <v>417.19499999999999</v>
      </c>
      <c r="F25" s="490">
        <v>343.02699999999999</v>
      </c>
      <c r="G25" s="490">
        <v>398.65300000000002</v>
      </c>
      <c r="H25" s="490">
        <v>398.65300000000002</v>
      </c>
      <c r="I25" s="490">
        <v>523.81149999999991</v>
      </c>
      <c r="J25" s="491">
        <v>528.447</v>
      </c>
      <c r="K25" s="94"/>
      <c r="L25" s="94"/>
      <c r="M25" s="94"/>
      <c r="N25" s="94"/>
      <c r="O25" s="94"/>
      <c r="Q25" s="347"/>
      <c r="R25" s="94"/>
      <c r="S25" s="94"/>
      <c r="T25" s="94"/>
      <c r="U25" s="94"/>
      <c r="V25" s="94"/>
      <c r="W25" s="94"/>
      <c r="X25" s="94"/>
      <c r="Y25" s="94"/>
      <c r="Z25" s="94"/>
      <c r="AA25" s="94"/>
      <c r="AB25" s="94"/>
    </row>
    <row r="26" spans="3:28">
      <c r="D26" s="351" t="s">
        <v>531</v>
      </c>
      <c r="E26" s="490">
        <v>748.85040000000004</v>
      </c>
      <c r="F26" s="490">
        <v>546.45839999999998</v>
      </c>
      <c r="G26" s="490">
        <v>586.93679999999995</v>
      </c>
      <c r="H26" s="490">
        <v>512.72640000000001</v>
      </c>
      <c r="I26" s="490">
        <v>735.35760000000005</v>
      </c>
      <c r="J26" s="491">
        <v>775.8359999999999</v>
      </c>
      <c r="K26" s="94"/>
      <c r="L26" s="94"/>
      <c r="M26" s="94"/>
      <c r="N26" s="94"/>
      <c r="O26" s="94"/>
      <c r="Q26" s="347"/>
      <c r="R26" s="94"/>
      <c r="S26" s="94"/>
      <c r="T26" s="94"/>
      <c r="U26" s="94"/>
      <c r="V26" s="94"/>
      <c r="W26" s="94"/>
      <c r="X26" s="94"/>
      <c r="Y26" s="94"/>
      <c r="Z26" s="94"/>
      <c r="AA26" s="94"/>
      <c r="AB26" s="94"/>
    </row>
    <row r="27" spans="3:28">
      <c r="D27" s="351" t="s">
        <v>532</v>
      </c>
      <c r="E27" s="490">
        <v>1072.7935</v>
      </c>
      <c r="F27" s="490">
        <v>1442.8524</v>
      </c>
      <c r="G27" s="490">
        <v>1645.3580000000002</v>
      </c>
      <c r="H27" s="490">
        <v>1442.8524</v>
      </c>
      <c r="I27" s="490">
        <v>1290.9732000000001</v>
      </c>
      <c r="J27" s="491">
        <v>999.87140000000011</v>
      </c>
      <c r="K27" s="94"/>
      <c r="L27" s="94"/>
      <c r="M27" s="94"/>
      <c r="N27" s="94"/>
      <c r="O27" s="94"/>
      <c r="Q27" s="347"/>
      <c r="R27" s="94"/>
      <c r="S27" s="94"/>
      <c r="T27" s="94"/>
      <c r="U27" s="94"/>
      <c r="V27" s="94"/>
      <c r="W27" s="94"/>
      <c r="X27" s="94"/>
      <c r="Y27" s="94"/>
      <c r="Z27" s="94"/>
      <c r="AA27" s="94"/>
      <c r="AB27" s="94"/>
    </row>
    <row r="28" spans="3:28">
      <c r="D28" s="351" t="s">
        <v>533</v>
      </c>
      <c r="E28" s="490">
        <v>1238.6919999999998</v>
      </c>
      <c r="F28" s="490">
        <v>1601.1512</v>
      </c>
      <c r="G28" s="490">
        <v>1857.9395999999999</v>
      </c>
      <c r="H28" s="490">
        <v>1480.3096</v>
      </c>
      <c r="I28" s="490">
        <v>1827.7292</v>
      </c>
      <c r="J28" s="491">
        <v>1706.8875999999998</v>
      </c>
      <c r="K28" s="94"/>
      <c r="L28" s="94"/>
      <c r="M28" s="94"/>
      <c r="N28" s="94"/>
      <c r="O28" s="94"/>
      <c r="Q28" s="347"/>
      <c r="R28" s="94"/>
      <c r="S28" s="94"/>
      <c r="T28" s="94"/>
      <c r="U28" s="94"/>
      <c r="V28" s="94"/>
      <c r="W28" s="94"/>
      <c r="X28" s="94"/>
      <c r="Y28" s="94"/>
      <c r="Z28" s="94"/>
      <c r="AA28" s="94"/>
      <c r="AB28" s="94"/>
    </row>
    <row r="29" spans="3:28">
      <c r="D29" s="351" t="s">
        <v>534</v>
      </c>
      <c r="E29" s="490">
        <v>2025.5340000000001</v>
      </c>
      <c r="F29" s="490">
        <v>1546.152</v>
      </c>
      <c r="G29" s="490">
        <v>1758.7479000000001</v>
      </c>
      <c r="H29" s="490">
        <v>2415.8625000000002</v>
      </c>
      <c r="I29" s="490">
        <v>2125.9590000000003</v>
      </c>
      <c r="J29" s="491">
        <v>1797.4017000000001</v>
      </c>
      <c r="K29" s="94"/>
      <c r="L29" s="94"/>
      <c r="M29" s="94"/>
      <c r="N29" s="94"/>
      <c r="O29" s="94"/>
      <c r="Q29" s="347"/>
      <c r="R29" s="94"/>
      <c r="S29" s="94"/>
      <c r="T29" s="94"/>
      <c r="U29" s="94"/>
      <c r="V29" s="94"/>
      <c r="W29" s="94"/>
      <c r="X29" s="94"/>
      <c r="Y29" s="94"/>
      <c r="Z29" s="94"/>
      <c r="AA29" s="94"/>
      <c r="AB29" s="94"/>
    </row>
    <row r="30" spans="3:28">
      <c r="D30" s="351" t="s">
        <v>535</v>
      </c>
      <c r="E30" s="490">
        <v>624.18999999999994</v>
      </c>
      <c r="F30" s="490">
        <v>995.32999999999993</v>
      </c>
      <c r="G30" s="490">
        <v>851.93500000000006</v>
      </c>
      <c r="H30" s="490">
        <v>1012.1999999999999</v>
      </c>
      <c r="I30" s="490">
        <v>1096.55</v>
      </c>
      <c r="J30" s="491">
        <v>936.28500000000008</v>
      </c>
      <c r="K30" s="94"/>
      <c r="L30" s="94"/>
      <c r="M30" s="94"/>
      <c r="N30" s="94"/>
      <c r="O30" s="94"/>
      <c r="Q30" s="347"/>
      <c r="R30" s="94"/>
      <c r="S30" s="94"/>
      <c r="T30" s="94"/>
      <c r="U30" s="94"/>
      <c r="V30" s="94"/>
      <c r="W30" s="94"/>
      <c r="X30" s="94"/>
      <c r="Y30" s="94"/>
      <c r="Z30" s="94"/>
      <c r="AA30" s="94"/>
      <c r="AB30" s="94"/>
    </row>
    <row r="31" spans="3:28">
      <c r="D31" s="352" t="s">
        <v>545</v>
      </c>
      <c r="E31" s="347"/>
      <c r="F31" s="94"/>
      <c r="G31" s="94"/>
      <c r="H31" s="94"/>
      <c r="I31" s="94"/>
      <c r="J31" s="94"/>
      <c r="K31" s="94"/>
      <c r="L31" s="94"/>
      <c r="M31" s="94"/>
      <c r="N31" s="94"/>
      <c r="O31" s="94"/>
      <c r="Q31" s="352" t="s">
        <v>545</v>
      </c>
      <c r="R31" s="347"/>
      <c r="S31" s="94"/>
      <c r="T31" s="94"/>
      <c r="U31" s="94"/>
      <c r="V31" s="94"/>
      <c r="W31" s="94"/>
      <c r="X31" s="94"/>
      <c r="Y31" s="94"/>
      <c r="Z31" s="94"/>
      <c r="AA31" s="94"/>
      <c r="AB31" s="94"/>
    </row>
    <row r="36" spans="3:15" ht="15.75">
      <c r="D36" s="35" t="s">
        <v>538</v>
      </c>
    </row>
    <row r="37" spans="3:15">
      <c r="D37" s="142"/>
    </row>
    <row r="38" spans="3:15">
      <c r="D38" s="340" t="s">
        <v>525</v>
      </c>
      <c r="E38" s="340">
        <v>2009</v>
      </c>
      <c r="F38" s="340">
        <v>2010</v>
      </c>
      <c r="G38" s="340">
        <v>2011</v>
      </c>
      <c r="H38" s="340">
        <v>2012</v>
      </c>
      <c r="I38" s="340">
        <v>2013</v>
      </c>
      <c r="J38" s="340">
        <v>2014</v>
      </c>
      <c r="K38" s="340">
        <v>2015</v>
      </c>
      <c r="L38" s="340">
        <v>2016</v>
      </c>
      <c r="M38" s="340">
        <v>2017</v>
      </c>
      <c r="N38" s="340">
        <v>2018</v>
      </c>
      <c r="O38" s="340">
        <v>2019</v>
      </c>
    </row>
    <row r="39" spans="3:15">
      <c r="D39" s="347" t="s">
        <v>610</v>
      </c>
      <c r="E39" s="488">
        <v>1356</v>
      </c>
      <c r="F39" s="488">
        <v>1333.3999999999999</v>
      </c>
      <c r="G39" s="488">
        <v>1028.3</v>
      </c>
      <c r="H39" s="488">
        <v>1175.2</v>
      </c>
      <c r="I39" s="488">
        <v>1073.5</v>
      </c>
      <c r="J39" s="488">
        <v>994.4</v>
      </c>
      <c r="K39" s="94"/>
      <c r="L39" s="94"/>
      <c r="M39" s="94"/>
      <c r="N39" s="94"/>
      <c r="O39" s="94"/>
    </row>
    <row r="40" spans="3:15">
      <c r="D40" s="347" t="s">
        <v>526</v>
      </c>
      <c r="E40" s="488">
        <v>1062.2</v>
      </c>
      <c r="F40" s="488">
        <v>1209.1000000000001</v>
      </c>
      <c r="G40" s="488">
        <v>1050.9000000000001</v>
      </c>
      <c r="H40" s="488">
        <v>1401.2</v>
      </c>
      <c r="I40" s="488">
        <v>1389.9</v>
      </c>
      <c r="J40" s="488">
        <v>1084.8</v>
      </c>
      <c r="K40" s="94"/>
      <c r="L40" s="94"/>
      <c r="M40" s="94"/>
      <c r="N40" s="94"/>
      <c r="O40" s="94"/>
    </row>
    <row r="41" spans="3:15">
      <c r="D41" s="347" t="s">
        <v>611</v>
      </c>
      <c r="E41" s="367"/>
      <c r="F41" s="367"/>
      <c r="G41" s="367"/>
      <c r="H41" s="488">
        <v>1017</v>
      </c>
      <c r="I41" s="488">
        <v>983.1</v>
      </c>
      <c r="J41" s="488">
        <v>1457.7</v>
      </c>
      <c r="K41" s="94"/>
      <c r="L41" s="94"/>
      <c r="M41" s="94"/>
      <c r="N41" s="94"/>
      <c r="O41" s="94"/>
    </row>
    <row r="42" spans="3:15">
      <c r="D42" s="347" t="s">
        <v>527</v>
      </c>
      <c r="E42" s="367"/>
      <c r="F42" s="367"/>
      <c r="G42" s="488">
        <v>1050.9000000000001</v>
      </c>
      <c r="H42" s="488">
        <v>892.7</v>
      </c>
      <c r="I42" s="488">
        <v>1254.3000000000002</v>
      </c>
      <c r="J42" s="488">
        <v>0</v>
      </c>
      <c r="K42" s="94"/>
      <c r="L42" s="94"/>
      <c r="M42" s="94"/>
      <c r="N42" s="94"/>
      <c r="O42" s="94"/>
    </row>
    <row r="43" spans="3:15">
      <c r="C43" s="338"/>
      <c r="D43" s="347" t="s">
        <v>528</v>
      </c>
      <c r="E43" s="367"/>
      <c r="F43" s="367"/>
      <c r="G43" s="367"/>
      <c r="H43" s="492">
        <v>0</v>
      </c>
      <c r="I43" s="492">
        <v>0</v>
      </c>
      <c r="J43" s="492">
        <v>0</v>
      </c>
      <c r="K43" s="94"/>
      <c r="L43" s="94"/>
      <c r="M43" s="94"/>
      <c r="N43" s="94"/>
      <c r="O43" s="94"/>
    </row>
    <row r="44" spans="3:15">
      <c r="C44" s="338"/>
      <c r="D44" s="347" t="s">
        <v>529</v>
      </c>
      <c r="E44" s="367"/>
      <c r="F44" s="367"/>
      <c r="G44" s="367"/>
      <c r="H44" s="492">
        <v>0</v>
      </c>
      <c r="I44" s="492">
        <v>0</v>
      </c>
      <c r="J44" s="492">
        <v>0</v>
      </c>
      <c r="K44" s="94"/>
      <c r="L44" s="94"/>
      <c r="M44" s="94"/>
      <c r="N44" s="94"/>
      <c r="O44" s="94"/>
    </row>
    <row r="45" spans="3:15">
      <c r="D45" s="351" t="s">
        <v>530</v>
      </c>
      <c r="E45" s="488">
        <v>1435.1</v>
      </c>
      <c r="F45" s="488">
        <v>960.5</v>
      </c>
      <c r="G45" s="488">
        <v>1378.6</v>
      </c>
      <c r="H45" s="488">
        <v>1322.1</v>
      </c>
      <c r="I45" s="488">
        <v>937.9</v>
      </c>
      <c r="J45" s="488">
        <v>1469</v>
      </c>
      <c r="K45" s="94"/>
      <c r="L45" s="94"/>
      <c r="M45" s="94"/>
      <c r="N45" s="94"/>
      <c r="O45" s="94"/>
    </row>
    <row r="46" spans="3:15">
      <c r="D46" s="351" t="s">
        <v>531</v>
      </c>
      <c r="E46" s="488">
        <v>1175.2</v>
      </c>
      <c r="F46" s="488">
        <v>1028.3</v>
      </c>
      <c r="G46" s="488">
        <v>1333.3999999999999</v>
      </c>
      <c r="H46" s="488">
        <v>971.8</v>
      </c>
      <c r="I46" s="488">
        <v>1073.5</v>
      </c>
      <c r="J46" s="488">
        <v>1050.9000000000001</v>
      </c>
      <c r="K46" s="94"/>
      <c r="L46" s="94"/>
      <c r="M46" s="94"/>
      <c r="N46" s="94"/>
      <c r="O46" s="94"/>
    </row>
    <row r="47" spans="3:15">
      <c r="D47" s="351" t="s">
        <v>532</v>
      </c>
      <c r="E47" s="488">
        <v>1265.6000000000001</v>
      </c>
      <c r="F47" s="488">
        <v>1231.7</v>
      </c>
      <c r="G47" s="488">
        <v>904</v>
      </c>
      <c r="H47" s="488">
        <v>1175.2</v>
      </c>
      <c r="I47" s="488">
        <v>1265.6000000000001</v>
      </c>
      <c r="J47" s="488">
        <v>1209.1000000000001</v>
      </c>
      <c r="K47" s="94"/>
      <c r="L47" s="94"/>
      <c r="M47" s="94"/>
      <c r="N47" s="94"/>
      <c r="O47" s="94"/>
    </row>
    <row r="48" spans="3:15">
      <c r="D48" s="351" t="s">
        <v>533</v>
      </c>
      <c r="E48" s="488">
        <v>1243</v>
      </c>
      <c r="F48" s="488">
        <v>1231.7</v>
      </c>
      <c r="G48" s="488">
        <v>836.2</v>
      </c>
      <c r="H48" s="488">
        <v>1220.4000000000001</v>
      </c>
      <c r="I48" s="488">
        <v>1265.6000000000001</v>
      </c>
      <c r="J48" s="488">
        <v>1412.5</v>
      </c>
      <c r="K48" s="94"/>
      <c r="L48" s="94"/>
      <c r="M48" s="94"/>
      <c r="N48" s="94"/>
      <c r="O48" s="94"/>
    </row>
    <row r="49" spans="4:15">
      <c r="D49" s="351" t="s">
        <v>534</v>
      </c>
      <c r="E49" s="488">
        <v>1322.1</v>
      </c>
      <c r="F49" s="488">
        <v>1175.2</v>
      </c>
      <c r="G49" s="488">
        <v>802.3</v>
      </c>
      <c r="H49" s="488">
        <v>870.1</v>
      </c>
      <c r="I49" s="488">
        <v>1243</v>
      </c>
      <c r="J49" s="488">
        <v>791</v>
      </c>
      <c r="K49" s="94"/>
      <c r="L49" s="94"/>
      <c r="M49" s="94"/>
      <c r="N49" s="94"/>
      <c r="O49" s="94"/>
    </row>
    <row r="50" spans="4:15">
      <c r="D50" s="351" t="s">
        <v>535</v>
      </c>
      <c r="E50" s="488">
        <v>1005.7</v>
      </c>
      <c r="F50" s="488">
        <v>994.4</v>
      </c>
      <c r="G50" s="488">
        <v>1028.3</v>
      </c>
      <c r="H50" s="488">
        <v>1356</v>
      </c>
      <c r="I50" s="488">
        <v>1231.7</v>
      </c>
      <c r="J50" s="488">
        <v>892.7</v>
      </c>
      <c r="K50" s="94"/>
      <c r="L50" s="94"/>
      <c r="M50" s="94"/>
      <c r="N50" s="94"/>
      <c r="O50" s="94"/>
    </row>
    <row r="51" spans="4:15">
      <c r="D51" s="352" t="s">
        <v>545</v>
      </c>
      <c r="E51" s="347"/>
      <c r="F51" s="94"/>
      <c r="G51" s="94"/>
      <c r="H51" s="94"/>
      <c r="I51" s="94"/>
      <c r="J51" s="94"/>
      <c r="K51" s="94"/>
      <c r="L51" s="94"/>
      <c r="M51" s="94"/>
      <c r="N51" s="94"/>
      <c r="O51" s="94"/>
    </row>
    <row r="56" spans="4:15" ht="15.75">
      <c r="D56" s="35" t="s">
        <v>612</v>
      </c>
    </row>
    <row r="57" spans="4:15">
      <c r="D57" s="142"/>
    </row>
    <row r="58" spans="4:15">
      <c r="D58" s="340" t="s">
        <v>525</v>
      </c>
      <c r="E58" s="340">
        <v>2009</v>
      </c>
      <c r="F58" s="340">
        <v>2010</v>
      </c>
      <c r="G58" s="340">
        <v>2011</v>
      </c>
      <c r="H58" s="340">
        <v>2012</v>
      </c>
      <c r="I58" s="340">
        <v>2013</v>
      </c>
      <c r="J58" s="340">
        <v>2014</v>
      </c>
      <c r="K58" s="340">
        <v>2015</v>
      </c>
      <c r="L58" s="340">
        <v>2016</v>
      </c>
      <c r="M58" s="340">
        <v>2017</v>
      </c>
      <c r="N58" s="340">
        <v>2018</v>
      </c>
      <c r="O58" s="340">
        <v>2019</v>
      </c>
    </row>
    <row r="59" spans="4:15">
      <c r="D59" s="347" t="s">
        <v>610</v>
      </c>
      <c r="E59" s="94" t="s">
        <v>561</v>
      </c>
      <c r="F59" s="94" t="s">
        <v>561</v>
      </c>
      <c r="G59" s="94" t="s">
        <v>561</v>
      </c>
      <c r="H59" s="94" t="s">
        <v>561</v>
      </c>
      <c r="I59" s="94" t="s">
        <v>561</v>
      </c>
      <c r="J59" s="94" t="s">
        <v>561</v>
      </c>
      <c r="K59" s="94"/>
      <c r="L59" s="94"/>
      <c r="M59" s="94"/>
      <c r="N59" s="94"/>
      <c r="O59" s="94"/>
    </row>
    <row r="60" spans="4:15">
      <c r="D60" s="347" t="s">
        <v>526</v>
      </c>
      <c r="E60" s="94" t="s">
        <v>561</v>
      </c>
      <c r="F60" s="94" t="s">
        <v>561</v>
      </c>
      <c r="G60" s="94" t="s">
        <v>561</v>
      </c>
      <c r="H60" s="94" t="s">
        <v>561</v>
      </c>
      <c r="I60" s="94" t="s">
        <v>561</v>
      </c>
      <c r="J60" s="94" t="s">
        <v>561</v>
      </c>
      <c r="K60" s="94"/>
      <c r="L60" s="94"/>
      <c r="M60" s="94"/>
      <c r="N60" s="94"/>
      <c r="O60" s="94"/>
    </row>
    <row r="61" spans="4:15">
      <c r="D61" s="347" t="s">
        <v>611</v>
      </c>
      <c r="E61" s="367"/>
      <c r="F61" s="367"/>
      <c r="G61" s="367"/>
      <c r="H61" s="94" t="s">
        <v>561</v>
      </c>
      <c r="I61" s="94" t="s">
        <v>561</v>
      </c>
      <c r="J61" s="94" t="s">
        <v>561</v>
      </c>
      <c r="K61" s="94"/>
      <c r="L61" s="94"/>
      <c r="M61" s="94"/>
      <c r="N61" s="94"/>
      <c r="O61" s="94"/>
    </row>
    <row r="62" spans="4:15">
      <c r="D62" s="347" t="s">
        <v>527</v>
      </c>
      <c r="E62" s="367"/>
      <c r="F62" s="367"/>
      <c r="G62" s="94" t="s">
        <v>561</v>
      </c>
      <c r="H62" s="94" t="s">
        <v>561</v>
      </c>
      <c r="I62" s="94" t="s">
        <v>561</v>
      </c>
      <c r="J62" s="94" t="s">
        <v>561</v>
      </c>
      <c r="K62" s="94"/>
      <c r="L62" s="94"/>
      <c r="M62" s="94"/>
      <c r="N62" s="94"/>
      <c r="O62" s="94"/>
    </row>
    <row r="63" spans="4:15">
      <c r="D63" s="347" t="s">
        <v>528</v>
      </c>
      <c r="E63" s="367"/>
      <c r="F63" s="367"/>
      <c r="G63" s="367"/>
      <c r="H63" s="94" t="s">
        <v>561</v>
      </c>
      <c r="I63" s="94" t="s">
        <v>561</v>
      </c>
      <c r="J63" s="94" t="s">
        <v>561</v>
      </c>
      <c r="K63" s="94"/>
      <c r="L63" s="94"/>
      <c r="M63" s="94"/>
      <c r="N63" s="94"/>
      <c r="O63" s="94"/>
    </row>
    <row r="64" spans="4:15">
      <c r="D64" s="347" t="s">
        <v>529</v>
      </c>
      <c r="E64" s="367"/>
      <c r="F64" s="367"/>
      <c r="G64" s="367"/>
      <c r="H64" s="94" t="s">
        <v>561</v>
      </c>
      <c r="I64" s="94" t="s">
        <v>561</v>
      </c>
      <c r="J64" s="94" t="s">
        <v>561</v>
      </c>
      <c r="K64" s="94"/>
      <c r="L64" s="94"/>
      <c r="M64" s="94"/>
      <c r="N64" s="94"/>
      <c r="O64" s="94"/>
    </row>
    <row r="65" spans="4:82">
      <c r="D65" s="351" t="s">
        <v>530</v>
      </c>
      <c r="E65" s="94" t="s">
        <v>561</v>
      </c>
      <c r="F65" s="94" t="s">
        <v>561</v>
      </c>
      <c r="G65" s="94" t="s">
        <v>561</v>
      </c>
      <c r="H65" s="94" t="s">
        <v>561</v>
      </c>
      <c r="I65" s="94" t="s">
        <v>561</v>
      </c>
      <c r="J65" s="94" t="s">
        <v>561</v>
      </c>
      <c r="K65" s="94"/>
      <c r="L65" s="94"/>
      <c r="M65" s="94"/>
      <c r="N65" s="94"/>
      <c r="O65" s="94"/>
    </row>
    <row r="66" spans="4:82">
      <c r="D66" s="351" t="s">
        <v>531</v>
      </c>
      <c r="E66" s="94" t="s">
        <v>561</v>
      </c>
      <c r="F66" s="94" t="s">
        <v>561</v>
      </c>
      <c r="G66" s="94" t="s">
        <v>561</v>
      </c>
      <c r="H66" s="94" t="s">
        <v>561</v>
      </c>
      <c r="I66" s="94" t="s">
        <v>561</v>
      </c>
      <c r="J66" s="94" t="s">
        <v>561</v>
      </c>
      <c r="K66" s="94"/>
      <c r="L66" s="94"/>
      <c r="M66" s="94"/>
      <c r="N66" s="94"/>
      <c r="O66" s="94"/>
    </row>
    <row r="67" spans="4:82">
      <c r="D67" s="351" t="s">
        <v>532</v>
      </c>
      <c r="E67" s="94" t="s">
        <v>561</v>
      </c>
      <c r="F67" s="94" t="s">
        <v>561</v>
      </c>
      <c r="G67" s="94" t="s">
        <v>561</v>
      </c>
      <c r="H67" s="94" t="s">
        <v>561</v>
      </c>
      <c r="I67" s="94" t="s">
        <v>561</v>
      </c>
      <c r="J67" s="94" t="s">
        <v>561</v>
      </c>
      <c r="K67" s="94"/>
      <c r="L67" s="94"/>
      <c r="M67" s="94"/>
      <c r="N67" s="94"/>
      <c r="O67" s="94"/>
    </row>
    <row r="68" spans="4:82">
      <c r="D68" s="351" t="s">
        <v>533</v>
      </c>
      <c r="E68" s="94" t="s">
        <v>561</v>
      </c>
      <c r="F68" s="94" t="s">
        <v>561</v>
      </c>
      <c r="G68" s="94" t="s">
        <v>561</v>
      </c>
      <c r="H68" s="94" t="s">
        <v>561</v>
      </c>
      <c r="I68" s="94" t="s">
        <v>561</v>
      </c>
      <c r="J68" s="94" t="s">
        <v>561</v>
      </c>
      <c r="K68" s="94"/>
      <c r="L68" s="94"/>
      <c r="M68" s="94"/>
      <c r="N68" s="94"/>
      <c r="O68" s="94"/>
    </row>
    <row r="69" spans="4:82">
      <c r="D69" s="351" t="s">
        <v>534</v>
      </c>
      <c r="E69" s="94" t="s">
        <v>561</v>
      </c>
      <c r="F69" s="94" t="s">
        <v>561</v>
      </c>
      <c r="G69" s="94" t="s">
        <v>561</v>
      </c>
      <c r="H69" s="94" t="s">
        <v>561</v>
      </c>
      <c r="I69" s="94" t="s">
        <v>561</v>
      </c>
      <c r="J69" s="94" t="s">
        <v>561</v>
      </c>
      <c r="K69" s="94"/>
      <c r="L69" s="94"/>
      <c r="M69" s="94"/>
      <c r="N69" s="94"/>
      <c r="O69" s="94"/>
    </row>
    <row r="70" spans="4:82">
      <c r="D70" s="351" t="s">
        <v>535</v>
      </c>
      <c r="E70" s="94" t="s">
        <v>561</v>
      </c>
      <c r="F70" s="94" t="s">
        <v>561</v>
      </c>
      <c r="G70" s="94" t="s">
        <v>561</v>
      </c>
      <c r="H70" s="94" t="s">
        <v>561</v>
      </c>
      <c r="I70" s="94" t="s">
        <v>561</v>
      </c>
      <c r="J70" s="94" t="s">
        <v>561</v>
      </c>
      <c r="K70" s="94"/>
      <c r="L70" s="94"/>
      <c r="M70" s="94"/>
      <c r="N70" s="94"/>
      <c r="O70" s="94"/>
    </row>
    <row r="71" spans="4:82">
      <c r="D71" s="352" t="s">
        <v>545</v>
      </c>
      <c r="E71" s="347"/>
      <c r="F71" s="94"/>
      <c r="G71" s="94"/>
      <c r="H71" s="94"/>
      <c r="I71" s="94"/>
      <c r="J71" s="94"/>
      <c r="K71" s="94"/>
      <c r="L71" s="94"/>
      <c r="M71" s="94"/>
      <c r="N71" s="94"/>
      <c r="O71" s="94"/>
    </row>
    <row r="72" spans="4:82">
      <c r="D72" s="369"/>
    </row>
    <row r="76" spans="4:82" s="38" customFormat="1" ht="18">
      <c r="D76" s="366" t="s">
        <v>614</v>
      </c>
    </row>
    <row r="77" spans="4:82">
      <c r="D77" s="326" t="s">
        <v>615</v>
      </c>
    </row>
    <row r="78" spans="4:82">
      <c r="D78" s="370" t="s">
        <v>616</v>
      </c>
      <c r="Q78" s="370" t="s">
        <v>616</v>
      </c>
      <c r="AD78" s="370" t="s">
        <v>616</v>
      </c>
      <c r="AQ78" s="370" t="s">
        <v>616</v>
      </c>
      <c r="BD78" s="370" t="s">
        <v>616</v>
      </c>
      <c r="BQ78" s="370" t="s">
        <v>616</v>
      </c>
      <c r="CD78" s="370" t="s">
        <v>616</v>
      </c>
    </row>
    <row r="79" spans="4:82">
      <c r="D79" s="347" t="s">
        <v>617</v>
      </c>
      <c r="Q79" s="347" t="s">
        <v>618</v>
      </c>
      <c r="AD79" s="347" t="s">
        <v>619</v>
      </c>
      <c r="AQ79" s="347" t="s">
        <v>620</v>
      </c>
      <c r="BD79" s="94" t="s">
        <v>621</v>
      </c>
      <c r="BQ79" s="94" t="s">
        <v>621</v>
      </c>
      <c r="CD79" s="94" t="s">
        <v>621</v>
      </c>
    </row>
    <row r="81" spans="2:94">
      <c r="E81" s="340">
        <v>2009</v>
      </c>
      <c r="F81" s="340">
        <v>2010</v>
      </c>
      <c r="G81" s="340">
        <v>2011</v>
      </c>
      <c r="H81" s="340">
        <v>2012</v>
      </c>
      <c r="I81" s="340">
        <v>2013</v>
      </c>
      <c r="J81" s="340">
        <v>2014</v>
      </c>
      <c r="K81" s="340">
        <v>2015</v>
      </c>
      <c r="L81" s="340">
        <v>2016</v>
      </c>
      <c r="M81" s="340">
        <v>2017</v>
      </c>
      <c r="N81" s="340">
        <v>2018</v>
      </c>
      <c r="O81" s="340">
        <v>2019</v>
      </c>
      <c r="R81" s="340">
        <v>2009</v>
      </c>
      <c r="S81" s="340">
        <v>2010</v>
      </c>
      <c r="T81" s="340">
        <v>2011</v>
      </c>
      <c r="U81" s="340">
        <v>2012</v>
      </c>
      <c r="V81" s="340">
        <v>2013</v>
      </c>
      <c r="W81" s="340">
        <v>2014</v>
      </c>
      <c r="X81" s="340">
        <v>2015</v>
      </c>
      <c r="Y81" s="340">
        <v>2016</v>
      </c>
      <c r="Z81" s="340">
        <v>2017</v>
      </c>
      <c r="AA81" s="340">
        <v>2018</v>
      </c>
      <c r="AB81" s="340">
        <v>2019</v>
      </c>
      <c r="AE81" s="340">
        <v>2009</v>
      </c>
      <c r="AF81" s="340">
        <v>2010</v>
      </c>
      <c r="AG81" s="340">
        <v>2011</v>
      </c>
      <c r="AH81" s="340">
        <v>2012</v>
      </c>
      <c r="AI81" s="340">
        <v>2013</v>
      </c>
      <c r="AJ81" s="340">
        <v>2014</v>
      </c>
      <c r="AK81" s="340">
        <v>2015</v>
      </c>
      <c r="AL81" s="340">
        <v>2016</v>
      </c>
      <c r="AM81" s="340">
        <v>2017</v>
      </c>
      <c r="AN81" s="340">
        <v>2018</v>
      </c>
      <c r="AO81" s="340">
        <v>2019</v>
      </c>
      <c r="AR81" s="340">
        <v>2009</v>
      </c>
      <c r="AS81" s="340">
        <v>2010</v>
      </c>
      <c r="AT81" s="340">
        <v>2011</v>
      </c>
      <c r="AU81" s="340">
        <v>2012</v>
      </c>
      <c r="AV81" s="340">
        <v>2013</v>
      </c>
      <c r="AW81" s="340">
        <v>2014</v>
      </c>
      <c r="AX81" s="340">
        <v>2015</v>
      </c>
      <c r="AY81" s="340">
        <v>2016</v>
      </c>
      <c r="AZ81" s="340">
        <v>2017</v>
      </c>
      <c r="BA81" s="340">
        <v>2018</v>
      </c>
      <c r="BB81" s="340">
        <v>2019</v>
      </c>
      <c r="BE81" s="340">
        <v>2009</v>
      </c>
      <c r="BF81" s="340">
        <v>2010</v>
      </c>
      <c r="BG81" s="340">
        <v>2011</v>
      </c>
      <c r="BH81" s="340">
        <v>2012</v>
      </c>
      <c r="BI81" s="340">
        <v>2013</v>
      </c>
      <c r="BJ81" s="340">
        <v>2014</v>
      </c>
      <c r="BK81" s="340">
        <v>2015</v>
      </c>
      <c r="BL81" s="340">
        <v>2016</v>
      </c>
      <c r="BM81" s="340">
        <v>2017</v>
      </c>
      <c r="BN81" s="340">
        <v>2018</v>
      </c>
      <c r="BO81" s="340">
        <v>2019</v>
      </c>
      <c r="BR81" s="340">
        <v>2009</v>
      </c>
      <c r="BS81" s="340">
        <v>2010</v>
      </c>
      <c r="BT81" s="340">
        <v>2011</v>
      </c>
      <c r="BU81" s="340">
        <v>2012</v>
      </c>
      <c r="BV81" s="340">
        <v>2013</v>
      </c>
      <c r="BW81" s="340">
        <v>2014</v>
      </c>
      <c r="BX81" s="340">
        <v>2015</v>
      </c>
      <c r="BY81" s="340">
        <v>2016</v>
      </c>
      <c r="BZ81" s="340">
        <v>2017</v>
      </c>
      <c r="CA81" s="340">
        <v>2018</v>
      </c>
      <c r="CB81" s="340">
        <v>2019</v>
      </c>
      <c r="CE81" s="340">
        <v>2009</v>
      </c>
      <c r="CF81" s="340">
        <v>2010</v>
      </c>
      <c r="CG81" s="340">
        <v>2011</v>
      </c>
      <c r="CH81" s="340">
        <v>2012</v>
      </c>
      <c r="CI81" s="340">
        <v>2013</v>
      </c>
      <c r="CJ81" s="340">
        <v>2014</v>
      </c>
      <c r="CK81" s="340">
        <v>2015</v>
      </c>
      <c r="CL81" s="340">
        <v>2016</v>
      </c>
      <c r="CM81" s="340">
        <v>2017</v>
      </c>
      <c r="CN81" s="340">
        <v>2018</v>
      </c>
      <c r="CO81" s="340">
        <v>2019</v>
      </c>
    </row>
    <row r="82" spans="2:94">
      <c r="B82" s="336"/>
      <c r="C82" s="336"/>
      <c r="D82" s="371" t="s">
        <v>324</v>
      </c>
      <c r="E82" s="94"/>
      <c r="F82" s="94"/>
      <c r="G82" s="94"/>
      <c r="H82" s="94"/>
      <c r="I82" s="94"/>
      <c r="J82" s="94"/>
      <c r="K82" s="94"/>
      <c r="L82" s="94"/>
      <c r="M82" s="94"/>
      <c r="N82" s="94"/>
      <c r="O82" s="94"/>
      <c r="P82" s="336"/>
      <c r="Q82" s="371" t="s">
        <v>324</v>
      </c>
      <c r="R82" s="94"/>
      <c r="S82" s="94"/>
      <c r="T82" s="94"/>
      <c r="U82" s="94"/>
      <c r="V82" s="94"/>
      <c r="W82" s="94"/>
      <c r="X82" s="94"/>
      <c r="Y82" s="94"/>
      <c r="Z82" s="94"/>
      <c r="AA82" s="94"/>
      <c r="AB82" s="94"/>
      <c r="AC82" s="336"/>
      <c r="AD82" s="371" t="s">
        <v>324</v>
      </c>
      <c r="AE82" s="94"/>
      <c r="AF82" s="94"/>
      <c r="AG82" s="94"/>
      <c r="AH82" s="94"/>
      <c r="AI82" s="94"/>
      <c r="AJ82" s="94"/>
      <c r="AK82" s="94"/>
      <c r="AL82" s="94"/>
      <c r="AM82" s="94"/>
      <c r="AN82" s="94"/>
      <c r="AO82" s="94"/>
      <c r="AP82" s="336"/>
      <c r="AQ82" s="371" t="s">
        <v>324</v>
      </c>
      <c r="AR82" s="94"/>
      <c r="AS82" s="94"/>
      <c r="AT82" s="94"/>
      <c r="AU82" s="94"/>
      <c r="AV82" s="94"/>
      <c r="AW82" s="94"/>
      <c r="AX82" s="94"/>
      <c r="AY82" s="94"/>
      <c r="AZ82" s="94"/>
      <c r="BA82" s="94"/>
      <c r="BB82" s="94"/>
      <c r="BC82" s="336"/>
      <c r="BD82" s="371" t="s">
        <v>324</v>
      </c>
      <c r="BE82" s="94"/>
      <c r="BF82" s="94"/>
      <c r="BG82" s="94"/>
      <c r="BH82" s="94"/>
      <c r="BI82" s="94"/>
      <c r="BJ82" s="94"/>
      <c r="BK82" s="94"/>
      <c r="BL82" s="94"/>
      <c r="BM82" s="94"/>
      <c r="BN82" s="94"/>
      <c r="BO82" s="94"/>
      <c r="BP82" s="336"/>
      <c r="BQ82" s="371" t="s">
        <v>324</v>
      </c>
      <c r="BR82" s="94"/>
      <c r="BS82" s="94"/>
      <c r="BT82" s="94"/>
      <c r="BU82" s="94"/>
      <c r="BV82" s="94"/>
      <c r="BW82" s="94"/>
      <c r="BX82" s="94"/>
      <c r="BY82" s="94"/>
      <c r="BZ82" s="94"/>
      <c r="CA82" s="94"/>
      <c r="CB82" s="94"/>
      <c r="CC82" s="336"/>
      <c r="CD82" s="371" t="s">
        <v>324</v>
      </c>
      <c r="CE82" s="94"/>
      <c r="CF82" s="94"/>
      <c r="CG82" s="94"/>
      <c r="CH82" s="94"/>
      <c r="CI82" s="94"/>
      <c r="CJ82" s="94"/>
      <c r="CK82" s="94"/>
      <c r="CL82" s="94"/>
      <c r="CM82" s="94"/>
      <c r="CN82" s="94"/>
      <c r="CO82" s="94"/>
      <c r="CP82" s="336"/>
    </row>
    <row r="83" spans="2:94">
      <c r="D83" s="372" t="s">
        <v>622</v>
      </c>
      <c r="E83" s="94"/>
      <c r="F83" s="94"/>
      <c r="G83" s="94"/>
      <c r="H83" s="94"/>
      <c r="I83" s="94"/>
      <c r="J83" s="94"/>
      <c r="K83" s="94"/>
      <c r="L83" s="94"/>
      <c r="M83" s="94"/>
      <c r="N83" s="94"/>
      <c r="O83" s="94"/>
      <c r="Q83" s="372" t="s">
        <v>623</v>
      </c>
      <c r="R83" s="94"/>
      <c r="S83" s="94"/>
      <c r="T83" s="94"/>
      <c r="U83" s="94"/>
      <c r="V83" s="94"/>
      <c r="W83" s="94"/>
      <c r="X83" s="94"/>
      <c r="Y83" s="94"/>
      <c r="Z83" s="94"/>
      <c r="AA83" s="94"/>
      <c r="AB83" s="94"/>
      <c r="AD83" s="372" t="s">
        <v>623</v>
      </c>
      <c r="AE83" s="94"/>
      <c r="AF83" s="94"/>
      <c r="AG83" s="94"/>
      <c r="AH83" s="94"/>
      <c r="AI83" s="94"/>
      <c r="AJ83" s="94"/>
      <c r="AK83" s="94"/>
      <c r="AL83" s="94"/>
      <c r="AM83" s="94"/>
      <c r="AN83" s="94"/>
      <c r="AO83" s="94"/>
      <c r="AQ83" s="372" t="s">
        <v>623</v>
      </c>
      <c r="AR83" s="94"/>
      <c r="AS83" s="94"/>
      <c r="AT83" s="94"/>
      <c r="AU83" s="94"/>
      <c r="AV83" s="94"/>
      <c r="AW83" s="94"/>
      <c r="AX83" s="94"/>
      <c r="AY83" s="94"/>
      <c r="AZ83" s="94"/>
      <c r="BA83" s="94"/>
      <c r="BB83" s="94"/>
      <c r="BD83" s="372" t="s">
        <v>623</v>
      </c>
      <c r="BE83" s="94"/>
      <c r="BF83" s="94"/>
      <c r="BG83" s="94"/>
      <c r="BH83" s="94"/>
      <c r="BI83" s="94"/>
      <c r="BJ83" s="94"/>
      <c r="BK83" s="94"/>
      <c r="BL83" s="94"/>
      <c r="BM83" s="94"/>
      <c r="BN83" s="94"/>
      <c r="BO83" s="94"/>
      <c r="BQ83" s="372" t="s">
        <v>623</v>
      </c>
      <c r="BR83" s="94"/>
      <c r="BS83" s="94"/>
      <c r="BT83" s="94"/>
      <c r="BU83" s="94"/>
      <c r="BV83" s="94"/>
      <c r="BW83" s="94"/>
      <c r="BX83" s="94"/>
      <c r="BY83" s="94"/>
      <c r="BZ83" s="94"/>
      <c r="CA83" s="94"/>
      <c r="CB83" s="94"/>
      <c r="CD83" s="372" t="s">
        <v>623</v>
      </c>
      <c r="CE83" s="94"/>
      <c r="CF83" s="94"/>
      <c r="CG83" s="94"/>
      <c r="CH83" s="94"/>
      <c r="CI83" s="94"/>
      <c r="CJ83" s="94"/>
      <c r="CK83" s="94"/>
      <c r="CL83" s="94"/>
      <c r="CM83" s="94"/>
      <c r="CN83" s="94"/>
      <c r="CO83" s="94"/>
    </row>
    <row r="84" spans="2:94">
      <c r="D84" s="372"/>
      <c r="E84" s="94"/>
      <c r="F84" s="94"/>
      <c r="G84" s="94"/>
      <c r="H84" s="94"/>
      <c r="I84" s="94"/>
      <c r="J84" s="94"/>
      <c r="K84" s="94"/>
      <c r="L84" s="94"/>
      <c r="M84" s="94"/>
      <c r="N84" s="94"/>
      <c r="O84" s="94"/>
      <c r="Q84" s="372" t="s">
        <v>623</v>
      </c>
      <c r="R84" s="94"/>
      <c r="S84" s="94"/>
      <c r="T84" s="94"/>
      <c r="U84" s="94"/>
      <c r="V84" s="94"/>
      <c r="W84" s="94"/>
      <c r="X84" s="94"/>
      <c r="Y84" s="94"/>
      <c r="Z84" s="94"/>
      <c r="AA84" s="94"/>
      <c r="AB84" s="94"/>
      <c r="AD84" s="372" t="s">
        <v>623</v>
      </c>
      <c r="AE84" s="94"/>
      <c r="AF84" s="94"/>
      <c r="AG84" s="94"/>
      <c r="AH84" s="94"/>
      <c r="AI84" s="94"/>
      <c r="AJ84" s="94"/>
      <c r="AK84" s="94"/>
      <c r="AL84" s="94"/>
      <c r="AM84" s="94"/>
      <c r="AN84" s="94"/>
      <c r="AO84" s="94"/>
      <c r="AQ84" s="372" t="s">
        <v>623</v>
      </c>
      <c r="AR84" s="94"/>
      <c r="AS84" s="94"/>
      <c r="AT84" s="94"/>
      <c r="AU84" s="94"/>
      <c r="AV84" s="94"/>
      <c r="AW84" s="94"/>
      <c r="AX84" s="94"/>
      <c r="AY84" s="94"/>
      <c r="AZ84" s="94"/>
      <c r="BA84" s="94"/>
      <c r="BB84" s="94"/>
      <c r="BD84" s="372" t="s">
        <v>623</v>
      </c>
      <c r="BE84" s="94"/>
      <c r="BF84" s="94"/>
      <c r="BG84" s="94"/>
      <c r="BH84" s="94"/>
      <c r="BI84" s="94"/>
      <c r="BJ84" s="94"/>
      <c r="BK84" s="94"/>
      <c r="BL84" s="94"/>
      <c r="BM84" s="94"/>
      <c r="BN84" s="94"/>
      <c r="BO84" s="94"/>
      <c r="BQ84" s="372" t="s">
        <v>623</v>
      </c>
      <c r="BR84" s="94"/>
      <c r="BS84" s="94"/>
      <c r="BT84" s="94"/>
      <c r="BU84" s="94"/>
      <c r="BV84" s="94"/>
      <c r="BW84" s="94"/>
      <c r="BX84" s="94"/>
      <c r="BY84" s="94"/>
      <c r="BZ84" s="94"/>
      <c r="CA84" s="94"/>
      <c r="CB84" s="94"/>
      <c r="CD84" s="372" t="s">
        <v>623</v>
      </c>
      <c r="CE84" s="94"/>
      <c r="CF84" s="94"/>
      <c r="CG84" s="94"/>
      <c r="CH84" s="94"/>
      <c r="CI84" s="94"/>
      <c r="CJ84" s="94"/>
      <c r="CK84" s="94"/>
      <c r="CL84" s="94"/>
      <c r="CM84" s="94"/>
      <c r="CN84" s="94"/>
      <c r="CO84" s="94"/>
    </row>
    <row r="85" spans="2:94">
      <c r="B85" s="336"/>
      <c r="C85" s="336"/>
      <c r="D85" s="371" t="s">
        <v>624</v>
      </c>
      <c r="E85" s="94"/>
      <c r="F85" s="94"/>
      <c r="G85" s="94"/>
      <c r="H85" s="94"/>
      <c r="I85" s="94"/>
      <c r="J85" s="94"/>
      <c r="K85" s="94"/>
      <c r="L85" s="94"/>
      <c r="M85" s="94"/>
      <c r="N85" s="94"/>
      <c r="O85" s="94"/>
      <c r="P85" s="336"/>
      <c r="Q85" s="371" t="s">
        <v>624</v>
      </c>
      <c r="R85" s="94"/>
      <c r="S85" s="94"/>
      <c r="T85" s="94"/>
      <c r="U85" s="94"/>
      <c r="V85" s="94"/>
      <c r="W85" s="94"/>
      <c r="X85" s="94"/>
      <c r="Y85" s="94"/>
      <c r="Z85" s="94"/>
      <c r="AA85" s="94"/>
      <c r="AB85" s="94"/>
      <c r="AC85" s="336"/>
      <c r="AD85" s="371" t="s">
        <v>624</v>
      </c>
      <c r="AE85" s="94"/>
      <c r="AF85" s="94"/>
      <c r="AG85" s="94"/>
      <c r="AH85" s="94"/>
      <c r="AI85" s="94"/>
      <c r="AJ85" s="94"/>
      <c r="AK85" s="94"/>
      <c r="AL85" s="94"/>
      <c r="AM85" s="94"/>
      <c r="AN85" s="94"/>
      <c r="AO85" s="94"/>
      <c r="AP85" s="336"/>
      <c r="AQ85" s="371" t="s">
        <v>624</v>
      </c>
      <c r="AR85" s="94"/>
      <c r="AS85" s="94"/>
      <c r="AT85" s="94"/>
      <c r="AU85" s="94"/>
      <c r="AV85" s="94"/>
      <c r="AW85" s="94"/>
      <c r="AX85" s="94"/>
      <c r="AY85" s="94"/>
      <c r="AZ85" s="94"/>
      <c r="BA85" s="94"/>
      <c r="BB85" s="94"/>
      <c r="BC85" s="336"/>
      <c r="BD85" s="371" t="s">
        <v>624</v>
      </c>
      <c r="BE85" s="94"/>
      <c r="BF85" s="94"/>
      <c r="BG85" s="94"/>
      <c r="BH85" s="94"/>
      <c r="BI85" s="94"/>
      <c r="BJ85" s="94"/>
      <c r="BK85" s="94"/>
      <c r="BL85" s="94"/>
      <c r="BM85" s="94"/>
      <c r="BN85" s="94"/>
      <c r="BO85" s="94"/>
      <c r="BP85" s="336"/>
      <c r="BQ85" s="371" t="s">
        <v>624</v>
      </c>
      <c r="BR85" s="94"/>
      <c r="BS85" s="94"/>
      <c r="BT85" s="94"/>
      <c r="BU85" s="94"/>
      <c r="BV85" s="94"/>
      <c r="BW85" s="94"/>
      <c r="BX85" s="94"/>
      <c r="BY85" s="94"/>
      <c r="BZ85" s="94"/>
      <c r="CA85" s="94"/>
      <c r="CB85" s="94"/>
      <c r="CC85" s="336"/>
      <c r="CD85" s="371" t="s">
        <v>624</v>
      </c>
      <c r="CE85" s="94"/>
      <c r="CF85" s="94"/>
      <c r="CG85" s="94"/>
      <c r="CH85" s="94"/>
      <c r="CI85" s="94"/>
      <c r="CJ85" s="94"/>
      <c r="CK85" s="94"/>
      <c r="CL85" s="94"/>
      <c r="CM85" s="94"/>
      <c r="CN85" s="94"/>
      <c r="CO85" s="94"/>
      <c r="CP85" s="336"/>
    </row>
    <row r="86" spans="2:94">
      <c r="B86" s="336"/>
      <c r="C86" s="336"/>
      <c r="D86" s="372" t="s">
        <v>625</v>
      </c>
      <c r="E86" s="94"/>
      <c r="F86" s="94"/>
      <c r="G86" s="94"/>
      <c r="H86" s="94"/>
      <c r="I86" s="493">
        <v>17953.32</v>
      </c>
      <c r="J86" s="94"/>
      <c r="K86" s="94"/>
      <c r="L86" s="94"/>
      <c r="M86" s="94"/>
      <c r="N86" s="94"/>
      <c r="O86" s="94"/>
      <c r="P86" s="336"/>
      <c r="Q86" s="372" t="s">
        <v>623</v>
      </c>
      <c r="R86" s="94"/>
      <c r="S86" s="94"/>
      <c r="T86" s="94"/>
      <c r="U86" s="94"/>
      <c r="V86" s="94"/>
      <c r="W86" s="94"/>
      <c r="X86" s="94"/>
      <c r="Y86" s="94"/>
      <c r="Z86" s="94"/>
      <c r="AA86" s="94"/>
      <c r="AB86" s="94"/>
      <c r="AC86" s="336"/>
      <c r="AD86" s="372" t="s">
        <v>623</v>
      </c>
      <c r="AE86" s="94"/>
      <c r="AF86" s="94"/>
      <c r="AG86" s="94"/>
      <c r="AH86" s="94"/>
      <c r="AI86" s="94"/>
      <c r="AJ86" s="94"/>
      <c r="AK86" s="94"/>
      <c r="AL86" s="94"/>
      <c r="AM86" s="94"/>
      <c r="AN86" s="94"/>
      <c r="AO86" s="94"/>
      <c r="AP86" s="336"/>
      <c r="AQ86" s="372" t="s">
        <v>623</v>
      </c>
      <c r="AR86" s="94"/>
      <c r="AS86" s="94"/>
      <c r="AT86" s="94"/>
      <c r="AU86" s="94"/>
      <c r="AV86" s="94"/>
      <c r="AW86" s="94"/>
      <c r="AX86" s="94"/>
      <c r="AY86" s="94"/>
      <c r="AZ86" s="94"/>
      <c r="BA86" s="94"/>
      <c r="BB86" s="94"/>
      <c r="BC86" s="336"/>
      <c r="BD86" s="372" t="s">
        <v>623</v>
      </c>
      <c r="BE86" s="94"/>
      <c r="BF86" s="94"/>
      <c r="BG86" s="94"/>
      <c r="BH86" s="94"/>
      <c r="BI86" s="94"/>
      <c r="BJ86" s="94"/>
      <c r="BK86" s="94"/>
      <c r="BL86" s="94"/>
      <c r="BM86" s="94"/>
      <c r="BN86" s="94"/>
      <c r="BO86" s="94"/>
      <c r="BP86" s="336"/>
      <c r="BQ86" s="372" t="s">
        <v>623</v>
      </c>
      <c r="BR86" s="94"/>
      <c r="BS86" s="94"/>
      <c r="BT86" s="94"/>
      <c r="BU86" s="94"/>
      <c r="BV86" s="94"/>
      <c r="BW86" s="94"/>
      <c r="BX86" s="94"/>
      <c r="BY86" s="94"/>
      <c r="BZ86" s="94"/>
      <c r="CA86" s="94"/>
      <c r="CB86" s="94"/>
      <c r="CC86" s="336"/>
      <c r="CD86" s="372" t="s">
        <v>623</v>
      </c>
      <c r="CE86" s="94"/>
      <c r="CF86" s="94"/>
      <c r="CG86" s="94"/>
      <c r="CH86" s="94"/>
      <c r="CI86" s="94"/>
      <c r="CJ86" s="94"/>
      <c r="CK86" s="94"/>
      <c r="CL86" s="94"/>
      <c r="CM86" s="94"/>
      <c r="CN86" s="94"/>
      <c r="CO86" s="94"/>
      <c r="CP86" s="336"/>
    </row>
    <row r="87" spans="2:94">
      <c r="D87" s="372"/>
      <c r="E87" s="94"/>
      <c r="F87" s="94"/>
      <c r="G87" s="94"/>
      <c r="H87" s="94"/>
      <c r="I87" s="94"/>
      <c r="J87" s="94"/>
      <c r="K87" s="94"/>
      <c r="L87" s="94"/>
      <c r="M87" s="94"/>
      <c r="N87" s="94"/>
      <c r="O87" s="94"/>
      <c r="Q87" s="372" t="s">
        <v>623</v>
      </c>
      <c r="R87" s="94"/>
      <c r="S87" s="94"/>
      <c r="T87" s="94"/>
      <c r="U87" s="94"/>
      <c r="V87" s="94"/>
      <c r="W87" s="94"/>
      <c r="X87" s="94"/>
      <c r="Y87" s="94"/>
      <c r="Z87" s="94"/>
      <c r="AA87" s="94"/>
      <c r="AB87" s="94"/>
      <c r="AD87" s="372" t="s">
        <v>623</v>
      </c>
      <c r="AE87" s="94"/>
      <c r="AF87" s="94"/>
      <c r="AG87" s="94"/>
      <c r="AH87" s="94"/>
      <c r="AI87" s="94"/>
      <c r="AJ87" s="94"/>
      <c r="AK87" s="94"/>
      <c r="AL87" s="94"/>
      <c r="AM87" s="94"/>
      <c r="AN87" s="94"/>
      <c r="AO87" s="94"/>
      <c r="AQ87" s="372" t="s">
        <v>623</v>
      </c>
      <c r="AR87" s="94"/>
      <c r="AS87" s="94"/>
      <c r="AT87" s="94"/>
      <c r="AU87" s="94"/>
      <c r="AV87" s="94"/>
      <c r="AW87" s="94"/>
      <c r="AX87" s="94"/>
      <c r="AY87" s="94"/>
      <c r="AZ87" s="94"/>
      <c r="BA87" s="94"/>
      <c r="BB87" s="94"/>
      <c r="BD87" s="372" t="s">
        <v>623</v>
      </c>
      <c r="BE87" s="94"/>
      <c r="BF87" s="94"/>
      <c r="BG87" s="94"/>
      <c r="BH87" s="94"/>
      <c r="BI87" s="94"/>
      <c r="BJ87" s="94"/>
      <c r="BK87" s="94"/>
      <c r="BL87" s="94"/>
      <c r="BM87" s="94"/>
      <c r="BN87" s="94"/>
      <c r="BO87" s="94"/>
      <c r="BQ87" s="372" t="s">
        <v>623</v>
      </c>
      <c r="BR87" s="94"/>
      <c r="BS87" s="94"/>
      <c r="BT87" s="94"/>
      <c r="BU87" s="94"/>
      <c r="BV87" s="94"/>
      <c r="BW87" s="94"/>
      <c r="BX87" s="94"/>
      <c r="BY87" s="94"/>
      <c r="BZ87" s="94"/>
      <c r="CA87" s="94"/>
      <c r="CB87" s="94"/>
      <c r="CD87" s="372" t="s">
        <v>623</v>
      </c>
      <c r="CE87" s="94"/>
      <c r="CF87" s="94"/>
      <c r="CG87" s="94"/>
      <c r="CH87" s="94"/>
      <c r="CI87" s="94"/>
      <c r="CJ87" s="94"/>
      <c r="CK87" s="94"/>
      <c r="CL87" s="94"/>
      <c r="CM87" s="94"/>
      <c r="CN87" s="94"/>
      <c r="CO87" s="94"/>
    </row>
    <row r="88" spans="2:94">
      <c r="B88" s="374"/>
      <c r="C88" s="374"/>
      <c r="D88" s="371" t="s">
        <v>626</v>
      </c>
      <c r="E88" s="375">
        <f>SUM(E82:E87)</f>
        <v>0</v>
      </c>
      <c r="F88" s="375">
        <f t="shared" ref="F88:O88" si="0">SUM(F82:F87)</f>
        <v>0</v>
      </c>
      <c r="G88" s="375">
        <f t="shared" si="0"/>
        <v>0</v>
      </c>
      <c r="H88" s="375">
        <f t="shared" si="0"/>
        <v>0</v>
      </c>
      <c r="I88" s="375">
        <f>SUM(I82:I87)</f>
        <v>17953.32</v>
      </c>
      <c r="J88" s="375">
        <f t="shared" si="0"/>
        <v>0</v>
      </c>
      <c r="K88" s="375">
        <f t="shared" si="0"/>
        <v>0</v>
      </c>
      <c r="L88" s="375">
        <f t="shared" si="0"/>
        <v>0</v>
      </c>
      <c r="M88" s="375">
        <f t="shared" si="0"/>
        <v>0</v>
      </c>
      <c r="N88" s="375">
        <f t="shared" si="0"/>
        <v>0</v>
      </c>
      <c r="O88" s="375">
        <f t="shared" si="0"/>
        <v>0</v>
      </c>
      <c r="P88" s="374"/>
      <c r="Q88" s="371" t="s">
        <v>626</v>
      </c>
      <c r="R88" s="375">
        <f>SUM(R82:R87)</f>
        <v>0</v>
      </c>
      <c r="S88" s="375">
        <f t="shared" ref="S88:AB88" si="1">SUM(S82:S87)</f>
        <v>0</v>
      </c>
      <c r="T88" s="375">
        <f t="shared" si="1"/>
        <v>0</v>
      </c>
      <c r="U88" s="375">
        <f t="shared" si="1"/>
        <v>0</v>
      </c>
      <c r="V88" s="375">
        <f t="shared" si="1"/>
        <v>0</v>
      </c>
      <c r="W88" s="375">
        <f t="shared" si="1"/>
        <v>0</v>
      </c>
      <c r="X88" s="375">
        <f t="shared" si="1"/>
        <v>0</v>
      </c>
      <c r="Y88" s="375">
        <f t="shared" si="1"/>
        <v>0</v>
      </c>
      <c r="Z88" s="375">
        <f t="shared" si="1"/>
        <v>0</v>
      </c>
      <c r="AA88" s="375">
        <f t="shared" si="1"/>
        <v>0</v>
      </c>
      <c r="AB88" s="375">
        <f t="shared" si="1"/>
        <v>0</v>
      </c>
      <c r="AC88" s="374"/>
      <c r="AD88" s="371" t="s">
        <v>626</v>
      </c>
      <c r="AE88" s="375">
        <f>SUM(AE82:AE87)</f>
        <v>0</v>
      </c>
      <c r="AF88" s="375">
        <f t="shared" ref="AF88:AO88" si="2">SUM(AF82:AF87)</f>
        <v>0</v>
      </c>
      <c r="AG88" s="375">
        <f t="shared" si="2"/>
        <v>0</v>
      </c>
      <c r="AH88" s="375">
        <f t="shared" si="2"/>
        <v>0</v>
      </c>
      <c r="AI88" s="375">
        <f t="shared" si="2"/>
        <v>0</v>
      </c>
      <c r="AJ88" s="375">
        <f t="shared" si="2"/>
        <v>0</v>
      </c>
      <c r="AK88" s="375">
        <f t="shared" si="2"/>
        <v>0</v>
      </c>
      <c r="AL88" s="375">
        <f t="shared" si="2"/>
        <v>0</v>
      </c>
      <c r="AM88" s="375">
        <f t="shared" si="2"/>
        <v>0</v>
      </c>
      <c r="AN88" s="375">
        <f t="shared" si="2"/>
        <v>0</v>
      </c>
      <c r="AO88" s="375">
        <f t="shared" si="2"/>
        <v>0</v>
      </c>
      <c r="AP88" s="374"/>
      <c r="AQ88" s="371" t="s">
        <v>626</v>
      </c>
      <c r="AR88" s="375">
        <f>SUM(AR82:AR87)</f>
        <v>0</v>
      </c>
      <c r="AS88" s="375">
        <f t="shared" ref="AS88:BB88" si="3">SUM(AS82:AS87)</f>
        <v>0</v>
      </c>
      <c r="AT88" s="375">
        <f t="shared" si="3"/>
        <v>0</v>
      </c>
      <c r="AU88" s="375">
        <f t="shared" si="3"/>
        <v>0</v>
      </c>
      <c r="AV88" s="375">
        <f t="shared" si="3"/>
        <v>0</v>
      </c>
      <c r="AW88" s="375">
        <f t="shared" si="3"/>
        <v>0</v>
      </c>
      <c r="AX88" s="375">
        <f t="shared" si="3"/>
        <v>0</v>
      </c>
      <c r="AY88" s="375">
        <f t="shared" si="3"/>
        <v>0</v>
      </c>
      <c r="AZ88" s="375">
        <f t="shared" si="3"/>
        <v>0</v>
      </c>
      <c r="BA88" s="375">
        <f t="shared" si="3"/>
        <v>0</v>
      </c>
      <c r="BB88" s="375">
        <f t="shared" si="3"/>
        <v>0</v>
      </c>
      <c r="BC88" s="374"/>
      <c r="BD88" s="371" t="s">
        <v>626</v>
      </c>
      <c r="BE88" s="375">
        <f>SUM(BE82:BE87)</f>
        <v>0</v>
      </c>
      <c r="BF88" s="375">
        <f t="shared" ref="BF88:BO88" si="4">SUM(BF82:BF87)</f>
        <v>0</v>
      </c>
      <c r="BG88" s="375">
        <f t="shared" si="4"/>
        <v>0</v>
      </c>
      <c r="BH88" s="375">
        <f t="shared" si="4"/>
        <v>0</v>
      </c>
      <c r="BI88" s="375">
        <f t="shared" si="4"/>
        <v>0</v>
      </c>
      <c r="BJ88" s="375">
        <f t="shared" si="4"/>
        <v>0</v>
      </c>
      <c r="BK88" s="375">
        <f t="shared" si="4"/>
        <v>0</v>
      </c>
      <c r="BL88" s="375">
        <f t="shared" si="4"/>
        <v>0</v>
      </c>
      <c r="BM88" s="375">
        <f t="shared" si="4"/>
        <v>0</v>
      </c>
      <c r="BN88" s="375">
        <f t="shared" si="4"/>
        <v>0</v>
      </c>
      <c r="BO88" s="375">
        <f t="shared" si="4"/>
        <v>0</v>
      </c>
      <c r="BP88" s="374"/>
      <c r="BQ88" s="371" t="s">
        <v>626</v>
      </c>
      <c r="BR88" s="375">
        <f>SUM(BR82:BR87)</f>
        <v>0</v>
      </c>
      <c r="BS88" s="375">
        <f t="shared" ref="BS88:CB88" si="5">SUM(BS82:BS87)</f>
        <v>0</v>
      </c>
      <c r="BT88" s="375">
        <f t="shared" si="5"/>
        <v>0</v>
      </c>
      <c r="BU88" s="375">
        <f t="shared" si="5"/>
        <v>0</v>
      </c>
      <c r="BV88" s="375">
        <f t="shared" si="5"/>
        <v>0</v>
      </c>
      <c r="BW88" s="375">
        <f t="shared" si="5"/>
        <v>0</v>
      </c>
      <c r="BX88" s="375">
        <f t="shared" si="5"/>
        <v>0</v>
      </c>
      <c r="BY88" s="375">
        <f t="shared" si="5"/>
        <v>0</v>
      </c>
      <c r="BZ88" s="375">
        <f t="shared" si="5"/>
        <v>0</v>
      </c>
      <c r="CA88" s="375">
        <f t="shared" si="5"/>
        <v>0</v>
      </c>
      <c r="CB88" s="375">
        <f t="shared" si="5"/>
        <v>0</v>
      </c>
      <c r="CC88" s="374"/>
      <c r="CD88" s="371" t="s">
        <v>626</v>
      </c>
      <c r="CE88" s="375">
        <f>SUM(CE82:CE87)</f>
        <v>0</v>
      </c>
      <c r="CF88" s="375">
        <f t="shared" ref="CF88:CO88" si="6">SUM(CF82:CF87)</f>
        <v>0</v>
      </c>
      <c r="CG88" s="375">
        <f t="shared" si="6"/>
        <v>0</v>
      </c>
      <c r="CH88" s="375">
        <f t="shared" si="6"/>
        <v>0</v>
      </c>
      <c r="CI88" s="375">
        <f t="shared" si="6"/>
        <v>0</v>
      </c>
      <c r="CJ88" s="375">
        <f t="shared" si="6"/>
        <v>0</v>
      </c>
      <c r="CK88" s="375">
        <f t="shared" si="6"/>
        <v>0</v>
      </c>
      <c r="CL88" s="375">
        <f t="shared" si="6"/>
        <v>0</v>
      </c>
      <c r="CM88" s="375">
        <f t="shared" si="6"/>
        <v>0</v>
      </c>
      <c r="CN88" s="375">
        <f t="shared" si="6"/>
        <v>0</v>
      </c>
      <c r="CO88" s="375">
        <f t="shared" si="6"/>
        <v>0</v>
      </c>
      <c r="CP88" s="374"/>
    </row>
    <row r="89" spans="2:94">
      <c r="B89" s="336"/>
      <c r="C89" s="336"/>
      <c r="D89" s="371" t="s">
        <v>627</v>
      </c>
      <c r="P89" s="336"/>
      <c r="Q89" s="371" t="s">
        <v>627</v>
      </c>
      <c r="AC89" s="336"/>
      <c r="AD89" s="371" t="s">
        <v>627</v>
      </c>
      <c r="AP89" s="336"/>
      <c r="AQ89" s="371" t="s">
        <v>627</v>
      </c>
      <c r="BC89" s="336"/>
      <c r="BD89" s="371" t="s">
        <v>627</v>
      </c>
      <c r="BP89" s="336"/>
      <c r="BQ89" s="371" t="s">
        <v>627</v>
      </c>
      <c r="CC89" s="336"/>
      <c r="CD89" s="371" t="s">
        <v>627</v>
      </c>
      <c r="CP89" s="336"/>
    </row>
    <row r="90" spans="2:94">
      <c r="B90" s="336"/>
      <c r="C90" s="336"/>
      <c r="D90" s="371" t="s">
        <v>628</v>
      </c>
      <c r="P90" s="336"/>
      <c r="Q90" s="371" t="s">
        <v>628</v>
      </c>
      <c r="AC90" s="336"/>
      <c r="AD90" s="371" t="s">
        <v>628</v>
      </c>
      <c r="AP90" s="336"/>
      <c r="AQ90" s="371" t="s">
        <v>628</v>
      </c>
      <c r="BC90" s="336"/>
      <c r="BD90" s="371" t="s">
        <v>628</v>
      </c>
      <c r="BP90" s="336"/>
      <c r="BQ90" s="371" t="s">
        <v>628</v>
      </c>
      <c r="CC90" s="336"/>
      <c r="CD90" s="371" t="s">
        <v>628</v>
      </c>
      <c r="CP90" s="336"/>
    </row>
    <row r="91" spans="2:94">
      <c r="D91" s="372" t="s">
        <v>629</v>
      </c>
      <c r="E91" s="94"/>
      <c r="F91" s="94"/>
      <c r="G91" s="94"/>
      <c r="H91" s="94"/>
      <c r="I91" s="493">
        <v>226.06</v>
      </c>
      <c r="J91" s="94"/>
      <c r="K91" s="94"/>
      <c r="L91" s="94"/>
      <c r="M91" s="94"/>
      <c r="N91" s="94"/>
      <c r="O91" s="94"/>
      <c r="Q91" s="372" t="s">
        <v>629</v>
      </c>
      <c r="R91" s="94"/>
      <c r="S91" s="94"/>
      <c r="T91" s="94"/>
      <c r="U91" s="94"/>
      <c r="V91" s="94"/>
      <c r="W91" s="94"/>
      <c r="X91" s="94"/>
      <c r="Y91" s="94"/>
      <c r="Z91" s="94"/>
      <c r="AA91" s="94"/>
      <c r="AB91" s="94"/>
      <c r="AD91" s="372" t="s">
        <v>629</v>
      </c>
      <c r="AE91" s="94"/>
      <c r="AF91" s="94"/>
      <c r="AG91" s="94"/>
      <c r="AH91" s="94"/>
      <c r="AI91" s="94"/>
      <c r="AJ91" s="94"/>
      <c r="AK91" s="94"/>
      <c r="AL91" s="94"/>
      <c r="AM91" s="94"/>
      <c r="AN91" s="94"/>
      <c r="AO91" s="94"/>
      <c r="AQ91" s="372" t="s">
        <v>629</v>
      </c>
      <c r="AR91" s="94"/>
      <c r="AS91" s="94"/>
      <c r="AT91" s="94"/>
      <c r="AU91" s="94"/>
      <c r="AV91" s="94"/>
      <c r="AW91" s="94"/>
      <c r="AX91" s="94"/>
      <c r="AY91" s="94"/>
      <c r="AZ91" s="94"/>
      <c r="BA91" s="94"/>
      <c r="BB91" s="94"/>
      <c r="BD91" s="372" t="s">
        <v>629</v>
      </c>
      <c r="BE91" s="94"/>
      <c r="BF91" s="94"/>
      <c r="BG91" s="94"/>
      <c r="BH91" s="94"/>
      <c r="BI91" s="94"/>
      <c r="BJ91" s="94"/>
      <c r="BK91" s="94"/>
      <c r="BL91" s="94"/>
      <c r="BM91" s="94"/>
      <c r="BN91" s="94"/>
      <c r="BO91" s="94"/>
      <c r="BQ91" s="372" t="s">
        <v>629</v>
      </c>
      <c r="BR91" s="94"/>
      <c r="BS91" s="94"/>
      <c r="BT91" s="94"/>
      <c r="BU91" s="94"/>
      <c r="BV91" s="94"/>
      <c r="BW91" s="94"/>
      <c r="BX91" s="94"/>
      <c r="BY91" s="94"/>
      <c r="BZ91" s="94"/>
      <c r="CA91" s="94"/>
      <c r="CB91" s="94"/>
      <c r="CD91" s="372" t="s">
        <v>629</v>
      </c>
      <c r="CE91" s="94"/>
      <c r="CF91" s="94"/>
      <c r="CG91" s="94"/>
      <c r="CH91" s="94"/>
      <c r="CI91" s="94"/>
      <c r="CJ91" s="94"/>
      <c r="CK91" s="94"/>
      <c r="CL91" s="94"/>
      <c r="CM91" s="94"/>
      <c r="CN91" s="94"/>
      <c r="CO91" s="94"/>
    </row>
    <row r="92" spans="2:94">
      <c r="D92" s="372" t="s">
        <v>630</v>
      </c>
      <c r="E92" s="94"/>
      <c r="F92" s="94"/>
      <c r="G92" s="94"/>
      <c r="H92" s="94"/>
      <c r="I92" s="493">
        <v>3169.5299999999997</v>
      </c>
      <c r="J92" s="94"/>
      <c r="K92" s="94"/>
      <c r="L92" s="94"/>
      <c r="M92" s="94"/>
      <c r="N92" s="94"/>
      <c r="O92" s="94"/>
      <c r="Q92" s="372" t="s">
        <v>630</v>
      </c>
      <c r="R92" s="94"/>
      <c r="S92" s="94"/>
      <c r="T92" s="94"/>
      <c r="U92" s="94"/>
      <c r="V92" s="94"/>
      <c r="W92" s="94"/>
      <c r="X92" s="94"/>
      <c r="Y92" s="94"/>
      <c r="Z92" s="94"/>
      <c r="AA92" s="94"/>
      <c r="AB92" s="94"/>
      <c r="AD92" s="372" t="s">
        <v>630</v>
      </c>
      <c r="AE92" s="94"/>
      <c r="AF92" s="94"/>
      <c r="AG92" s="94"/>
      <c r="AH92" s="94"/>
      <c r="AI92" s="94"/>
      <c r="AJ92" s="94"/>
      <c r="AK92" s="94"/>
      <c r="AL92" s="94"/>
      <c r="AM92" s="94"/>
      <c r="AN92" s="94"/>
      <c r="AO92" s="94"/>
      <c r="AQ92" s="372" t="s">
        <v>630</v>
      </c>
      <c r="AR92" s="94"/>
      <c r="AS92" s="94"/>
      <c r="AT92" s="94"/>
      <c r="AU92" s="94"/>
      <c r="AV92" s="94"/>
      <c r="AW92" s="94"/>
      <c r="AX92" s="94"/>
      <c r="AY92" s="94"/>
      <c r="AZ92" s="94"/>
      <c r="BA92" s="94"/>
      <c r="BB92" s="94"/>
      <c r="BD92" s="372" t="s">
        <v>630</v>
      </c>
      <c r="BE92" s="94"/>
      <c r="BF92" s="94"/>
      <c r="BG92" s="94"/>
      <c r="BH92" s="94"/>
      <c r="BI92" s="94"/>
      <c r="BJ92" s="94"/>
      <c r="BK92" s="94"/>
      <c r="BL92" s="94"/>
      <c r="BM92" s="94"/>
      <c r="BN92" s="94"/>
      <c r="BO92" s="94"/>
      <c r="BQ92" s="372" t="s">
        <v>630</v>
      </c>
      <c r="BR92" s="94"/>
      <c r="BS92" s="94"/>
      <c r="BT92" s="94"/>
      <c r="BU92" s="94"/>
      <c r="BV92" s="94"/>
      <c r="BW92" s="94"/>
      <c r="BX92" s="94"/>
      <c r="BY92" s="94"/>
      <c r="BZ92" s="94"/>
      <c r="CA92" s="94"/>
      <c r="CB92" s="94"/>
      <c r="CD92" s="372" t="s">
        <v>630</v>
      </c>
      <c r="CE92" s="94"/>
      <c r="CF92" s="94"/>
      <c r="CG92" s="94"/>
      <c r="CH92" s="94"/>
      <c r="CI92" s="94"/>
      <c r="CJ92" s="94"/>
      <c r="CK92" s="94"/>
      <c r="CL92" s="94"/>
      <c r="CM92" s="94"/>
      <c r="CN92" s="94"/>
      <c r="CO92" s="94"/>
    </row>
    <row r="93" spans="2:94">
      <c r="D93" s="372" t="s">
        <v>631</v>
      </c>
      <c r="E93" s="94"/>
      <c r="F93" s="94"/>
      <c r="G93" s="94"/>
      <c r="H93" s="94"/>
      <c r="I93" s="493">
        <v>2168.5300000000002</v>
      </c>
      <c r="J93" s="94"/>
      <c r="K93" s="94"/>
      <c r="L93" s="94"/>
      <c r="M93" s="94"/>
      <c r="N93" s="94"/>
      <c r="O93" s="94"/>
      <c r="Q93" s="372" t="s">
        <v>631</v>
      </c>
      <c r="R93" s="94"/>
      <c r="S93" s="94"/>
      <c r="T93" s="94"/>
      <c r="U93" s="94"/>
      <c r="V93" s="94"/>
      <c r="W93" s="94"/>
      <c r="X93" s="94"/>
      <c r="Y93" s="94"/>
      <c r="Z93" s="94"/>
      <c r="AA93" s="94"/>
      <c r="AB93" s="94"/>
      <c r="AD93" s="372" t="s">
        <v>631</v>
      </c>
      <c r="AE93" s="94"/>
      <c r="AF93" s="94"/>
      <c r="AG93" s="94"/>
      <c r="AH93" s="94"/>
      <c r="AI93" s="94"/>
      <c r="AJ93" s="94"/>
      <c r="AK93" s="94"/>
      <c r="AL93" s="94"/>
      <c r="AM93" s="94"/>
      <c r="AN93" s="94"/>
      <c r="AO93" s="94"/>
      <c r="AQ93" s="372" t="s">
        <v>631</v>
      </c>
      <c r="AR93" s="94"/>
      <c r="AS93" s="94"/>
      <c r="AT93" s="94"/>
      <c r="AU93" s="94"/>
      <c r="AV93" s="94"/>
      <c r="AW93" s="94"/>
      <c r="AX93" s="94"/>
      <c r="AY93" s="94"/>
      <c r="AZ93" s="94"/>
      <c r="BA93" s="94"/>
      <c r="BB93" s="94"/>
      <c r="BD93" s="372" t="s">
        <v>631</v>
      </c>
      <c r="BE93" s="94"/>
      <c r="BF93" s="94"/>
      <c r="BG93" s="94"/>
      <c r="BH93" s="94"/>
      <c r="BI93" s="94"/>
      <c r="BJ93" s="94"/>
      <c r="BK93" s="94"/>
      <c r="BL93" s="94"/>
      <c r="BM93" s="94"/>
      <c r="BN93" s="94"/>
      <c r="BO93" s="94"/>
      <c r="BQ93" s="372" t="s">
        <v>631</v>
      </c>
      <c r="BR93" s="94"/>
      <c r="BS93" s="94"/>
      <c r="BT93" s="94"/>
      <c r="BU93" s="94"/>
      <c r="BV93" s="94"/>
      <c r="BW93" s="94"/>
      <c r="BX93" s="94"/>
      <c r="BY93" s="94"/>
      <c r="BZ93" s="94"/>
      <c r="CA93" s="94"/>
      <c r="CB93" s="94"/>
      <c r="CD93" s="372" t="s">
        <v>631</v>
      </c>
      <c r="CE93" s="94"/>
      <c r="CF93" s="94"/>
      <c r="CG93" s="94"/>
      <c r="CH93" s="94"/>
      <c r="CI93" s="94"/>
      <c r="CJ93" s="94"/>
      <c r="CK93" s="94"/>
      <c r="CL93" s="94"/>
      <c r="CM93" s="94"/>
      <c r="CN93" s="94"/>
      <c r="CO93" s="94"/>
    </row>
    <row r="94" spans="2:94">
      <c r="D94" s="372" t="s">
        <v>237</v>
      </c>
      <c r="E94" s="94"/>
      <c r="F94" s="94"/>
      <c r="G94" s="94"/>
      <c r="H94" s="94"/>
      <c r="I94" s="493">
        <v>2142.21</v>
      </c>
      <c r="J94" s="94"/>
      <c r="K94" s="94"/>
      <c r="L94" s="94"/>
      <c r="M94" s="94"/>
      <c r="N94" s="94"/>
      <c r="O94" s="94"/>
      <c r="Q94" s="372" t="s">
        <v>237</v>
      </c>
      <c r="R94" s="94"/>
      <c r="S94" s="94"/>
      <c r="T94" s="94"/>
      <c r="U94" s="94"/>
      <c r="V94" s="94"/>
      <c r="W94" s="94"/>
      <c r="X94" s="94"/>
      <c r="Y94" s="94"/>
      <c r="Z94" s="94"/>
      <c r="AA94" s="94"/>
      <c r="AB94" s="94"/>
      <c r="AD94" s="372" t="s">
        <v>237</v>
      </c>
      <c r="AE94" s="94"/>
      <c r="AF94" s="94"/>
      <c r="AG94" s="94"/>
      <c r="AH94" s="94"/>
      <c r="AI94" s="94"/>
      <c r="AJ94" s="94"/>
      <c r="AK94" s="94"/>
      <c r="AL94" s="94"/>
      <c r="AM94" s="94"/>
      <c r="AN94" s="94"/>
      <c r="AO94" s="94"/>
      <c r="AQ94" s="372" t="s">
        <v>237</v>
      </c>
      <c r="AR94" s="94"/>
      <c r="AS94" s="94"/>
      <c r="AT94" s="94"/>
      <c r="AU94" s="94"/>
      <c r="AV94" s="94"/>
      <c r="AW94" s="94"/>
      <c r="AX94" s="94"/>
      <c r="AY94" s="94"/>
      <c r="AZ94" s="94"/>
      <c r="BA94" s="94"/>
      <c r="BB94" s="94"/>
      <c r="BD94" s="372" t="s">
        <v>237</v>
      </c>
      <c r="BE94" s="94"/>
      <c r="BF94" s="94"/>
      <c r="BG94" s="94"/>
      <c r="BH94" s="94"/>
      <c r="BI94" s="94"/>
      <c r="BJ94" s="94"/>
      <c r="BK94" s="94"/>
      <c r="BL94" s="94"/>
      <c r="BM94" s="94"/>
      <c r="BN94" s="94"/>
      <c r="BO94" s="94"/>
      <c r="BQ94" s="372" t="s">
        <v>237</v>
      </c>
      <c r="BR94" s="94"/>
      <c r="BS94" s="94"/>
      <c r="BT94" s="94"/>
      <c r="BU94" s="94"/>
      <c r="BV94" s="94"/>
      <c r="BW94" s="94"/>
      <c r="BX94" s="94"/>
      <c r="BY94" s="94"/>
      <c r="BZ94" s="94"/>
      <c r="CA94" s="94"/>
      <c r="CB94" s="94"/>
      <c r="CD94" s="372" t="s">
        <v>237</v>
      </c>
      <c r="CE94" s="94"/>
      <c r="CF94" s="94"/>
      <c r="CG94" s="94"/>
      <c r="CH94" s="94"/>
      <c r="CI94" s="94"/>
      <c r="CJ94" s="94"/>
      <c r="CK94" s="94"/>
      <c r="CL94" s="94"/>
      <c r="CM94" s="94"/>
      <c r="CN94" s="94"/>
      <c r="CO94" s="94"/>
    </row>
    <row r="95" spans="2:94">
      <c r="D95" s="372" t="s">
        <v>632</v>
      </c>
      <c r="E95" s="94"/>
      <c r="F95" s="94"/>
      <c r="G95" s="94"/>
      <c r="H95" s="94"/>
      <c r="I95" s="493">
        <v>2218.4</v>
      </c>
      <c r="J95" s="94"/>
      <c r="K95" s="94"/>
      <c r="L95" s="94"/>
      <c r="M95" s="94"/>
      <c r="N95" s="94"/>
      <c r="O95" s="94"/>
      <c r="Q95" s="372" t="s">
        <v>632</v>
      </c>
      <c r="R95" s="94"/>
      <c r="S95" s="94"/>
      <c r="T95" s="94"/>
      <c r="U95" s="94"/>
      <c r="V95" s="94"/>
      <c r="W95" s="94"/>
      <c r="X95" s="94"/>
      <c r="Y95" s="94"/>
      <c r="Z95" s="94"/>
      <c r="AA95" s="94"/>
      <c r="AB95" s="94"/>
      <c r="AD95" s="372" t="s">
        <v>632</v>
      </c>
      <c r="AE95" s="94"/>
      <c r="AF95" s="94"/>
      <c r="AG95" s="94"/>
      <c r="AH95" s="94"/>
      <c r="AI95" s="94"/>
      <c r="AJ95" s="94"/>
      <c r="AK95" s="94"/>
      <c r="AL95" s="94"/>
      <c r="AM95" s="94"/>
      <c r="AN95" s="94"/>
      <c r="AO95" s="94"/>
      <c r="AQ95" s="372" t="s">
        <v>632</v>
      </c>
      <c r="AR95" s="94"/>
      <c r="AS95" s="94"/>
      <c r="AT95" s="94"/>
      <c r="AU95" s="94"/>
      <c r="AV95" s="94"/>
      <c r="AW95" s="94"/>
      <c r="AX95" s="94"/>
      <c r="AY95" s="94"/>
      <c r="AZ95" s="94"/>
      <c r="BA95" s="94"/>
      <c r="BB95" s="94"/>
      <c r="BD95" s="372" t="s">
        <v>632</v>
      </c>
      <c r="BE95" s="94"/>
      <c r="BF95" s="94"/>
      <c r="BG95" s="94"/>
      <c r="BH95" s="94"/>
      <c r="BI95" s="94"/>
      <c r="BJ95" s="94"/>
      <c r="BK95" s="94"/>
      <c r="BL95" s="94"/>
      <c r="BM95" s="94"/>
      <c r="BN95" s="94"/>
      <c r="BO95" s="94"/>
      <c r="BQ95" s="372" t="s">
        <v>632</v>
      </c>
      <c r="BR95" s="94"/>
      <c r="BS95" s="94"/>
      <c r="BT95" s="94"/>
      <c r="BU95" s="94"/>
      <c r="BV95" s="94"/>
      <c r="BW95" s="94"/>
      <c r="BX95" s="94"/>
      <c r="BY95" s="94"/>
      <c r="BZ95" s="94"/>
      <c r="CA95" s="94"/>
      <c r="CB95" s="94"/>
      <c r="CD95" s="372" t="s">
        <v>632</v>
      </c>
      <c r="CE95" s="94"/>
      <c r="CF95" s="94"/>
      <c r="CG95" s="94"/>
      <c r="CH95" s="94"/>
      <c r="CI95" s="94"/>
      <c r="CJ95" s="94"/>
      <c r="CK95" s="94"/>
      <c r="CL95" s="94"/>
      <c r="CM95" s="94"/>
      <c r="CN95" s="94"/>
      <c r="CO95" s="94"/>
    </row>
    <row r="96" spans="2:94">
      <c r="D96" s="372" t="s">
        <v>633</v>
      </c>
      <c r="E96" s="94"/>
      <c r="F96" s="94"/>
      <c r="G96" s="94"/>
      <c r="H96" s="94"/>
      <c r="I96" s="373"/>
      <c r="J96" s="94"/>
      <c r="K96" s="94"/>
      <c r="L96" s="94"/>
      <c r="M96" s="94"/>
      <c r="N96" s="94"/>
      <c r="O96" s="94"/>
      <c r="Q96" s="372" t="s">
        <v>633</v>
      </c>
      <c r="R96" s="94"/>
      <c r="S96" s="94"/>
      <c r="T96" s="94"/>
      <c r="U96" s="94"/>
      <c r="V96" s="94"/>
      <c r="W96" s="94"/>
      <c r="X96" s="94"/>
      <c r="Y96" s="94"/>
      <c r="Z96" s="94"/>
      <c r="AA96" s="94"/>
      <c r="AB96" s="94"/>
      <c r="AD96" s="372" t="s">
        <v>633</v>
      </c>
      <c r="AE96" s="94"/>
      <c r="AF96" s="94"/>
      <c r="AG96" s="94"/>
      <c r="AH96" s="94"/>
      <c r="AI96" s="94"/>
      <c r="AJ96" s="94"/>
      <c r="AK96" s="94"/>
      <c r="AL96" s="94"/>
      <c r="AM96" s="94"/>
      <c r="AN96" s="94"/>
      <c r="AO96" s="94"/>
      <c r="AQ96" s="372" t="s">
        <v>633</v>
      </c>
      <c r="AR96" s="94"/>
      <c r="AS96" s="94"/>
      <c r="AT96" s="94"/>
      <c r="AU96" s="94"/>
      <c r="AV96" s="94"/>
      <c r="AW96" s="94"/>
      <c r="AX96" s="94"/>
      <c r="AY96" s="94"/>
      <c r="AZ96" s="94"/>
      <c r="BA96" s="94"/>
      <c r="BB96" s="94"/>
      <c r="BD96" s="372" t="s">
        <v>633</v>
      </c>
      <c r="BE96" s="94"/>
      <c r="BF96" s="94"/>
      <c r="BG96" s="94"/>
      <c r="BH96" s="94"/>
      <c r="BI96" s="94"/>
      <c r="BJ96" s="94"/>
      <c r="BK96" s="94"/>
      <c r="BL96" s="94"/>
      <c r="BM96" s="94"/>
      <c r="BN96" s="94"/>
      <c r="BO96" s="94"/>
      <c r="BQ96" s="372" t="s">
        <v>633</v>
      </c>
      <c r="BR96" s="94"/>
      <c r="BS96" s="94"/>
      <c r="BT96" s="94"/>
      <c r="BU96" s="94"/>
      <c r="BV96" s="94"/>
      <c r="BW96" s="94"/>
      <c r="BX96" s="94"/>
      <c r="BY96" s="94"/>
      <c r="BZ96" s="94"/>
      <c r="CA96" s="94"/>
      <c r="CB96" s="94"/>
      <c r="CD96" s="372" t="s">
        <v>633</v>
      </c>
      <c r="CE96" s="94"/>
      <c r="CF96" s="94"/>
      <c r="CG96" s="94"/>
      <c r="CH96" s="94"/>
      <c r="CI96" s="94"/>
      <c r="CJ96" s="94"/>
      <c r="CK96" s="94"/>
      <c r="CL96" s="94"/>
      <c r="CM96" s="94"/>
      <c r="CN96" s="94"/>
      <c r="CO96" s="94"/>
    </row>
    <row r="97" spans="2:94">
      <c r="D97" s="372"/>
      <c r="E97" s="94"/>
      <c r="F97" s="94"/>
      <c r="G97" s="94"/>
      <c r="H97" s="94"/>
      <c r="I97" s="373"/>
      <c r="J97" s="94"/>
      <c r="K97" s="94"/>
      <c r="L97" s="94"/>
      <c r="M97" s="94"/>
      <c r="N97" s="94"/>
      <c r="O97" s="94"/>
      <c r="Q97" s="372" t="s">
        <v>623</v>
      </c>
      <c r="R97" s="94"/>
      <c r="S97" s="94"/>
      <c r="T97" s="94"/>
      <c r="U97" s="94"/>
      <c r="V97" s="94"/>
      <c r="W97" s="94"/>
      <c r="X97" s="94"/>
      <c r="Y97" s="94"/>
      <c r="Z97" s="94"/>
      <c r="AA97" s="94"/>
      <c r="AB97" s="94"/>
      <c r="AD97" s="372" t="s">
        <v>623</v>
      </c>
      <c r="AE97" s="94"/>
      <c r="AF97" s="94"/>
      <c r="AG97" s="94"/>
      <c r="AH97" s="94"/>
      <c r="AI97" s="94"/>
      <c r="AJ97" s="94"/>
      <c r="AK97" s="94"/>
      <c r="AL97" s="94"/>
      <c r="AM97" s="94"/>
      <c r="AN97" s="94"/>
      <c r="AO97" s="94"/>
      <c r="AQ97" s="372" t="s">
        <v>623</v>
      </c>
      <c r="AR97" s="94"/>
      <c r="AS97" s="94"/>
      <c r="AT97" s="94"/>
      <c r="AU97" s="94"/>
      <c r="AV97" s="94"/>
      <c r="AW97" s="94"/>
      <c r="AX97" s="94"/>
      <c r="AY97" s="94"/>
      <c r="AZ97" s="94"/>
      <c r="BA97" s="94"/>
      <c r="BB97" s="94"/>
      <c r="BD97" s="372" t="s">
        <v>623</v>
      </c>
      <c r="BE97" s="94"/>
      <c r="BF97" s="94"/>
      <c r="BG97" s="94"/>
      <c r="BH97" s="94"/>
      <c r="BI97" s="94"/>
      <c r="BJ97" s="94"/>
      <c r="BK97" s="94"/>
      <c r="BL97" s="94"/>
      <c r="BM97" s="94"/>
      <c r="BN97" s="94"/>
      <c r="BO97" s="94"/>
      <c r="BQ97" s="372" t="s">
        <v>623</v>
      </c>
      <c r="BR97" s="94"/>
      <c r="BS97" s="94"/>
      <c r="BT97" s="94"/>
      <c r="BU97" s="94"/>
      <c r="BV97" s="94"/>
      <c r="BW97" s="94"/>
      <c r="BX97" s="94"/>
      <c r="BY97" s="94"/>
      <c r="BZ97" s="94"/>
      <c r="CA97" s="94"/>
      <c r="CB97" s="94"/>
      <c r="CD97" s="372" t="s">
        <v>623</v>
      </c>
      <c r="CE97" s="94"/>
      <c r="CF97" s="94"/>
      <c r="CG97" s="94"/>
      <c r="CH97" s="94"/>
      <c r="CI97" s="94"/>
      <c r="CJ97" s="94"/>
      <c r="CK97" s="94"/>
      <c r="CL97" s="94"/>
      <c r="CM97" s="94"/>
      <c r="CN97" s="94"/>
      <c r="CO97" s="94"/>
    </row>
    <row r="98" spans="2:94">
      <c r="B98" s="336"/>
      <c r="C98" s="336"/>
      <c r="D98" s="371" t="s">
        <v>634</v>
      </c>
      <c r="I98" s="373"/>
      <c r="P98" s="336"/>
      <c r="Q98" s="371" t="s">
        <v>635</v>
      </c>
      <c r="AC98" s="336"/>
      <c r="AD98" s="371" t="s">
        <v>636</v>
      </c>
      <c r="AP98" s="336"/>
      <c r="AQ98" s="371" t="s">
        <v>636</v>
      </c>
      <c r="BC98" s="336"/>
      <c r="BD98" s="371" t="s">
        <v>636</v>
      </c>
      <c r="BP98" s="336"/>
      <c r="BQ98" s="371" t="s">
        <v>636</v>
      </c>
      <c r="CC98" s="336"/>
      <c r="CD98" s="371" t="s">
        <v>636</v>
      </c>
      <c r="CP98" s="336"/>
    </row>
    <row r="99" spans="2:94">
      <c r="D99" s="372" t="s">
        <v>637</v>
      </c>
      <c r="E99" s="94"/>
      <c r="F99" s="94"/>
      <c r="G99" s="94"/>
      <c r="H99" s="94"/>
      <c r="I99" s="493">
        <v>2704.65</v>
      </c>
      <c r="J99" s="94"/>
      <c r="K99" s="94"/>
      <c r="L99" s="94"/>
      <c r="M99" s="94"/>
      <c r="N99" s="94"/>
      <c r="O99" s="94"/>
      <c r="Q99" s="372" t="s">
        <v>637</v>
      </c>
      <c r="R99" s="94"/>
      <c r="S99" s="94"/>
      <c r="T99" s="94"/>
      <c r="U99" s="94"/>
      <c r="V99" s="94"/>
      <c r="W99" s="94"/>
      <c r="X99" s="94"/>
      <c r="Y99" s="94"/>
      <c r="Z99" s="94"/>
      <c r="AA99" s="94"/>
      <c r="AB99" s="94"/>
      <c r="AD99" s="372" t="s">
        <v>637</v>
      </c>
      <c r="AE99" s="94"/>
      <c r="AF99" s="94"/>
      <c r="AG99" s="94"/>
      <c r="AH99" s="94"/>
      <c r="AI99" s="94"/>
      <c r="AJ99" s="94"/>
      <c r="AK99" s="94"/>
      <c r="AL99" s="94"/>
      <c r="AM99" s="94"/>
      <c r="AN99" s="94"/>
      <c r="AO99" s="94"/>
      <c r="AQ99" s="372" t="s">
        <v>637</v>
      </c>
      <c r="AR99" s="94"/>
      <c r="AS99" s="94"/>
      <c r="AT99" s="94"/>
      <c r="AU99" s="94"/>
      <c r="AV99" s="94"/>
      <c r="AW99" s="94"/>
      <c r="AX99" s="94"/>
      <c r="AY99" s="94"/>
      <c r="AZ99" s="94"/>
      <c r="BA99" s="94"/>
      <c r="BB99" s="94"/>
      <c r="BD99" s="372" t="s">
        <v>637</v>
      </c>
      <c r="BE99" s="94"/>
      <c r="BF99" s="94"/>
      <c r="BG99" s="94"/>
      <c r="BH99" s="94"/>
      <c r="BI99" s="94"/>
      <c r="BJ99" s="94"/>
      <c r="BK99" s="94"/>
      <c r="BL99" s="94"/>
      <c r="BM99" s="94"/>
      <c r="BN99" s="94"/>
      <c r="BO99" s="94"/>
      <c r="BQ99" s="372" t="s">
        <v>637</v>
      </c>
      <c r="BR99" s="94"/>
      <c r="BS99" s="94"/>
      <c r="BT99" s="94"/>
      <c r="BU99" s="94"/>
      <c r="BV99" s="94"/>
      <c r="BW99" s="94"/>
      <c r="BX99" s="94"/>
      <c r="BY99" s="94"/>
      <c r="BZ99" s="94"/>
      <c r="CA99" s="94"/>
      <c r="CB99" s="94"/>
      <c r="CD99" s="372" t="s">
        <v>637</v>
      </c>
      <c r="CE99" s="94"/>
      <c r="CF99" s="94"/>
      <c r="CG99" s="94"/>
      <c r="CH99" s="94"/>
      <c r="CI99" s="94"/>
      <c r="CJ99" s="94"/>
      <c r="CK99" s="94"/>
      <c r="CL99" s="94"/>
      <c r="CM99" s="94"/>
      <c r="CN99" s="94"/>
      <c r="CO99" s="94"/>
    </row>
    <row r="100" spans="2:94">
      <c r="D100" s="372" t="s">
        <v>638</v>
      </c>
      <c r="E100" s="94"/>
      <c r="F100" s="94"/>
      <c r="G100" s="94"/>
      <c r="H100" s="94"/>
      <c r="I100" s="493">
        <v>25.25</v>
      </c>
      <c r="J100" s="94"/>
      <c r="K100" s="94"/>
      <c r="L100" s="94"/>
      <c r="M100" s="94"/>
      <c r="N100" s="94"/>
      <c r="O100" s="94"/>
      <c r="Q100" s="372" t="s">
        <v>638</v>
      </c>
      <c r="R100" s="94"/>
      <c r="S100" s="94"/>
      <c r="T100" s="94"/>
      <c r="U100" s="94"/>
      <c r="V100" s="94"/>
      <c r="W100" s="94"/>
      <c r="X100" s="94"/>
      <c r="Y100" s="94"/>
      <c r="Z100" s="94"/>
      <c r="AA100" s="94"/>
      <c r="AB100" s="94"/>
      <c r="AD100" s="372" t="s">
        <v>638</v>
      </c>
      <c r="AE100" s="94"/>
      <c r="AF100" s="94"/>
      <c r="AG100" s="94"/>
      <c r="AH100" s="94"/>
      <c r="AI100" s="94"/>
      <c r="AJ100" s="94"/>
      <c r="AK100" s="94"/>
      <c r="AL100" s="94"/>
      <c r="AM100" s="94"/>
      <c r="AN100" s="94"/>
      <c r="AO100" s="94"/>
      <c r="AQ100" s="372" t="s">
        <v>638</v>
      </c>
      <c r="AR100" s="94"/>
      <c r="AS100" s="94"/>
      <c r="AT100" s="94"/>
      <c r="AU100" s="94"/>
      <c r="AV100" s="94"/>
      <c r="AW100" s="94"/>
      <c r="AX100" s="94"/>
      <c r="AY100" s="94"/>
      <c r="AZ100" s="94"/>
      <c r="BA100" s="94"/>
      <c r="BB100" s="94"/>
      <c r="BD100" s="372" t="s">
        <v>638</v>
      </c>
      <c r="BE100" s="94"/>
      <c r="BF100" s="94"/>
      <c r="BG100" s="94"/>
      <c r="BH100" s="94"/>
      <c r="BI100" s="94"/>
      <c r="BJ100" s="94"/>
      <c r="BK100" s="94"/>
      <c r="BL100" s="94"/>
      <c r="BM100" s="94"/>
      <c r="BN100" s="94"/>
      <c r="BO100" s="94"/>
      <c r="BQ100" s="372" t="s">
        <v>638</v>
      </c>
      <c r="BR100" s="94"/>
      <c r="BS100" s="94"/>
      <c r="BT100" s="94"/>
      <c r="BU100" s="94"/>
      <c r="BV100" s="94"/>
      <c r="BW100" s="94"/>
      <c r="BX100" s="94"/>
      <c r="BY100" s="94"/>
      <c r="BZ100" s="94"/>
      <c r="CA100" s="94"/>
      <c r="CB100" s="94"/>
      <c r="CD100" s="372" t="s">
        <v>638</v>
      </c>
      <c r="CE100" s="94"/>
      <c r="CF100" s="94"/>
      <c r="CG100" s="94"/>
      <c r="CH100" s="94"/>
      <c r="CI100" s="94"/>
      <c r="CJ100" s="94"/>
      <c r="CK100" s="94"/>
      <c r="CL100" s="94"/>
      <c r="CM100" s="94"/>
      <c r="CN100" s="94"/>
      <c r="CO100" s="94"/>
    </row>
    <row r="101" spans="2:94">
      <c r="D101" s="372"/>
      <c r="E101" s="94"/>
      <c r="F101" s="94"/>
      <c r="G101" s="94"/>
      <c r="H101" s="94"/>
      <c r="I101" s="373"/>
      <c r="J101" s="94"/>
      <c r="K101" s="94"/>
      <c r="L101" s="94"/>
      <c r="M101" s="94"/>
      <c r="N101" s="94"/>
      <c r="O101" s="94"/>
      <c r="Q101" s="372" t="s">
        <v>623</v>
      </c>
      <c r="R101" s="94"/>
      <c r="S101" s="94"/>
      <c r="T101" s="94"/>
      <c r="U101" s="94"/>
      <c r="V101" s="94"/>
      <c r="W101" s="94"/>
      <c r="X101" s="94"/>
      <c r="Y101" s="94"/>
      <c r="Z101" s="94"/>
      <c r="AA101" s="94"/>
      <c r="AB101" s="94"/>
      <c r="AD101" s="372" t="s">
        <v>623</v>
      </c>
      <c r="AE101" s="94"/>
      <c r="AF101" s="94"/>
      <c r="AG101" s="94"/>
      <c r="AH101" s="94"/>
      <c r="AI101" s="94"/>
      <c r="AJ101" s="94"/>
      <c r="AK101" s="94"/>
      <c r="AL101" s="94"/>
      <c r="AM101" s="94"/>
      <c r="AN101" s="94"/>
      <c r="AO101" s="94"/>
      <c r="AQ101" s="372" t="s">
        <v>623</v>
      </c>
      <c r="AR101" s="94"/>
      <c r="AS101" s="94"/>
      <c r="AT101" s="94"/>
      <c r="AU101" s="94"/>
      <c r="AV101" s="94"/>
      <c r="AW101" s="94"/>
      <c r="AX101" s="94"/>
      <c r="AY101" s="94"/>
      <c r="AZ101" s="94"/>
      <c r="BA101" s="94"/>
      <c r="BB101" s="94"/>
      <c r="BD101" s="372" t="s">
        <v>623</v>
      </c>
      <c r="BE101" s="94"/>
      <c r="BF101" s="94"/>
      <c r="BG101" s="94"/>
      <c r="BH101" s="94"/>
      <c r="BI101" s="94"/>
      <c r="BJ101" s="94"/>
      <c r="BK101" s="94"/>
      <c r="BL101" s="94"/>
      <c r="BM101" s="94"/>
      <c r="BN101" s="94"/>
      <c r="BO101" s="94"/>
      <c r="BQ101" s="372" t="s">
        <v>623</v>
      </c>
      <c r="BR101" s="94"/>
      <c r="BS101" s="94"/>
      <c r="BT101" s="94"/>
      <c r="BU101" s="94"/>
      <c r="BV101" s="94"/>
      <c r="BW101" s="94"/>
      <c r="BX101" s="94"/>
      <c r="BY101" s="94"/>
      <c r="BZ101" s="94"/>
      <c r="CA101" s="94"/>
      <c r="CB101" s="94"/>
      <c r="CD101" s="372" t="s">
        <v>623</v>
      </c>
      <c r="CE101" s="94"/>
      <c r="CF101" s="94"/>
      <c r="CG101" s="94"/>
      <c r="CH101" s="94"/>
      <c r="CI101" s="94"/>
      <c r="CJ101" s="94"/>
      <c r="CK101" s="94"/>
      <c r="CL101" s="94"/>
      <c r="CM101" s="94"/>
      <c r="CN101" s="94"/>
      <c r="CO101" s="94"/>
    </row>
    <row r="102" spans="2:94">
      <c r="B102" s="374"/>
      <c r="C102" s="374"/>
      <c r="D102" s="376" t="s">
        <v>639</v>
      </c>
      <c r="E102" s="375">
        <f>SUM(E91:E100)</f>
        <v>0</v>
      </c>
      <c r="F102" s="375">
        <f t="shared" ref="F102:O102" si="7">SUM(F91:F100)</f>
        <v>0</v>
      </c>
      <c r="G102" s="375">
        <f t="shared" si="7"/>
        <v>0</v>
      </c>
      <c r="H102" s="375">
        <f t="shared" si="7"/>
        <v>0</v>
      </c>
      <c r="I102" s="375">
        <f>SUM(I91:I100)</f>
        <v>12654.63</v>
      </c>
      <c r="J102" s="375">
        <f t="shared" si="7"/>
        <v>0</v>
      </c>
      <c r="K102" s="375">
        <f t="shared" si="7"/>
        <v>0</v>
      </c>
      <c r="L102" s="375">
        <f t="shared" si="7"/>
        <v>0</v>
      </c>
      <c r="M102" s="375">
        <f t="shared" si="7"/>
        <v>0</v>
      </c>
      <c r="N102" s="375">
        <f t="shared" si="7"/>
        <v>0</v>
      </c>
      <c r="O102" s="375">
        <f t="shared" si="7"/>
        <v>0</v>
      </c>
      <c r="P102" s="374"/>
      <c r="Q102" s="371" t="s">
        <v>639</v>
      </c>
      <c r="R102" s="375">
        <f>SUM(R91:R100)</f>
        <v>0</v>
      </c>
      <c r="S102" s="375">
        <f t="shared" ref="S102:AB102" si="8">SUM(S91:S100)</f>
        <v>0</v>
      </c>
      <c r="T102" s="375">
        <f t="shared" si="8"/>
        <v>0</v>
      </c>
      <c r="U102" s="375">
        <f t="shared" si="8"/>
        <v>0</v>
      </c>
      <c r="V102" s="375">
        <f t="shared" si="8"/>
        <v>0</v>
      </c>
      <c r="W102" s="375">
        <f t="shared" si="8"/>
        <v>0</v>
      </c>
      <c r="X102" s="375">
        <f t="shared" si="8"/>
        <v>0</v>
      </c>
      <c r="Y102" s="375">
        <f t="shared" si="8"/>
        <v>0</v>
      </c>
      <c r="Z102" s="375">
        <f t="shared" si="8"/>
        <v>0</v>
      </c>
      <c r="AA102" s="375">
        <f t="shared" si="8"/>
        <v>0</v>
      </c>
      <c r="AB102" s="375">
        <f t="shared" si="8"/>
        <v>0</v>
      </c>
      <c r="AC102" s="374"/>
      <c r="AD102" s="371" t="s">
        <v>639</v>
      </c>
      <c r="AE102" s="375">
        <f>SUM(AE91:AE100)</f>
        <v>0</v>
      </c>
      <c r="AF102" s="375">
        <f t="shared" ref="AF102:AO102" si="9">SUM(AF91:AF100)</f>
        <v>0</v>
      </c>
      <c r="AG102" s="375">
        <f t="shared" si="9"/>
        <v>0</v>
      </c>
      <c r="AH102" s="375">
        <f t="shared" si="9"/>
        <v>0</v>
      </c>
      <c r="AI102" s="375">
        <f t="shared" si="9"/>
        <v>0</v>
      </c>
      <c r="AJ102" s="375">
        <f t="shared" si="9"/>
        <v>0</v>
      </c>
      <c r="AK102" s="375">
        <f t="shared" si="9"/>
        <v>0</v>
      </c>
      <c r="AL102" s="375">
        <f t="shared" si="9"/>
        <v>0</v>
      </c>
      <c r="AM102" s="375">
        <f t="shared" si="9"/>
        <v>0</v>
      </c>
      <c r="AN102" s="375">
        <f t="shared" si="9"/>
        <v>0</v>
      </c>
      <c r="AO102" s="375">
        <f t="shared" si="9"/>
        <v>0</v>
      </c>
      <c r="AP102" s="374"/>
      <c r="AQ102" s="371" t="s">
        <v>639</v>
      </c>
      <c r="AR102" s="375">
        <f>SUM(AR91:AR100)</f>
        <v>0</v>
      </c>
      <c r="AS102" s="375">
        <f t="shared" ref="AS102:BB102" si="10">SUM(AS91:AS100)</f>
        <v>0</v>
      </c>
      <c r="AT102" s="375">
        <f t="shared" si="10"/>
        <v>0</v>
      </c>
      <c r="AU102" s="375">
        <f t="shared" si="10"/>
        <v>0</v>
      </c>
      <c r="AV102" s="375">
        <f t="shared" si="10"/>
        <v>0</v>
      </c>
      <c r="AW102" s="375">
        <f t="shared" si="10"/>
        <v>0</v>
      </c>
      <c r="AX102" s="375">
        <f t="shared" si="10"/>
        <v>0</v>
      </c>
      <c r="AY102" s="375">
        <f t="shared" si="10"/>
        <v>0</v>
      </c>
      <c r="AZ102" s="375">
        <f t="shared" si="10"/>
        <v>0</v>
      </c>
      <c r="BA102" s="375">
        <f t="shared" si="10"/>
        <v>0</v>
      </c>
      <c r="BB102" s="375">
        <f t="shared" si="10"/>
        <v>0</v>
      </c>
      <c r="BC102" s="374"/>
      <c r="BD102" s="371" t="s">
        <v>639</v>
      </c>
      <c r="BE102" s="375">
        <f>SUM(BE91:BE100)</f>
        <v>0</v>
      </c>
      <c r="BF102" s="375">
        <f t="shared" ref="BF102:BO102" si="11">SUM(BF91:BF100)</f>
        <v>0</v>
      </c>
      <c r="BG102" s="375">
        <f t="shared" si="11"/>
        <v>0</v>
      </c>
      <c r="BH102" s="375">
        <f t="shared" si="11"/>
        <v>0</v>
      </c>
      <c r="BI102" s="375">
        <f t="shared" si="11"/>
        <v>0</v>
      </c>
      <c r="BJ102" s="375">
        <f t="shared" si="11"/>
        <v>0</v>
      </c>
      <c r="BK102" s="375">
        <f t="shared" si="11"/>
        <v>0</v>
      </c>
      <c r="BL102" s="375">
        <f t="shared" si="11"/>
        <v>0</v>
      </c>
      <c r="BM102" s="375">
        <f t="shared" si="11"/>
        <v>0</v>
      </c>
      <c r="BN102" s="375">
        <f t="shared" si="11"/>
        <v>0</v>
      </c>
      <c r="BO102" s="375">
        <f t="shared" si="11"/>
        <v>0</v>
      </c>
      <c r="BP102" s="374"/>
      <c r="BQ102" s="371" t="s">
        <v>639</v>
      </c>
      <c r="BR102" s="375">
        <f>SUM(BR91:BR100)</f>
        <v>0</v>
      </c>
      <c r="BS102" s="375">
        <f t="shared" ref="BS102:CB102" si="12">SUM(BS91:BS100)</f>
        <v>0</v>
      </c>
      <c r="BT102" s="375">
        <f t="shared" si="12"/>
        <v>0</v>
      </c>
      <c r="BU102" s="375">
        <f t="shared" si="12"/>
        <v>0</v>
      </c>
      <c r="BV102" s="375">
        <f t="shared" si="12"/>
        <v>0</v>
      </c>
      <c r="BW102" s="375">
        <f t="shared" si="12"/>
        <v>0</v>
      </c>
      <c r="BX102" s="375">
        <f t="shared" si="12"/>
        <v>0</v>
      </c>
      <c r="BY102" s="375">
        <f t="shared" si="12"/>
        <v>0</v>
      </c>
      <c r="BZ102" s="375">
        <f t="shared" si="12"/>
        <v>0</v>
      </c>
      <c r="CA102" s="375">
        <f t="shared" si="12"/>
        <v>0</v>
      </c>
      <c r="CB102" s="375">
        <f t="shared" si="12"/>
        <v>0</v>
      </c>
      <c r="CC102" s="374"/>
      <c r="CD102" s="371" t="s">
        <v>639</v>
      </c>
      <c r="CE102" s="375">
        <f>SUM(CE91:CE100)</f>
        <v>0</v>
      </c>
      <c r="CF102" s="375">
        <f t="shared" ref="CF102:CO102" si="13">SUM(CF91:CF100)</f>
        <v>0</v>
      </c>
      <c r="CG102" s="375">
        <f t="shared" si="13"/>
        <v>0</v>
      </c>
      <c r="CH102" s="375">
        <f t="shared" si="13"/>
        <v>0</v>
      </c>
      <c r="CI102" s="375">
        <f t="shared" si="13"/>
        <v>0</v>
      </c>
      <c r="CJ102" s="375">
        <f t="shared" si="13"/>
        <v>0</v>
      </c>
      <c r="CK102" s="375">
        <f t="shared" si="13"/>
        <v>0</v>
      </c>
      <c r="CL102" s="375">
        <f t="shared" si="13"/>
        <v>0</v>
      </c>
      <c r="CM102" s="375">
        <f t="shared" si="13"/>
        <v>0</v>
      </c>
      <c r="CN102" s="375">
        <f t="shared" si="13"/>
        <v>0</v>
      </c>
      <c r="CO102" s="375">
        <f t="shared" si="13"/>
        <v>0</v>
      </c>
      <c r="CP102" s="374"/>
    </row>
    <row r="103" spans="2:94" s="336" customFormat="1">
      <c r="B103" s="374"/>
      <c r="C103" s="374"/>
      <c r="D103" s="376" t="s">
        <v>640</v>
      </c>
      <c r="E103" s="377"/>
      <c r="F103" s="377"/>
      <c r="G103" s="377"/>
      <c r="H103" s="377"/>
      <c r="I103" s="378">
        <f>+I88-I102</f>
        <v>5298.6900000000005</v>
      </c>
      <c r="J103" s="377"/>
      <c r="K103" s="377"/>
      <c r="L103" s="377"/>
      <c r="M103" s="377"/>
      <c r="N103" s="377"/>
      <c r="O103" s="377"/>
      <c r="P103" s="374"/>
      <c r="Q103" s="371" t="s">
        <v>640</v>
      </c>
      <c r="R103" s="377"/>
      <c r="S103" s="377"/>
      <c r="T103" s="377"/>
      <c r="U103" s="377"/>
      <c r="V103" s="377"/>
      <c r="W103" s="377"/>
      <c r="X103" s="377"/>
      <c r="Y103" s="377"/>
      <c r="Z103" s="377"/>
      <c r="AA103" s="377"/>
      <c r="AB103" s="377"/>
      <c r="AC103" s="374"/>
      <c r="AD103" s="371" t="s">
        <v>640</v>
      </c>
      <c r="AE103" s="377"/>
      <c r="AF103" s="377"/>
      <c r="AG103" s="377"/>
      <c r="AH103" s="377"/>
      <c r="AI103" s="377"/>
      <c r="AJ103" s="377"/>
      <c r="AK103" s="377"/>
      <c r="AL103" s="377"/>
      <c r="AM103" s="377"/>
      <c r="AN103" s="377"/>
      <c r="AO103" s="377"/>
      <c r="AP103" s="374"/>
      <c r="AQ103" s="371" t="s">
        <v>640</v>
      </c>
      <c r="AR103" s="377"/>
      <c r="AS103" s="377"/>
      <c r="AT103" s="377"/>
      <c r="AU103" s="377"/>
      <c r="AV103" s="377"/>
      <c r="AW103" s="377"/>
      <c r="AX103" s="377"/>
      <c r="AY103" s="377"/>
      <c r="AZ103" s="377"/>
      <c r="BA103" s="377"/>
      <c r="BB103" s="377"/>
      <c r="BC103" s="374"/>
      <c r="BD103" s="371" t="s">
        <v>640</v>
      </c>
      <c r="BE103" s="377"/>
      <c r="BF103" s="377"/>
      <c r="BG103" s="377"/>
      <c r="BH103" s="377"/>
      <c r="BI103" s="377"/>
      <c r="BJ103" s="377"/>
      <c r="BK103" s="377"/>
      <c r="BL103" s="377"/>
      <c r="BM103" s="377"/>
      <c r="BN103" s="377"/>
      <c r="BO103" s="377"/>
      <c r="BP103" s="374"/>
      <c r="BQ103" s="371" t="s">
        <v>640</v>
      </c>
      <c r="BR103" s="377"/>
      <c r="BS103" s="377"/>
      <c r="BT103" s="377"/>
      <c r="BU103" s="377"/>
      <c r="BV103" s="377"/>
      <c r="BW103" s="377"/>
      <c r="BX103" s="377"/>
      <c r="BY103" s="377"/>
      <c r="BZ103" s="377"/>
      <c r="CA103" s="377"/>
      <c r="CB103" s="377"/>
      <c r="CC103" s="374"/>
      <c r="CD103" s="371" t="s">
        <v>640</v>
      </c>
      <c r="CE103" s="377"/>
      <c r="CF103" s="377"/>
      <c r="CG103" s="377"/>
      <c r="CH103" s="377"/>
      <c r="CI103" s="377"/>
      <c r="CJ103" s="377"/>
      <c r="CK103" s="377"/>
      <c r="CL103" s="377"/>
      <c r="CM103" s="377"/>
      <c r="CN103" s="377"/>
      <c r="CO103" s="377"/>
      <c r="CP103" s="374"/>
    </row>
    <row r="104" spans="2:94">
      <c r="B104" s="336"/>
      <c r="C104" s="336"/>
      <c r="D104" s="372" t="s">
        <v>641</v>
      </c>
      <c r="E104" s="94"/>
      <c r="F104" s="94"/>
      <c r="G104" s="94"/>
      <c r="H104" s="94"/>
      <c r="I104" s="493">
        <v>1529.8500000000001</v>
      </c>
      <c r="J104" s="94"/>
      <c r="K104" s="94"/>
      <c r="L104" s="94"/>
      <c r="M104" s="94"/>
      <c r="N104" s="94"/>
      <c r="O104" s="94"/>
      <c r="P104" s="336"/>
      <c r="Q104" s="371" t="s">
        <v>641</v>
      </c>
      <c r="R104" s="94"/>
      <c r="S104" s="94"/>
      <c r="T104" s="94"/>
      <c r="U104" s="94"/>
      <c r="V104" s="94"/>
      <c r="W104" s="94"/>
      <c r="X104" s="94"/>
      <c r="Y104" s="94"/>
      <c r="Z104" s="94"/>
      <c r="AA104" s="94"/>
      <c r="AB104" s="94"/>
      <c r="AC104" s="336"/>
      <c r="AD104" s="371" t="s">
        <v>641</v>
      </c>
      <c r="AE104" s="94"/>
      <c r="AF104" s="94"/>
      <c r="AG104" s="94"/>
      <c r="AH104" s="94"/>
      <c r="AI104" s="94"/>
      <c r="AJ104" s="94"/>
      <c r="AK104" s="94"/>
      <c r="AL104" s="94"/>
      <c r="AM104" s="94"/>
      <c r="AN104" s="94"/>
      <c r="AO104" s="94"/>
      <c r="AP104" s="336"/>
      <c r="AQ104" s="371" t="s">
        <v>641</v>
      </c>
      <c r="AR104" s="94"/>
      <c r="AS104" s="94"/>
      <c r="AT104" s="94"/>
      <c r="AU104" s="94"/>
      <c r="AV104" s="94"/>
      <c r="AW104" s="94"/>
      <c r="AX104" s="94"/>
      <c r="AY104" s="94"/>
      <c r="AZ104" s="94"/>
      <c r="BA104" s="94"/>
      <c r="BB104" s="94"/>
      <c r="BC104" s="336"/>
      <c r="BD104" s="371" t="s">
        <v>641</v>
      </c>
      <c r="BE104" s="94"/>
      <c r="BF104" s="94"/>
      <c r="BG104" s="94"/>
      <c r="BH104" s="94"/>
      <c r="BI104" s="94"/>
      <c r="BJ104" s="94"/>
      <c r="BK104" s="94"/>
      <c r="BL104" s="94"/>
      <c r="BM104" s="94"/>
      <c r="BN104" s="94"/>
      <c r="BO104" s="94"/>
      <c r="BP104" s="336"/>
      <c r="BQ104" s="371" t="s">
        <v>641</v>
      </c>
      <c r="BR104" s="94"/>
      <c r="BS104" s="94"/>
      <c r="BT104" s="94"/>
      <c r="BU104" s="94"/>
      <c r="BV104" s="94"/>
      <c r="BW104" s="94"/>
      <c r="BX104" s="94"/>
      <c r="BY104" s="94"/>
      <c r="BZ104" s="94"/>
      <c r="CA104" s="94"/>
      <c r="CB104" s="94"/>
      <c r="CC104" s="336"/>
      <c r="CD104" s="371" t="s">
        <v>641</v>
      </c>
      <c r="CE104" s="94"/>
      <c r="CF104" s="94"/>
      <c r="CG104" s="94"/>
      <c r="CH104" s="94"/>
      <c r="CI104" s="94"/>
      <c r="CJ104" s="94"/>
      <c r="CK104" s="94"/>
      <c r="CL104" s="94"/>
      <c r="CM104" s="94"/>
      <c r="CN104" s="94"/>
      <c r="CO104" s="94"/>
      <c r="CP104" s="336"/>
    </row>
    <row r="105" spans="2:94">
      <c r="B105" s="336"/>
      <c r="C105" s="336"/>
      <c r="D105" s="372" t="s">
        <v>642</v>
      </c>
      <c r="E105" s="94"/>
      <c r="F105" s="94"/>
      <c r="G105" s="94"/>
      <c r="H105" s="94"/>
      <c r="I105" s="373"/>
      <c r="J105" s="94"/>
      <c r="K105" s="94"/>
      <c r="L105" s="94"/>
      <c r="M105" s="94"/>
      <c r="N105" s="94"/>
      <c r="O105" s="94"/>
      <c r="P105" s="336"/>
      <c r="Q105" s="371" t="s">
        <v>642</v>
      </c>
      <c r="R105" s="94"/>
      <c r="S105" s="94"/>
      <c r="T105" s="94"/>
      <c r="U105" s="94"/>
      <c r="V105" s="94"/>
      <c r="W105" s="94"/>
      <c r="X105" s="94"/>
      <c r="Y105" s="94"/>
      <c r="Z105" s="94"/>
      <c r="AA105" s="94"/>
      <c r="AB105" s="94"/>
      <c r="AC105" s="336"/>
      <c r="AD105" s="371" t="s">
        <v>642</v>
      </c>
      <c r="AE105" s="94"/>
      <c r="AF105" s="94"/>
      <c r="AG105" s="94"/>
      <c r="AH105" s="94"/>
      <c r="AI105" s="94"/>
      <c r="AJ105" s="94"/>
      <c r="AK105" s="94"/>
      <c r="AL105" s="94"/>
      <c r="AM105" s="94"/>
      <c r="AN105" s="94"/>
      <c r="AO105" s="94"/>
      <c r="AP105" s="336"/>
      <c r="AQ105" s="371" t="s">
        <v>642</v>
      </c>
      <c r="AR105" s="94"/>
      <c r="AS105" s="94"/>
      <c r="AT105" s="94"/>
      <c r="AU105" s="94"/>
      <c r="AV105" s="94"/>
      <c r="AW105" s="94"/>
      <c r="AX105" s="94"/>
      <c r="AY105" s="94"/>
      <c r="AZ105" s="94"/>
      <c r="BA105" s="94"/>
      <c r="BB105" s="94"/>
      <c r="BC105" s="336"/>
      <c r="BD105" s="371" t="s">
        <v>642</v>
      </c>
      <c r="BE105" s="94"/>
      <c r="BF105" s="94"/>
      <c r="BG105" s="94"/>
      <c r="BH105" s="94"/>
      <c r="BI105" s="94"/>
      <c r="BJ105" s="94"/>
      <c r="BK105" s="94"/>
      <c r="BL105" s="94"/>
      <c r="BM105" s="94"/>
      <c r="BN105" s="94"/>
      <c r="BO105" s="94"/>
      <c r="BP105" s="336"/>
      <c r="BQ105" s="371" t="s">
        <v>642</v>
      </c>
      <c r="BR105" s="94"/>
      <c r="BS105" s="94"/>
      <c r="BT105" s="94"/>
      <c r="BU105" s="94"/>
      <c r="BV105" s="94"/>
      <c r="BW105" s="94"/>
      <c r="BX105" s="94"/>
      <c r="BY105" s="94"/>
      <c r="BZ105" s="94"/>
      <c r="CA105" s="94"/>
      <c r="CB105" s="94"/>
      <c r="CC105" s="336"/>
      <c r="CD105" s="371" t="s">
        <v>642</v>
      </c>
      <c r="CE105" s="94"/>
      <c r="CF105" s="94"/>
      <c r="CG105" s="94"/>
      <c r="CH105" s="94"/>
      <c r="CI105" s="94"/>
      <c r="CJ105" s="94"/>
      <c r="CK105" s="94"/>
      <c r="CL105" s="94"/>
      <c r="CM105" s="94"/>
      <c r="CN105" s="94"/>
      <c r="CO105" s="94"/>
      <c r="CP105" s="336"/>
    </row>
    <row r="106" spans="2:94">
      <c r="D106" s="372" t="s">
        <v>628</v>
      </c>
      <c r="E106" s="94"/>
      <c r="F106" s="94"/>
      <c r="G106" s="94"/>
      <c r="H106" s="94"/>
      <c r="I106" s="493">
        <v>1043.77</v>
      </c>
      <c r="J106" s="94"/>
      <c r="K106" s="94"/>
      <c r="L106" s="94"/>
      <c r="M106" s="94"/>
      <c r="N106" s="94"/>
      <c r="O106" s="94"/>
      <c r="Q106" s="225" t="s">
        <v>628</v>
      </c>
      <c r="R106" s="94"/>
      <c r="S106" s="94"/>
      <c r="T106" s="94"/>
      <c r="U106" s="94"/>
      <c r="V106" s="94"/>
      <c r="W106" s="94"/>
      <c r="X106" s="94"/>
      <c r="Y106" s="94"/>
      <c r="Z106" s="94"/>
      <c r="AA106" s="94"/>
      <c r="AB106" s="94"/>
      <c r="AD106" s="225" t="s">
        <v>628</v>
      </c>
      <c r="AE106" s="94"/>
      <c r="AF106" s="94"/>
      <c r="AG106" s="94"/>
      <c r="AH106" s="94"/>
      <c r="AI106" s="94"/>
      <c r="AJ106" s="94"/>
      <c r="AK106" s="94"/>
      <c r="AL106" s="94"/>
      <c r="AM106" s="94"/>
      <c r="AN106" s="94"/>
      <c r="AO106" s="94"/>
      <c r="AQ106" s="225" t="s">
        <v>628</v>
      </c>
      <c r="AR106" s="94"/>
      <c r="AS106" s="94"/>
      <c r="AT106" s="94"/>
      <c r="AU106" s="94"/>
      <c r="AV106" s="94"/>
      <c r="AW106" s="94"/>
      <c r="AX106" s="94"/>
      <c r="AY106" s="94"/>
      <c r="AZ106" s="94"/>
      <c r="BA106" s="94"/>
      <c r="BB106" s="94"/>
      <c r="BD106" s="225" t="s">
        <v>628</v>
      </c>
      <c r="BE106" s="94"/>
      <c r="BF106" s="94"/>
      <c r="BG106" s="94"/>
      <c r="BH106" s="94"/>
      <c r="BI106" s="94"/>
      <c r="BJ106" s="94"/>
      <c r="BK106" s="94"/>
      <c r="BL106" s="94"/>
      <c r="BM106" s="94"/>
      <c r="BN106" s="94"/>
      <c r="BO106" s="94"/>
      <c r="BQ106" s="225" t="s">
        <v>628</v>
      </c>
      <c r="BR106" s="94"/>
      <c r="BS106" s="94"/>
      <c r="BT106" s="94"/>
      <c r="BU106" s="94"/>
      <c r="BV106" s="94"/>
      <c r="BW106" s="94"/>
      <c r="BX106" s="94"/>
      <c r="BY106" s="94"/>
      <c r="BZ106" s="94"/>
      <c r="CA106" s="94"/>
      <c r="CB106" s="94"/>
      <c r="CD106" s="225" t="s">
        <v>628</v>
      </c>
      <c r="CE106" s="94"/>
      <c r="CF106" s="94"/>
      <c r="CG106" s="94"/>
      <c r="CH106" s="94"/>
      <c r="CI106" s="94"/>
      <c r="CJ106" s="94"/>
      <c r="CK106" s="94"/>
      <c r="CL106" s="94"/>
      <c r="CM106" s="94"/>
      <c r="CN106" s="94"/>
      <c r="CO106" s="94"/>
    </row>
    <row r="107" spans="2:94">
      <c r="D107" s="372" t="s">
        <v>636</v>
      </c>
      <c r="E107" s="94"/>
      <c r="F107" s="94"/>
      <c r="G107" s="94"/>
      <c r="H107" s="94"/>
      <c r="I107" s="493">
        <v>350.29999999999995</v>
      </c>
      <c r="J107" s="94"/>
      <c r="K107" s="94"/>
      <c r="L107" s="94"/>
      <c r="M107" s="94"/>
      <c r="N107" s="94"/>
      <c r="O107" s="94"/>
      <c r="Q107" s="225" t="s">
        <v>636</v>
      </c>
      <c r="R107" s="94"/>
      <c r="S107" s="94"/>
      <c r="T107" s="94"/>
      <c r="U107" s="94"/>
      <c r="V107" s="94"/>
      <c r="W107" s="94"/>
      <c r="X107" s="94"/>
      <c r="Y107" s="94"/>
      <c r="Z107" s="94"/>
      <c r="AA107" s="94"/>
      <c r="AB107" s="94"/>
      <c r="AD107" s="225" t="s">
        <v>636</v>
      </c>
      <c r="AE107" s="94"/>
      <c r="AF107" s="94"/>
      <c r="AG107" s="94"/>
      <c r="AH107" s="94"/>
      <c r="AI107" s="94"/>
      <c r="AJ107" s="94"/>
      <c r="AK107" s="94"/>
      <c r="AL107" s="94"/>
      <c r="AM107" s="94"/>
      <c r="AN107" s="94"/>
      <c r="AO107" s="94"/>
      <c r="AQ107" s="225" t="s">
        <v>636</v>
      </c>
      <c r="AR107" s="94"/>
      <c r="AS107" s="94"/>
      <c r="AT107" s="94"/>
      <c r="AU107" s="94"/>
      <c r="AV107" s="94"/>
      <c r="AW107" s="94"/>
      <c r="AX107" s="94"/>
      <c r="AY107" s="94"/>
      <c r="AZ107" s="94"/>
      <c r="BA107" s="94"/>
      <c r="BB107" s="94"/>
      <c r="BD107" s="225" t="s">
        <v>636</v>
      </c>
      <c r="BE107" s="94"/>
      <c r="BF107" s="94"/>
      <c r="BG107" s="94"/>
      <c r="BH107" s="94"/>
      <c r="BI107" s="94"/>
      <c r="BJ107" s="94"/>
      <c r="BK107" s="94"/>
      <c r="BL107" s="94"/>
      <c r="BM107" s="94"/>
      <c r="BN107" s="94"/>
      <c r="BO107" s="94"/>
      <c r="BQ107" s="225" t="s">
        <v>636</v>
      </c>
      <c r="BR107" s="94"/>
      <c r="BS107" s="94"/>
      <c r="BT107" s="94"/>
      <c r="BU107" s="94"/>
      <c r="BV107" s="94"/>
      <c r="BW107" s="94"/>
      <c r="BX107" s="94"/>
      <c r="BY107" s="94"/>
      <c r="BZ107" s="94"/>
      <c r="CA107" s="94"/>
      <c r="CB107" s="94"/>
      <c r="CD107" s="225" t="s">
        <v>636</v>
      </c>
      <c r="CE107" s="94"/>
      <c r="CF107" s="94"/>
      <c r="CG107" s="94"/>
      <c r="CH107" s="94"/>
      <c r="CI107" s="94"/>
      <c r="CJ107" s="94"/>
      <c r="CK107" s="94"/>
      <c r="CL107" s="94"/>
      <c r="CM107" s="94"/>
      <c r="CN107" s="94"/>
      <c r="CO107" s="94"/>
    </row>
    <row r="108" spans="2:94" s="336" customFormat="1">
      <c r="B108" s="374"/>
      <c r="C108" s="374"/>
      <c r="D108" s="376" t="s">
        <v>643</v>
      </c>
      <c r="E108" s="377"/>
      <c r="F108" s="377"/>
      <c r="G108" s="377"/>
      <c r="H108" s="377"/>
      <c r="I108" s="378">
        <f>+I103-I104</f>
        <v>3768.84</v>
      </c>
      <c r="J108" s="377"/>
      <c r="K108" s="377"/>
      <c r="L108" s="377"/>
      <c r="M108" s="377"/>
      <c r="N108" s="377"/>
      <c r="O108" s="377"/>
      <c r="P108" s="374"/>
      <c r="Q108" s="371" t="s">
        <v>643</v>
      </c>
      <c r="R108" s="377"/>
      <c r="S108" s="377"/>
      <c r="T108" s="377"/>
      <c r="U108" s="377"/>
      <c r="V108" s="377"/>
      <c r="W108" s="377"/>
      <c r="X108" s="377"/>
      <c r="Y108" s="377"/>
      <c r="Z108" s="377"/>
      <c r="AA108" s="377"/>
      <c r="AB108" s="377"/>
      <c r="AC108" s="374"/>
      <c r="AD108" s="371" t="s">
        <v>643</v>
      </c>
      <c r="AE108" s="377"/>
      <c r="AF108" s="377"/>
      <c r="AG108" s="377"/>
      <c r="AH108" s="377"/>
      <c r="AI108" s="377"/>
      <c r="AJ108" s="377"/>
      <c r="AK108" s="377"/>
      <c r="AL108" s="377"/>
      <c r="AM108" s="377"/>
      <c r="AN108" s="377"/>
      <c r="AO108" s="377"/>
      <c r="AP108" s="374"/>
      <c r="AQ108" s="371" t="s">
        <v>643</v>
      </c>
      <c r="AR108" s="377"/>
      <c r="AS108" s="377"/>
      <c r="AT108" s="377"/>
      <c r="AU108" s="377"/>
      <c r="AV108" s="377"/>
      <c r="AW108" s="377"/>
      <c r="AX108" s="377"/>
      <c r="AY108" s="377"/>
      <c r="AZ108" s="377"/>
      <c r="BA108" s="377"/>
      <c r="BB108" s="377"/>
      <c r="BC108" s="374"/>
      <c r="BD108" s="371" t="s">
        <v>643</v>
      </c>
      <c r="BE108" s="377"/>
      <c r="BF108" s="377"/>
      <c r="BG108" s="377"/>
      <c r="BH108" s="377"/>
      <c r="BI108" s="377"/>
      <c r="BJ108" s="377"/>
      <c r="BK108" s="377"/>
      <c r="BL108" s="377"/>
      <c r="BM108" s="377"/>
      <c r="BN108" s="377"/>
      <c r="BO108" s="377"/>
      <c r="BP108" s="374"/>
      <c r="BQ108" s="371" t="s">
        <v>643</v>
      </c>
      <c r="BR108" s="377"/>
      <c r="BS108" s="377"/>
      <c r="BT108" s="377"/>
      <c r="BU108" s="377"/>
      <c r="BV108" s="377"/>
      <c r="BW108" s="377"/>
      <c r="BX108" s="377"/>
      <c r="BY108" s="377"/>
      <c r="BZ108" s="377"/>
      <c r="CA108" s="377"/>
      <c r="CB108" s="377"/>
      <c r="CC108" s="374"/>
      <c r="CD108" s="371" t="s">
        <v>643</v>
      </c>
      <c r="CE108" s="377"/>
      <c r="CF108" s="377"/>
      <c r="CG108" s="377"/>
      <c r="CH108" s="377"/>
      <c r="CI108" s="377"/>
      <c r="CJ108" s="377"/>
      <c r="CK108" s="377"/>
      <c r="CL108" s="377"/>
      <c r="CM108" s="377"/>
      <c r="CN108" s="377"/>
      <c r="CO108" s="377"/>
      <c r="CP108" s="374"/>
    </row>
    <row r="109" spans="2:94">
      <c r="D109" s="379"/>
    </row>
    <row r="110" spans="2:94">
      <c r="D110" s="380"/>
    </row>
    <row r="117" spans="4:15" s="38" customFormat="1" ht="18">
      <c r="D117" s="366" t="s">
        <v>320</v>
      </c>
    </row>
    <row r="120" spans="4:15" ht="15.75">
      <c r="D120" s="35" t="s">
        <v>540</v>
      </c>
    </row>
    <row r="121" spans="4:15">
      <c r="D121" s="142"/>
    </row>
    <row r="122" spans="4:15">
      <c r="D122" s="340" t="s">
        <v>525</v>
      </c>
      <c r="E122" s="340">
        <v>2009</v>
      </c>
      <c r="F122" s="340">
        <v>2010</v>
      </c>
      <c r="G122" s="340">
        <v>2011</v>
      </c>
      <c r="H122" s="340">
        <v>2012</v>
      </c>
      <c r="I122" s="340">
        <v>2013</v>
      </c>
      <c r="J122" s="340" t="s">
        <v>644</v>
      </c>
      <c r="K122" s="340">
        <v>2015</v>
      </c>
      <c r="L122" s="340">
        <v>2016</v>
      </c>
      <c r="M122" s="340">
        <v>2017</v>
      </c>
      <c r="N122" s="340">
        <v>2018</v>
      </c>
      <c r="O122" s="340">
        <v>2019</v>
      </c>
    </row>
    <row r="123" spans="4:15">
      <c r="D123" s="347" t="s">
        <v>541</v>
      </c>
      <c r="E123" s="94"/>
      <c r="F123" s="94"/>
      <c r="G123" s="94"/>
      <c r="H123" s="94"/>
      <c r="I123" s="94"/>
      <c r="J123" s="493">
        <v>481498.78</v>
      </c>
      <c r="K123" s="94"/>
      <c r="L123" s="94"/>
      <c r="M123" s="94"/>
      <c r="N123" s="94"/>
      <c r="O123" s="94"/>
    </row>
    <row r="124" spans="4:15">
      <c r="D124" s="347" t="s">
        <v>542</v>
      </c>
      <c r="E124" s="94"/>
      <c r="F124" s="94"/>
      <c r="G124" s="94"/>
      <c r="H124" s="94"/>
      <c r="I124" s="94"/>
      <c r="J124" s="493">
        <v>6295240.3500000006</v>
      </c>
      <c r="K124" s="94"/>
      <c r="L124" s="94"/>
      <c r="M124" s="94"/>
      <c r="N124" s="94"/>
      <c r="O124" s="94"/>
    </row>
    <row r="125" spans="4:15">
      <c r="D125" s="347" t="s">
        <v>543</v>
      </c>
      <c r="E125" s="347"/>
      <c r="F125" s="94"/>
      <c r="G125" s="94"/>
      <c r="H125" s="94"/>
      <c r="I125" s="94"/>
      <c r="J125" s="493">
        <v>1721457.1</v>
      </c>
      <c r="K125" s="94"/>
      <c r="L125" s="94"/>
      <c r="M125" s="94"/>
      <c r="N125" s="94"/>
      <c r="O125" s="94"/>
    </row>
    <row r="126" spans="4:15">
      <c r="D126" s="347" t="s">
        <v>544</v>
      </c>
      <c r="E126" s="347"/>
      <c r="F126" s="94"/>
      <c r="G126" s="94"/>
      <c r="H126" s="94"/>
      <c r="I126" s="94"/>
      <c r="J126" s="493">
        <v>409519.66</v>
      </c>
      <c r="K126" s="94"/>
      <c r="L126" s="94"/>
      <c r="M126" s="94"/>
      <c r="N126" s="94"/>
      <c r="O126" s="94"/>
    </row>
    <row r="127" spans="4:15">
      <c r="D127" s="352" t="s">
        <v>545</v>
      </c>
      <c r="E127" s="347"/>
      <c r="F127" s="94"/>
      <c r="G127" s="94"/>
      <c r="H127" s="94"/>
      <c r="I127" s="94"/>
      <c r="J127" s="94"/>
      <c r="K127" s="94"/>
      <c r="L127" s="94"/>
      <c r="M127" s="94"/>
      <c r="N127" s="94"/>
      <c r="O127" s="94"/>
    </row>
    <row r="128" spans="4:15">
      <c r="D128" s="352" t="s">
        <v>545</v>
      </c>
      <c r="E128" s="347"/>
      <c r="F128" s="94"/>
      <c r="G128" s="94"/>
      <c r="H128" s="94"/>
      <c r="I128" s="94"/>
      <c r="J128" s="94"/>
      <c r="K128" s="94"/>
      <c r="L128" s="94"/>
      <c r="M128" s="94"/>
      <c r="N128" s="94"/>
      <c r="O128" s="94"/>
    </row>
    <row r="129" spans="4:15">
      <c r="D129" s="352" t="s">
        <v>545</v>
      </c>
      <c r="E129" s="347"/>
      <c r="F129" s="94"/>
      <c r="G129" s="94"/>
      <c r="H129" s="94"/>
      <c r="I129" s="94"/>
      <c r="J129" s="94"/>
      <c r="K129" s="94"/>
      <c r="L129" s="94"/>
      <c r="M129" s="94"/>
      <c r="N129" s="94"/>
      <c r="O129" s="94"/>
    </row>
    <row r="130" spans="4:15">
      <c r="D130" s="352" t="s">
        <v>545</v>
      </c>
      <c r="E130" s="347"/>
      <c r="F130" s="94"/>
      <c r="G130" s="94"/>
      <c r="H130" s="94"/>
      <c r="I130" s="94"/>
      <c r="J130" s="94"/>
      <c r="K130" s="94"/>
      <c r="L130" s="94"/>
      <c r="M130" s="94"/>
      <c r="N130" s="94"/>
      <c r="O130" s="94"/>
    </row>
    <row r="131" spans="4:15">
      <c r="D131" s="353" t="s">
        <v>546</v>
      </c>
    </row>
    <row r="133" spans="4:15">
      <c r="D133" s="326" t="s">
        <v>613</v>
      </c>
    </row>
    <row r="135" spans="4:15" ht="15.75">
      <c r="D135" s="35" t="s">
        <v>540</v>
      </c>
    </row>
    <row r="136" spans="4:15">
      <c r="D136" s="142"/>
    </row>
    <row r="137" spans="4:15">
      <c r="D137" s="340" t="s">
        <v>525</v>
      </c>
      <c r="E137" s="340">
        <v>2009</v>
      </c>
      <c r="F137" s="340">
        <v>2010</v>
      </c>
      <c r="G137" s="340">
        <v>2011</v>
      </c>
      <c r="H137" s="340">
        <v>2012</v>
      </c>
      <c r="I137" s="340">
        <v>2013</v>
      </c>
      <c r="J137" s="340" t="s">
        <v>644</v>
      </c>
      <c r="K137" s="340">
        <v>2015</v>
      </c>
      <c r="L137" s="340">
        <v>2016</v>
      </c>
      <c r="M137" s="340">
        <v>2017</v>
      </c>
      <c r="N137" s="340">
        <v>2018</v>
      </c>
      <c r="O137" s="340">
        <v>2019</v>
      </c>
    </row>
    <row r="138" spans="4:15">
      <c r="D138" s="347" t="s">
        <v>610</v>
      </c>
      <c r="E138" s="94"/>
      <c r="F138" s="94"/>
      <c r="G138" s="94"/>
      <c r="H138" s="94"/>
      <c r="I138" s="94"/>
      <c r="J138" s="94"/>
      <c r="K138" s="94"/>
      <c r="L138" s="94"/>
      <c r="M138" s="94"/>
      <c r="N138" s="94"/>
      <c r="O138" s="94"/>
    </row>
    <row r="139" spans="4:15">
      <c r="D139" s="347" t="s">
        <v>526</v>
      </c>
      <c r="E139" s="94"/>
      <c r="F139" s="94"/>
      <c r="G139" s="94"/>
      <c r="H139" s="94"/>
      <c r="I139" s="94"/>
      <c r="J139" s="94"/>
      <c r="K139" s="94"/>
      <c r="L139" s="94"/>
      <c r="M139" s="94"/>
      <c r="N139" s="94"/>
      <c r="O139" s="94"/>
    </row>
    <row r="140" spans="4:15">
      <c r="D140" s="347" t="s">
        <v>611</v>
      </c>
      <c r="E140" s="94"/>
      <c r="F140" s="94"/>
      <c r="G140" s="94"/>
      <c r="H140" s="94"/>
      <c r="I140" s="94"/>
      <c r="J140" s="94"/>
      <c r="K140" s="94"/>
      <c r="L140" s="94"/>
      <c r="M140" s="94"/>
      <c r="N140" s="94"/>
      <c r="O140" s="94"/>
    </row>
    <row r="141" spans="4:15">
      <c r="D141" s="347" t="s">
        <v>527</v>
      </c>
      <c r="E141" s="94"/>
      <c r="F141" s="94"/>
      <c r="G141" s="94"/>
      <c r="H141" s="94"/>
      <c r="I141" s="94"/>
      <c r="J141" s="94"/>
      <c r="K141" s="94"/>
      <c r="L141" s="94"/>
      <c r="M141" s="94"/>
      <c r="N141" s="94"/>
      <c r="O141" s="94"/>
    </row>
    <row r="142" spans="4:15">
      <c r="D142" s="347" t="s">
        <v>528</v>
      </c>
      <c r="E142" s="94"/>
      <c r="F142" s="94"/>
      <c r="G142" s="94"/>
      <c r="H142" s="94"/>
      <c r="I142" s="94"/>
      <c r="J142" s="94"/>
      <c r="K142" s="94"/>
      <c r="L142" s="94"/>
      <c r="M142" s="94"/>
      <c r="N142" s="94"/>
      <c r="O142" s="94"/>
    </row>
    <row r="143" spans="4:15">
      <c r="D143" s="347" t="s">
        <v>529</v>
      </c>
      <c r="E143" s="94"/>
      <c r="F143" s="94"/>
      <c r="G143" s="94"/>
      <c r="H143" s="368"/>
      <c r="I143" s="368"/>
      <c r="J143" s="368"/>
      <c r="K143" s="94"/>
      <c r="L143" s="94"/>
      <c r="M143" s="94"/>
      <c r="N143" s="94"/>
      <c r="O143" s="94"/>
    </row>
    <row r="144" spans="4:15">
      <c r="D144" s="351" t="s">
        <v>530</v>
      </c>
      <c r="E144" s="94"/>
      <c r="F144" s="94"/>
      <c r="G144" s="94"/>
      <c r="H144" s="94"/>
      <c r="I144" s="94"/>
      <c r="J144" s="464"/>
      <c r="K144" s="94"/>
      <c r="L144" s="94"/>
      <c r="M144" s="94"/>
      <c r="N144" s="94"/>
      <c r="O144" s="94"/>
    </row>
    <row r="145" spans="4:15">
      <c r="D145" s="351" t="s">
        <v>531</v>
      </c>
      <c r="E145" s="94"/>
      <c r="F145" s="94"/>
      <c r="G145" s="94"/>
      <c r="H145" s="94"/>
      <c r="I145" s="94"/>
      <c r="J145" s="464"/>
      <c r="K145" s="94"/>
      <c r="L145" s="94"/>
      <c r="M145" s="94"/>
      <c r="N145" s="94"/>
      <c r="O145" s="94"/>
    </row>
    <row r="146" spans="4:15">
      <c r="D146" s="351" t="s">
        <v>532</v>
      </c>
      <c r="E146" s="94"/>
      <c r="F146" s="94"/>
      <c r="G146" s="94"/>
      <c r="H146" s="94"/>
      <c r="I146" s="94"/>
      <c r="J146" s="464"/>
      <c r="K146" s="94"/>
      <c r="L146" s="94"/>
      <c r="M146" s="94"/>
      <c r="N146" s="94"/>
      <c r="O146" s="94"/>
    </row>
    <row r="147" spans="4:15">
      <c r="D147" s="351" t="s">
        <v>533</v>
      </c>
      <c r="E147" s="94"/>
      <c r="F147" s="94"/>
      <c r="G147" s="94"/>
      <c r="H147" s="94"/>
      <c r="I147" s="94"/>
      <c r="J147" s="464"/>
      <c r="K147" s="94"/>
      <c r="L147" s="94"/>
      <c r="M147" s="94"/>
      <c r="N147" s="94"/>
      <c r="O147" s="94"/>
    </row>
    <row r="148" spans="4:15">
      <c r="D148" s="351" t="s">
        <v>534</v>
      </c>
      <c r="E148" s="94"/>
      <c r="F148" s="94"/>
      <c r="G148" s="94"/>
      <c r="H148" s="94"/>
      <c r="I148" s="94"/>
      <c r="J148" s="464"/>
      <c r="K148" s="94"/>
      <c r="L148" s="94"/>
      <c r="M148" s="94"/>
      <c r="N148" s="94"/>
      <c r="O148" s="94"/>
    </row>
    <row r="149" spans="4:15">
      <c r="D149" s="351" t="s">
        <v>535</v>
      </c>
      <c r="E149" s="94"/>
      <c r="F149" s="94"/>
      <c r="G149" s="94"/>
      <c r="H149" s="94"/>
      <c r="I149" s="94"/>
      <c r="J149" s="464"/>
      <c r="K149" s="94"/>
      <c r="L149" s="94"/>
      <c r="M149" s="94"/>
      <c r="N149" s="94"/>
      <c r="O149" s="94"/>
    </row>
    <row r="150" spans="4:15">
      <c r="D150" s="352" t="s">
        <v>545</v>
      </c>
      <c r="E150" s="94"/>
      <c r="F150" s="94"/>
      <c r="G150" s="94"/>
      <c r="H150" s="94"/>
      <c r="I150" s="94"/>
      <c r="J150" s="334" t="s">
        <v>702</v>
      </c>
      <c r="K150" s="94"/>
      <c r="L150" s="94"/>
      <c r="M150" s="94"/>
      <c r="N150" s="94"/>
      <c r="O150" s="94"/>
    </row>
    <row r="153" spans="4:15" ht="15.75">
      <c r="D153" s="35" t="s">
        <v>645</v>
      </c>
    </row>
    <row r="154" spans="4:15">
      <c r="D154" s="142"/>
    </row>
    <row r="155" spans="4:15">
      <c r="D155" s="340" t="s">
        <v>525</v>
      </c>
      <c r="E155" s="340">
        <v>2009</v>
      </c>
      <c r="F155" s="340">
        <v>2010</v>
      </c>
      <c r="G155" s="340">
        <v>2011</v>
      </c>
      <c r="H155" s="340">
        <v>2012</v>
      </c>
      <c r="I155" s="340">
        <v>2013</v>
      </c>
      <c r="J155" s="340">
        <v>2014</v>
      </c>
      <c r="K155" s="340">
        <v>2015</v>
      </c>
      <c r="L155" s="340">
        <v>2016</v>
      </c>
      <c r="M155" s="340">
        <v>2017</v>
      </c>
      <c r="N155" s="340">
        <v>2018</v>
      </c>
      <c r="O155" s="340">
        <v>2019</v>
      </c>
    </row>
    <row r="156" spans="4:15">
      <c r="D156" s="347" t="s">
        <v>541</v>
      </c>
      <c r="E156" s="94"/>
      <c r="F156" s="94"/>
      <c r="G156" s="94"/>
      <c r="H156" s="94"/>
      <c r="I156" s="94"/>
      <c r="J156" s="94"/>
      <c r="K156" s="94"/>
      <c r="L156" s="94"/>
      <c r="M156" s="94"/>
      <c r="N156" s="94"/>
      <c r="O156" s="94"/>
    </row>
    <row r="157" spans="4:15">
      <c r="D157" s="347" t="s">
        <v>542</v>
      </c>
      <c r="E157" s="94"/>
      <c r="F157" s="94"/>
      <c r="G157" s="94"/>
      <c r="H157" s="94"/>
      <c r="I157" s="94"/>
      <c r="J157" s="94"/>
      <c r="K157" s="94"/>
      <c r="L157" s="94"/>
      <c r="M157" s="94"/>
      <c r="N157" s="94"/>
      <c r="O157" s="94"/>
    </row>
    <row r="158" spans="4:15">
      <c r="D158" s="347" t="s">
        <v>543</v>
      </c>
      <c r="E158" s="347"/>
      <c r="F158" s="94"/>
      <c r="G158" s="94"/>
      <c r="H158" s="94"/>
      <c r="I158" s="94"/>
      <c r="J158" s="94"/>
      <c r="K158" s="94"/>
      <c r="L158" s="94"/>
      <c r="M158" s="94"/>
      <c r="N158" s="94"/>
      <c r="O158" s="94"/>
    </row>
    <row r="159" spans="4:15">
      <c r="D159" s="347" t="s">
        <v>544</v>
      </c>
      <c r="E159" s="347"/>
      <c r="F159" s="94"/>
      <c r="G159" s="94"/>
      <c r="H159" s="94"/>
      <c r="I159" s="94"/>
      <c r="J159" s="94"/>
      <c r="K159" s="94"/>
      <c r="L159" s="94"/>
      <c r="M159" s="94"/>
      <c r="N159" s="94"/>
      <c r="O159" s="94"/>
    </row>
    <row r="160" spans="4:15">
      <c r="D160" s="352" t="s">
        <v>545</v>
      </c>
      <c r="E160" s="347"/>
      <c r="F160" s="94"/>
      <c r="G160" s="94"/>
      <c r="H160" s="94"/>
      <c r="I160" s="94"/>
      <c r="J160" s="94"/>
      <c r="K160" s="94"/>
      <c r="L160" s="94"/>
      <c r="M160" s="94"/>
      <c r="N160" s="94"/>
      <c r="O160" s="94"/>
    </row>
    <row r="161" spans="4:15">
      <c r="D161" s="352" t="s">
        <v>545</v>
      </c>
      <c r="E161" s="347"/>
      <c r="F161" s="94"/>
      <c r="G161" s="94"/>
      <c r="H161" s="94"/>
      <c r="I161" s="94"/>
      <c r="J161" s="94"/>
      <c r="K161" s="94"/>
      <c r="L161" s="94"/>
      <c r="M161" s="94"/>
      <c r="N161" s="94"/>
      <c r="O161" s="94"/>
    </row>
    <row r="162" spans="4:15">
      <c r="D162" s="352" t="s">
        <v>545</v>
      </c>
      <c r="E162" s="347"/>
      <c r="F162" s="94"/>
      <c r="G162" s="94"/>
      <c r="H162" s="94"/>
      <c r="I162" s="94"/>
      <c r="J162" s="94"/>
      <c r="K162" s="94"/>
      <c r="L162" s="94"/>
      <c r="M162" s="94"/>
      <c r="N162" s="94"/>
      <c r="O162" s="94"/>
    </row>
    <row r="163" spans="4:15">
      <c r="D163" s="352" t="s">
        <v>545</v>
      </c>
      <c r="E163" s="347"/>
      <c r="F163" s="94"/>
      <c r="G163" s="94"/>
      <c r="H163" s="94"/>
      <c r="I163" s="94"/>
      <c r="J163" s="94"/>
      <c r="K163" s="94"/>
      <c r="L163" s="94"/>
      <c r="M163" s="94"/>
      <c r="N163" s="94"/>
      <c r="O163" s="94"/>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7"/>
  <sheetViews>
    <sheetView view="pageBreakPreview" topLeftCell="A255" zoomScale="85" zoomScaleNormal="70" zoomScaleSheetLayoutView="85" workbookViewId="0">
      <selection activeCell="C279" sqref="C279:C281"/>
    </sheetView>
  </sheetViews>
  <sheetFormatPr baseColWidth="10" defaultColWidth="11.42578125" defaultRowHeight="12"/>
  <cols>
    <col min="1" max="1" width="11.42578125" style="382"/>
    <col min="2" max="2" width="63.28515625" style="382" customWidth="1"/>
    <col min="3" max="3" width="23.7109375" style="383" customWidth="1"/>
    <col min="4" max="4" width="17.28515625" style="382" bestFit="1" customWidth="1"/>
    <col min="5" max="5" width="13.140625" style="383" customWidth="1"/>
    <col min="6" max="6" width="11.42578125" style="382"/>
    <col min="7" max="7" width="19.7109375" style="382" customWidth="1"/>
    <col min="8" max="16384" width="11.42578125" style="382"/>
  </cols>
  <sheetData>
    <row r="1" spans="2:8" ht="94.5" customHeight="1">
      <c r="B1" s="508"/>
      <c r="C1" s="508"/>
    </row>
    <row r="2" spans="2:8" ht="15">
      <c r="B2" s="384" t="s">
        <v>646</v>
      </c>
      <c r="C2" s="385"/>
    </row>
    <row r="3" spans="2:8">
      <c r="B3" s="386"/>
      <c r="C3" s="385"/>
    </row>
    <row r="4" spans="2:8" ht="18" customHeight="1">
      <c r="B4" s="387" t="s">
        <v>647</v>
      </c>
      <c r="C4" s="385"/>
    </row>
    <row r="5" spans="2:8" ht="21.75" customHeight="1">
      <c r="B5" s="388" t="s">
        <v>648</v>
      </c>
      <c r="C5" s="385"/>
    </row>
    <row r="6" spans="2:8" ht="15.75" thickBot="1">
      <c r="B6" s="389"/>
      <c r="C6" s="390"/>
    </row>
    <row r="7" spans="2:8" ht="15" customHeight="1">
      <c r="B7" s="509" t="s">
        <v>649</v>
      </c>
      <c r="C7" s="504"/>
      <c r="F7" s="391"/>
      <c r="G7" s="383"/>
    </row>
    <row r="8" spans="2:8" ht="12" customHeight="1">
      <c r="B8" s="510"/>
      <c r="C8" s="505"/>
      <c r="F8" s="391"/>
      <c r="G8" s="383"/>
      <c r="H8" s="383"/>
    </row>
    <row r="9" spans="2:8" ht="12.75" customHeight="1" thickBot="1">
      <c r="B9" s="511"/>
      <c r="C9" s="506"/>
      <c r="G9" s="383"/>
      <c r="H9" s="383"/>
    </row>
    <row r="10" spans="2:8" ht="15">
      <c r="B10" s="392"/>
      <c r="C10" s="393"/>
    </row>
    <row r="11" spans="2:8">
      <c r="B11" s="394"/>
      <c r="C11" s="395"/>
      <c r="D11" s="396"/>
    </row>
    <row r="12" spans="2:8">
      <c r="B12" s="394"/>
      <c r="C12" s="395"/>
      <c r="G12" s="397"/>
    </row>
    <row r="13" spans="2:8" ht="15">
      <c r="B13" s="398"/>
      <c r="C13" s="395"/>
      <c r="D13" s="399"/>
    </row>
    <row r="14" spans="2:8" ht="15">
      <c r="B14" s="400"/>
      <c r="C14" s="416"/>
    </row>
    <row r="15" spans="2:8" ht="15">
      <c r="B15" s="400"/>
      <c r="C15" s="512"/>
    </row>
    <row r="16" spans="2:8">
      <c r="B16" s="394"/>
      <c r="C16" s="395"/>
    </row>
    <row r="17" spans="2:3">
      <c r="B17" s="394"/>
      <c r="C17" s="395"/>
    </row>
    <row r="18" spans="2:3" ht="15">
      <c r="B18" s="400"/>
      <c r="C18" s="401"/>
    </row>
    <row r="19" spans="2:3">
      <c r="B19" s="394"/>
      <c r="C19" s="395"/>
    </row>
    <row r="20" spans="2:3" ht="15">
      <c r="B20" s="400"/>
      <c r="C20" s="395"/>
    </row>
    <row r="21" spans="2:3" ht="15">
      <c r="B21" s="398"/>
      <c r="C21" s="395"/>
    </row>
    <row r="22" spans="2:3" ht="15">
      <c r="B22" s="398"/>
      <c r="C22" s="395"/>
    </row>
    <row r="23" spans="2:3" ht="15">
      <c r="B23" s="400"/>
      <c r="C23" s="395"/>
    </row>
    <row r="24" spans="2:3" ht="15">
      <c r="B24" s="400"/>
      <c r="C24" s="401"/>
    </row>
    <row r="25" spans="2:3">
      <c r="B25" s="394"/>
      <c r="C25" s="395"/>
    </row>
    <row r="26" spans="2:3">
      <c r="B26" s="394"/>
      <c r="C26" s="395"/>
    </row>
    <row r="27" spans="2:3" ht="15.75" thickBot="1">
      <c r="B27" s="402"/>
      <c r="C27" s="403"/>
    </row>
    <row r="28" spans="2:3" ht="15">
      <c r="B28" s="404"/>
      <c r="C28" s="385"/>
    </row>
    <row r="29" spans="2:3" ht="15">
      <c r="B29" s="404"/>
      <c r="C29" s="385"/>
    </row>
    <row r="30" spans="2:3" ht="15">
      <c r="B30" s="384" t="s">
        <v>646</v>
      </c>
      <c r="C30" s="385"/>
    </row>
    <row r="31" spans="2:3">
      <c r="B31" s="386"/>
      <c r="C31" s="385"/>
    </row>
    <row r="32" spans="2:3" ht="18" customHeight="1">
      <c r="B32" s="387" t="s">
        <v>647</v>
      </c>
      <c r="C32" s="385"/>
    </row>
    <row r="33" spans="2:5" ht="21.75" customHeight="1">
      <c r="B33" s="388" t="s">
        <v>648</v>
      </c>
      <c r="C33" s="385"/>
    </row>
    <row r="34" spans="2:5" ht="15.75" thickBot="1">
      <c r="B34" s="389"/>
      <c r="C34" s="390"/>
    </row>
    <row r="35" spans="2:5" ht="15" customHeight="1">
      <c r="B35" s="513" t="s">
        <v>650</v>
      </c>
      <c r="C35" s="504"/>
    </row>
    <row r="36" spans="2:5" ht="12" customHeight="1">
      <c r="B36" s="510"/>
      <c r="C36" s="505"/>
    </row>
    <row r="37" spans="2:5" ht="12" customHeight="1">
      <c r="B37" s="510"/>
      <c r="C37" s="505"/>
    </row>
    <row r="38" spans="2:5" ht="15">
      <c r="B38" s="400"/>
      <c r="C38" s="401"/>
    </row>
    <row r="39" spans="2:5">
      <c r="B39" s="394"/>
      <c r="C39" s="395"/>
    </row>
    <row r="40" spans="2:5">
      <c r="B40" s="394"/>
      <c r="C40" s="395"/>
      <c r="E40" s="405"/>
    </row>
    <row r="41" spans="2:5" ht="15">
      <c r="B41" s="398"/>
      <c r="C41" s="395"/>
    </row>
    <row r="42" spans="2:5" ht="15">
      <c r="B42" s="400"/>
      <c r="C42" s="416"/>
    </row>
    <row r="43" spans="2:5" ht="15">
      <c r="B43" s="400"/>
      <c r="C43" s="512"/>
    </row>
    <row r="44" spans="2:5">
      <c r="B44" s="394"/>
      <c r="C44" s="395"/>
    </row>
    <row r="45" spans="2:5">
      <c r="B45" s="394"/>
      <c r="C45" s="395"/>
    </row>
    <row r="46" spans="2:5" ht="15">
      <c r="B46" s="400"/>
      <c r="C46" s="401"/>
    </row>
    <row r="47" spans="2:5">
      <c r="B47" s="394"/>
      <c r="C47" s="395"/>
    </row>
    <row r="48" spans="2:5" ht="15">
      <c r="B48" s="400"/>
      <c r="C48" s="395"/>
    </row>
    <row r="49" spans="2:3" ht="15">
      <c r="B49" s="398"/>
      <c r="C49" s="395"/>
    </row>
    <row r="50" spans="2:3" ht="15">
      <c r="B50" s="398"/>
      <c r="C50" s="395"/>
    </row>
    <row r="51" spans="2:3" ht="15">
      <c r="B51" s="400"/>
      <c r="C51" s="395"/>
    </row>
    <row r="52" spans="2:3" ht="15">
      <c r="B52" s="400"/>
      <c r="C52" s="401"/>
    </row>
    <row r="53" spans="2:3">
      <c r="B53" s="394"/>
      <c r="C53" s="395"/>
    </row>
    <row r="54" spans="2:3">
      <c r="B54" s="394"/>
      <c r="C54" s="395"/>
    </row>
    <row r="55" spans="2:3" ht="15.75" thickBot="1">
      <c r="B55" s="402"/>
      <c r="C55" s="403"/>
    </row>
    <row r="56" spans="2:3" ht="12.75" customHeight="1"/>
    <row r="57" spans="2:3" ht="12.75" customHeight="1"/>
    <row r="58" spans="2:3" ht="12.75" customHeight="1"/>
    <row r="59" spans="2:3" ht="15">
      <c r="B59" s="384" t="s">
        <v>646</v>
      </c>
      <c r="C59" s="385"/>
    </row>
    <row r="60" spans="2:3">
      <c r="B60" s="386"/>
      <c r="C60" s="385"/>
    </row>
    <row r="61" spans="2:3" ht="18" customHeight="1">
      <c r="B61" s="387" t="s">
        <v>647</v>
      </c>
      <c r="C61" s="385"/>
    </row>
    <row r="62" spans="2:3" ht="21.75" customHeight="1">
      <c r="B62" s="388" t="s">
        <v>648</v>
      </c>
      <c r="C62" s="385"/>
    </row>
    <row r="63" spans="2:3" ht="15.75" thickBot="1">
      <c r="B63" s="389"/>
      <c r="C63" s="390"/>
    </row>
    <row r="64" spans="2:3" ht="15" customHeight="1">
      <c r="B64" s="513" t="s">
        <v>651</v>
      </c>
      <c r="C64" s="504"/>
    </row>
    <row r="65" spans="2:5" ht="12" customHeight="1">
      <c r="B65" s="510"/>
      <c r="C65" s="505"/>
    </row>
    <row r="66" spans="2:5" ht="12" customHeight="1">
      <c r="B66" s="510"/>
      <c r="C66" s="505"/>
    </row>
    <row r="67" spans="2:5" ht="15">
      <c r="B67" s="400"/>
      <c r="C67" s="401"/>
    </row>
    <row r="68" spans="2:5">
      <c r="B68" s="394"/>
      <c r="C68" s="395"/>
    </row>
    <row r="69" spans="2:5">
      <c r="B69" s="394"/>
      <c r="C69" s="395"/>
      <c r="E69" s="405"/>
    </row>
    <row r="70" spans="2:5" ht="15">
      <c r="B70" s="398"/>
      <c r="C70" s="395"/>
    </row>
    <row r="71" spans="2:5" ht="15">
      <c r="B71" s="400"/>
      <c r="C71" s="416"/>
    </row>
    <row r="72" spans="2:5" ht="15">
      <c r="B72" s="400"/>
      <c r="C72" s="512"/>
    </row>
    <row r="73" spans="2:5">
      <c r="B73" s="394"/>
      <c r="C73" s="395"/>
    </row>
    <row r="74" spans="2:5">
      <c r="B74" s="394"/>
      <c r="C74" s="395"/>
    </row>
    <row r="75" spans="2:5" ht="15">
      <c r="B75" s="400"/>
      <c r="C75" s="406"/>
    </row>
    <row r="76" spans="2:5">
      <c r="B76" s="394"/>
      <c r="C76" s="395"/>
    </row>
    <row r="77" spans="2:5" ht="15">
      <c r="B77" s="407"/>
      <c r="C77" s="408"/>
    </row>
    <row r="78" spans="2:5" ht="15">
      <c r="B78" s="398"/>
      <c r="C78" s="395"/>
    </row>
    <row r="79" spans="2:5" ht="15">
      <c r="B79" s="398"/>
      <c r="C79" s="395"/>
    </row>
    <row r="80" spans="2:5" ht="15">
      <c r="B80" s="400"/>
      <c r="C80" s="395"/>
    </row>
    <row r="81" spans="2:3" ht="15">
      <c r="B81" s="400"/>
      <c r="C81" s="401"/>
    </row>
    <row r="82" spans="2:3">
      <c r="B82" s="394"/>
      <c r="C82" s="395"/>
    </row>
    <row r="83" spans="2:3">
      <c r="B83" s="394"/>
      <c r="C83" s="395"/>
    </row>
    <row r="84" spans="2:3" ht="15.75" thickBot="1">
      <c r="B84" s="402"/>
      <c r="C84" s="403"/>
    </row>
    <row r="89" spans="2:3" ht="15">
      <c r="B89" s="384" t="s">
        <v>646</v>
      </c>
      <c r="C89" s="385"/>
    </row>
    <row r="90" spans="2:3">
      <c r="B90" s="386"/>
      <c r="C90" s="385"/>
    </row>
    <row r="91" spans="2:3" ht="18" customHeight="1">
      <c r="B91" s="387" t="s">
        <v>647</v>
      </c>
      <c r="C91" s="385"/>
    </row>
    <row r="92" spans="2:3" ht="21.75" customHeight="1">
      <c r="B92" s="388" t="s">
        <v>648</v>
      </c>
      <c r="C92" s="385"/>
    </row>
    <row r="93" spans="2:3" ht="15.75" thickBot="1">
      <c r="B93" s="389"/>
      <c r="C93" s="390"/>
    </row>
    <row r="94" spans="2:3" ht="15" customHeight="1">
      <c r="B94" s="513" t="s">
        <v>652</v>
      </c>
      <c r="C94" s="504"/>
    </row>
    <row r="95" spans="2:3" ht="12" customHeight="1">
      <c r="B95" s="510"/>
      <c r="C95" s="505"/>
    </row>
    <row r="96" spans="2:3" ht="12" customHeight="1">
      <c r="B96" s="510"/>
      <c r="C96" s="505"/>
    </row>
    <row r="97" spans="2:5" ht="15">
      <c r="B97" s="400"/>
      <c r="C97" s="401"/>
    </row>
    <row r="98" spans="2:5">
      <c r="B98" s="394"/>
      <c r="C98" s="395"/>
    </row>
    <row r="99" spans="2:5">
      <c r="B99" s="394"/>
      <c r="C99" s="395"/>
      <c r="E99" s="409"/>
    </row>
    <row r="100" spans="2:5" ht="15">
      <c r="B100" s="398"/>
      <c r="C100" s="395"/>
    </row>
    <row r="101" spans="2:5" ht="15">
      <c r="B101" s="400"/>
      <c r="C101" s="416"/>
    </row>
    <row r="102" spans="2:5" ht="15">
      <c r="B102" s="400"/>
      <c r="C102" s="512"/>
    </row>
    <row r="103" spans="2:5">
      <c r="B103" s="394"/>
      <c r="C103" s="395"/>
    </row>
    <row r="104" spans="2:5">
      <c r="B104" s="394"/>
      <c r="C104" s="395"/>
    </row>
    <row r="105" spans="2:5" ht="15">
      <c r="B105" s="400"/>
      <c r="C105" s="401"/>
    </row>
    <row r="106" spans="2:5">
      <c r="B106" s="394"/>
      <c r="C106" s="395"/>
    </row>
    <row r="107" spans="2:5" ht="15">
      <c r="B107" s="407"/>
      <c r="C107" s="408"/>
    </row>
    <row r="108" spans="2:5" ht="15">
      <c r="B108" s="398"/>
      <c r="C108" s="395"/>
    </row>
    <row r="109" spans="2:5" ht="15">
      <c r="B109" s="398"/>
      <c r="C109" s="395"/>
    </row>
    <row r="110" spans="2:5" ht="15">
      <c r="B110" s="400"/>
      <c r="C110" s="395"/>
    </row>
    <row r="111" spans="2:5" ht="15">
      <c r="B111" s="400"/>
      <c r="C111" s="401"/>
    </row>
    <row r="112" spans="2:5">
      <c r="B112" s="394"/>
      <c r="C112" s="395"/>
    </row>
    <row r="113" spans="2:3">
      <c r="B113" s="394"/>
      <c r="C113" s="395"/>
    </row>
    <row r="114" spans="2:3" ht="15.75" thickBot="1">
      <c r="B114" s="402"/>
      <c r="C114" s="403"/>
    </row>
    <row r="115" spans="2:3">
      <c r="C115" s="410"/>
    </row>
    <row r="116" spans="2:3">
      <c r="C116" s="410"/>
    </row>
    <row r="117" spans="2:3">
      <c r="C117" s="410"/>
    </row>
    <row r="118" spans="2:3" ht="15">
      <c r="B118" s="384" t="s">
        <v>646</v>
      </c>
      <c r="C118" s="385"/>
    </row>
    <row r="119" spans="2:3">
      <c r="B119" s="386"/>
      <c r="C119" s="385"/>
    </row>
    <row r="120" spans="2:3" ht="18" customHeight="1">
      <c r="B120" s="387" t="s">
        <v>647</v>
      </c>
      <c r="C120" s="385"/>
    </row>
    <row r="121" spans="2:3" ht="21.75" customHeight="1">
      <c r="B121" s="388" t="s">
        <v>648</v>
      </c>
      <c r="C121" s="385"/>
    </row>
    <row r="122" spans="2:3" ht="15.75" thickBot="1">
      <c r="B122" s="389"/>
      <c r="C122" s="390"/>
    </row>
    <row r="123" spans="2:3" ht="15" customHeight="1">
      <c r="B123" s="513" t="s">
        <v>653</v>
      </c>
      <c r="C123" s="504"/>
    </row>
    <row r="124" spans="2:3" ht="12" customHeight="1">
      <c r="B124" s="510"/>
      <c r="C124" s="505"/>
    </row>
    <row r="125" spans="2:3" ht="12" customHeight="1">
      <c r="B125" s="510"/>
      <c r="C125" s="505"/>
    </row>
    <row r="126" spans="2:3" ht="15">
      <c r="B126" s="400"/>
      <c r="C126" s="401"/>
    </row>
    <row r="127" spans="2:3">
      <c r="B127" s="394"/>
      <c r="C127" s="395"/>
    </row>
    <row r="128" spans="2:3">
      <c r="B128" s="394"/>
      <c r="C128" s="395"/>
    </row>
    <row r="129" spans="2:3" ht="15">
      <c r="B129" s="398"/>
      <c r="C129" s="395"/>
    </row>
    <row r="130" spans="2:3" ht="15">
      <c r="B130" s="400"/>
      <c r="C130" s="416"/>
    </row>
    <row r="131" spans="2:3" ht="15">
      <c r="B131" s="400"/>
      <c r="C131" s="512"/>
    </row>
    <row r="132" spans="2:3">
      <c r="B132" s="394"/>
      <c r="C132" s="395"/>
    </row>
    <row r="133" spans="2:3">
      <c r="B133" s="394"/>
      <c r="C133" s="395"/>
    </row>
    <row r="134" spans="2:3" ht="15">
      <c r="B134" s="400"/>
      <c r="C134" s="401"/>
    </row>
    <row r="135" spans="2:3">
      <c r="B135" s="394"/>
      <c r="C135" s="395"/>
    </row>
    <row r="136" spans="2:3" ht="15">
      <c r="B136" s="407"/>
      <c r="C136" s="395"/>
    </row>
    <row r="137" spans="2:3">
      <c r="B137" s="411"/>
      <c r="C137" s="412"/>
    </row>
    <row r="138" spans="2:3">
      <c r="B138" s="411"/>
      <c r="C138" s="412"/>
    </row>
    <row r="139" spans="2:3" ht="15">
      <c r="B139" s="398"/>
      <c r="C139" s="395"/>
    </row>
    <row r="140" spans="2:3" ht="15">
      <c r="B140" s="398"/>
      <c r="C140" s="395"/>
    </row>
    <row r="141" spans="2:3" ht="15">
      <c r="B141" s="400"/>
      <c r="C141" s="395"/>
    </row>
    <row r="142" spans="2:3" ht="15">
      <c r="B142" s="400"/>
      <c r="C142" s="401"/>
    </row>
    <row r="143" spans="2:3">
      <c r="B143" s="394"/>
      <c r="C143" s="395"/>
    </row>
    <row r="144" spans="2:3">
      <c r="B144" s="394"/>
      <c r="C144" s="395"/>
    </row>
    <row r="145" spans="2:3" ht="15.75" thickBot="1">
      <c r="B145" s="402"/>
      <c r="C145" s="403"/>
    </row>
    <row r="149" spans="2:3" ht="15">
      <c r="B149" s="384" t="s">
        <v>646</v>
      </c>
      <c r="C149" s="385"/>
    </row>
    <row r="150" spans="2:3">
      <c r="B150" s="386"/>
      <c r="C150" s="385"/>
    </row>
    <row r="151" spans="2:3" ht="18" customHeight="1">
      <c r="B151" s="387" t="s">
        <v>647</v>
      </c>
      <c r="C151" s="385"/>
    </row>
    <row r="152" spans="2:3" ht="21.75" customHeight="1">
      <c r="B152" s="388" t="s">
        <v>648</v>
      </c>
      <c r="C152" s="385"/>
    </row>
    <row r="153" spans="2:3" ht="15.75" thickBot="1">
      <c r="B153" s="389"/>
      <c r="C153" s="390"/>
    </row>
    <row r="154" spans="2:3" ht="15" customHeight="1">
      <c r="B154" s="513" t="s">
        <v>654</v>
      </c>
      <c r="C154" s="504"/>
    </row>
    <row r="155" spans="2:3" ht="12" customHeight="1">
      <c r="B155" s="510"/>
      <c r="C155" s="505"/>
    </row>
    <row r="156" spans="2:3" ht="12" customHeight="1">
      <c r="B156" s="510"/>
      <c r="C156" s="505"/>
    </row>
    <row r="157" spans="2:3" ht="15">
      <c r="B157" s="400"/>
      <c r="C157" s="401"/>
    </row>
    <row r="158" spans="2:3">
      <c r="B158" s="394"/>
      <c r="C158" s="395"/>
    </row>
    <row r="159" spans="2:3">
      <c r="B159" s="394"/>
      <c r="C159" s="395"/>
    </row>
    <row r="160" spans="2:3" ht="15">
      <c r="B160" s="398"/>
      <c r="C160" s="395"/>
    </row>
    <row r="161" spans="2:3" ht="15">
      <c r="B161" s="400"/>
      <c r="C161" s="416"/>
    </row>
    <row r="162" spans="2:3" ht="15">
      <c r="B162" s="400"/>
      <c r="C162" s="512"/>
    </row>
    <row r="163" spans="2:3">
      <c r="B163" s="394"/>
      <c r="C163" s="395"/>
    </row>
    <row r="164" spans="2:3">
      <c r="B164" s="394"/>
      <c r="C164" s="395"/>
    </row>
    <row r="165" spans="2:3" ht="15">
      <c r="B165" s="400"/>
      <c r="C165" s="406"/>
    </row>
    <row r="166" spans="2:3">
      <c r="B166" s="394"/>
      <c r="C166" s="395"/>
    </row>
    <row r="167" spans="2:3" ht="15">
      <c r="B167" s="400"/>
      <c r="C167" s="413"/>
    </row>
    <row r="168" spans="2:3" ht="15">
      <c r="B168" s="398"/>
      <c r="C168" s="395"/>
    </row>
    <row r="169" spans="2:3" ht="15">
      <c r="B169" s="398"/>
      <c r="C169" s="395"/>
    </row>
    <row r="170" spans="2:3" ht="15">
      <c r="B170" s="400"/>
      <c r="C170" s="395"/>
    </row>
    <row r="171" spans="2:3" ht="15">
      <c r="B171" s="400"/>
      <c r="C171" s="401"/>
    </row>
    <row r="172" spans="2:3">
      <c r="B172" s="394"/>
      <c r="C172" s="395"/>
    </row>
    <row r="173" spans="2:3">
      <c r="B173" s="394"/>
      <c r="C173" s="395"/>
    </row>
    <row r="174" spans="2:3" ht="15.75" thickBot="1">
      <c r="B174" s="402"/>
      <c r="C174" s="403"/>
    </row>
    <row r="178" spans="2:6" ht="15">
      <c r="B178" s="384" t="s">
        <v>646</v>
      </c>
      <c r="C178" s="385"/>
    </row>
    <row r="179" spans="2:6">
      <c r="B179" s="386"/>
      <c r="C179" s="385"/>
    </row>
    <row r="180" spans="2:6" ht="18" customHeight="1">
      <c r="B180" s="387" t="s">
        <v>647</v>
      </c>
      <c r="C180" s="385"/>
    </row>
    <row r="181" spans="2:6" ht="21.75" customHeight="1">
      <c r="B181" s="388" t="s">
        <v>648</v>
      </c>
      <c r="C181" s="385"/>
    </row>
    <row r="182" spans="2:6" ht="15.75" thickBot="1">
      <c r="B182" s="389"/>
      <c r="C182" s="390"/>
    </row>
    <row r="183" spans="2:6" ht="15" customHeight="1">
      <c r="B183" s="513" t="s">
        <v>655</v>
      </c>
      <c r="C183" s="504"/>
    </row>
    <row r="184" spans="2:6" ht="12" customHeight="1">
      <c r="B184" s="510"/>
      <c r="C184" s="505"/>
    </row>
    <row r="185" spans="2:6" ht="12" customHeight="1">
      <c r="B185" s="510"/>
      <c r="C185" s="505"/>
    </row>
    <row r="186" spans="2:6" ht="15">
      <c r="B186" s="400"/>
      <c r="C186" s="401"/>
    </row>
    <row r="187" spans="2:6">
      <c r="B187" s="414"/>
      <c r="C187" s="395"/>
    </row>
    <row r="188" spans="2:6">
      <c r="B188" s="394"/>
      <c r="C188" s="395"/>
    </row>
    <row r="189" spans="2:6" ht="15">
      <c r="B189" s="398"/>
      <c r="C189" s="395"/>
      <c r="D189" s="396">
        <f>C189-V.4!C198</f>
        <v>0</v>
      </c>
      <c r="F189" s="396"/>
    </row>
    <row r="190" spans="2:6" ht="15">
      <c r="B190" s="400"/>
      <c r="C190" s="416"/>
    </row>
    <row r="191" spans="2:6" ht="15">
      <c r="B191" s="400"/>
      <c r="C191" s="512"/>
    </row>
    <row r="192" spans="2:6">
      <c r="B192" s="394"/>
      <c r="C192" s="395"/>
    </row>
    <row r="193" spans="2:3">
      <c r="B193" s="394"/>
      <c r="C193" s="395"/>
    </row>
    <row r="194" spans="2:3" ht="15">
      <c r="B194" s="400"/>
      <c r="C194" s="401"/>
    </row>
    <row r="195" spans="2:3">
      <c r="B195" s="394"/>
      <c r="C195" s="395"/>
    </row>
    <row r="196" spans="2:3" ht="15">
      <c r="B196" s="407"/>
      <c r="C196" s="395"/>
    </row>
    <row r="197" spans="2:3">
      <c r="B197" s="411"/>
      <c r="C197" s="412"/>
    </row>
    <row r="198" spans="2:3">
      <c r="B198" s="411"/>
      <c r="C198" s="412"/>
    </row>
    <row r="199" spans="2:3" ht="15">
      <c r="B199" s="398"/>
      <c r="C199" s="395"/>
    </row>
    <row r="200" spans="2:3" ht="15">
      <c r="B200" s="398"/>
      <c r="C200" s="395"/>
    </row>
    <row r="201" spans="2:3" ht="15">
      <c r="B201" s="400"/>
      <c r="C201" s="395"/>
    </row>
    <row r="202" spans="2:3" ht="15">
      <c r="B202" s="400"/>
      <c r="C202" s="401"/>
    </row>
    <row r="203" spans="2:3">
      <c r="B203" s="394"/>
      <c r="C203" s="395"/>
    </row>
    <row r="204" spans="2:3">
      <c r="B204" s="394"/>
      <c r="C204" s="395"/>
    </row>
    <row r="205" spans="2:3" ht="15.75" thickBot="1">
      <c r="B205" s="402"/>
      <c r="C205" s="403"/>
    </row>
    <row r="209" spans="2:3" ht="15">
      <c r="B209" s="384" t="s">
        <v>646</v>
      </c>
      <c r="C209" s="385"/>
    </row>
    <row r="210" spans="2:3">
      <c r="B210" s="386"/>
      <c r="C210" s="385"/>
    </row>
    <row r="211" spans="2:3" ht="18" customHeight="1">
      <c r="B211" s="387" t="s">
        <v>647</v>
      </c>
      <c r="C211" s="385"/>
    </row>
    <row r="212" spans="2:3" ht="21.75" customHeight="1">
      <c r="B212" s="388" t="s">
        <v>648</v>
      </c>
      <c r="C212" s="385"/>
    </row>
    <row r="213" spans="2:3" ht="15.75" thickBot="1">
      <c r="B213" s="389"/>
      <c r="C213" s="390"/>
    </row>
    <row r="214" spans="2:3" ht="15" customHeight="1">
      <c r="B214" s="514" t="s">
        <v>656</v>
      </c>
      <c r="C214" s="504"/>
    </row>
    <row r="215" spans="2:3" ht="12" customHeight="1">
      <c r="B215" s="515"/>
      <c r="C215" s="505"/>
    </row>
    <row r="216" spans="2:3" ht="12" customHeight="1">
      <c r="B216" s="516"/>
      <c r="C216" s="505"/>
    </row>
    <row r="217" spans="2:3" ht="15">
      <c r="B217" s="400"/>
      <c r="C217" s="415"/>
    </row>
    <row r="218" spans="2:3">
      <c r="B218" s="414"/>
      <c r="C218" s="395"/>
    </row>
    <row r="219" spans="2:3">
      <c r="B219" s="414"/>
      <c r="C219" s="395"/>
    </row>
    <row r="220" spans="2:3">
      <c r="B220" s="394"/>
      <c r="C220" s="395"/>
    </row>
    <row r="221" spans="2:3" ht="15">
      <c r="B221" s="398"/>
      <c r="C221" s="395"/>
    </row>
    <row r="222" spans="2:3" ht="15">
      <c r="B222" s="400"/>
      <c r="C222" s="416"/>
    </row>
    <row r="223" spans="2:3" ht="15">
      <c r="B223" s="400"/>
      <c r="C223" s="417"/>
    </row>
    <row r="224" spans="2:3">
      <c r="B224" s="394"/>
      <c r="C224" s="395"/>
    </row>
    <row r="225" spans="2:3">
      <c r="B225" s="394"/>
      <c r="C225" s="395"/>
    </row>
    <row r="226" spans="2:3" ht="15">
      <c r="B226" s="400"/>
      <c r="C226" s="401"/>
    </row>
    <row r="227" spans="2:3">
      <c r="B227" s="394"/>
      <c r="C227" s="395"/>
    </row>
    <row r="228" spans="2:3" ht="15">
      <c r="B228" s="400"/>
      <c r="C228" s="395"/>
    </row>
    <row r="229" spans="2:3" ht="15">
      <c r="B229" s="398"/>
      <c r="C229" s="395"/>
    </row>
    <row r="230" spans="2:3" ht="15">
      <c r="B230" s="398"/>
      <c r="C230" s="395"/>
    </row>
    <row r="231" spans="2:3" ht="15">
      <c r="B231" s="400"/>
      <c r="C231" s="395"/>
    </row>
    <row r="232" spans="2:3" ht="15">
      <c r="B232" s="400"/>
      <c r="C232" s="401"/>
    </row>
    <row r="233" spans="2:3">
      <c r="B233" s="394"/>
      <c r="C233" s="395"/>
    </row>
    <row r="234" spans="2:3">
      <c r="B234" s="394"/>
      <c r="C234" s="395"/>
    </row>
    <row r="235" spans="2:3" ht="15.75" thickBot="1">
      <c r="B235" s="402"/>
      <c r="C235" s="403"/>
    </row>
    <row r="239" spans="2:3" ht="15">
      <c r="B239" s="384" t="s">
        <v>646</v>
      </c>
      <c r="C239" s="385"/>
    </row>
    <row r="240" spans="2:3">
      <c r="B240" s="386"/>
      <c r="C240" s="385"/>
    </row>
    <row r="241" spans="2:3" ht="18" customHeight="1">
      <c r="B241" s="387" t="s">
        <v>647</v>
      </c>
      <c r="C241" s="385"/>
    </row>
    <row r="242" spans="2:3" ht="21.75" customHeight="1">
      <c r="B242" s="388" t="s">
        <v>648</v>
      </c>
      <c r="C242" s="385"/>
    </row>
    <row r="243" spans="2:3" ht="15.75" thickBot="1">
      <c r="B243" s="389"/>
      <c r="C243" s="390"/>
    </row>
    <row r="244" spans="2:3" ht="15" customHeight="1">
      <c r="B244" s="513" t="s">
        <v>657</v>
      </c>
      <c r="C244" s="504"/>
    </row>
    <row r="245" spans="2:3" ht="12" customHeight="1">
      <c r="B245" s="510"/>
      <c r="C245" s="505"/>
    </row>
    <row r="246" spans="2:3" ht="12" customHeight="1">
      <c r="B246" s="510"/>
      <c r="C246" s="505"/>
    </row>
    <row r="247" spans="2:3" ht="15">
      <c r="B247" s="400"/>
      <c r="C247" s="416"/>
    </row>
    <row r="248" spans="2:3" ht="15">
      <c r="B248" s="418"/>
      <c r="C248" s="512"/>
    </row>
    <row r="249" spans="2:3">
      <c r="B249" s="394"/>
      <c r="C249" s="395"/>
    </row>
    <row r="250" spans="2:3">
      <c r="B250" s="394"/>
      <c r="C250" s="395"/>
    </row>
    <row r="251" spans="2:3" ht="15">
      <c r="B251" s="400"/>
      <c r="C251" s="401"/>
    </row>
    <row r="252" spans="2:3">
      <c r="B252" s="414"/>
      <c r="C252" s="395"/>
    </row>
    <row r="253" spans="2:3">
      <c r="B253" s="394"/>
      <c r="C253" s="395"/>
    </row>
    <row r="254" spans="2:3" ht="15">
      <c r="B254" s="398"/>
      <c r="C254" s="395"/>
    </row>
    <row r="255" spans="2:3" ht="15">
      <c r="B255" s="400"/>
      <c r="C255" s="416"/>
    </row>
    <row r="256" spans="2:3" ht="15">
      <c r="B256" s="400"/>
      <c r="C256" s="512"/>
    </row>
    <row r="257" spans="2:3">
      <c r="B257" s="394"/>
      <c r="C257" s="395"/>
    </row>
    <row r="258" spans="2:3">
      <c r="B258" s="394"/>
      <c r="C258" s="408"/>
    </row>
    <row r="259" spans="2:3" ht="15">
      <c r="B259" s="407"/>
      <c r="C259" s="419"/>
    </row>
    <row r="260" spans="2:3">
      <c r="B260" s="394"/>
      <c r="C260" s="412"/>
    </row>
    <row r="261" spans="2:3" ht="15">
      <c r="B261" s="400"/>
      <c r="C261" s="395"/>
    </row>
    <row r="262" spans="2:3">
      <c r="B262" s="394"/>
      <c r="C262" s="395"/>
    </row>
    <row r="263" spans="2:3">
      <c r="B263" s="394"/>
      <c r="C263" s="395"/>
    </row>
    <row r="264" spans="2:3" ht="15">
      <c r="B264" s="398"/>
      <c r="C264" s="395"/>
    </row>
    <row r="265" spans="2:3" ht="15">
      <c r="B265" s="398"/>
      <c r="C265" s="395"/>
    </row>
    <row r="266" spans="2:3" ht="15">
      <c r="B266" s="400"/>
      <c r="C266" s="395"/>
    </row>
    <row r="267" spans="2:3" ht="15">
      <c r="B267" s="400"/>
      <c r="C267" s="401"/>
    </row>
    <row r="268" spans="2:3">
      <c r="B268" s="394"/>
      <c r="C268" s="395"/>
    </row>
    <row r="269" spans="2:3">
      <c r="B269" s="394"/>
      <c r="C269" s="395"/>
    </row>
    <row r="270" spans="2:3" ht="15.75" thickBot="1">
      <c r="B270" s="402"/>
      <c r="C270" s="403"/>
    </row>
    <row r="274" spans="2:3" ht="15">
      <c r="B274" s="384" t="s">
        <v>646</v>
      </c>
      <c r="C274" s="385"/>
    </row>
    <row r="275" spans="2:3">
      <c r="B275" s="386"/>
      <c r="C275" s="385"/>
    </row>
    <row r="276" spans="2:3" ht="18" customHeight="1">
      <c r="B276" s="387" t="s">
        <v>647</v>
      </c>
      <c r="C276" s="385"/>
    </row>
    <row r="277" spans="2:3" ht="21.75" customHeight="1">
      <c r="B277" s="388" t="s">
        <v>648</v>
      </c>
      <c r="C277" s="385"/>
    </row>
    <row r="278" spans="2:3" ht="15.75" thickBot="1">
      <c r="B278" s="389"/>
      <c r="C278" s="390"/>
    </row>
    <row r="279" spans="2:3" ht="15" customHeight="1">
      <c r="B279" s="514" t="s">
        <v>658</v>
      </c>
      <c r="C279" s="504"/>
    </row>
    <row r="280" spans="2:3" ht="12" customHeight="1">
      <c r="B280" s="515"/>
      <c r="C280" s="505"/>
    </row>
    <row r="281" spans="2:3" ht="12" customHeight="1">
      <c r="B281" s="516"/>
      <c r="C281" s="505"/>
    </row>
    <row r="282" spans="2:3" ht="15">
      <c r="B282" s="420"/>
      <c r="C282" s="395"/>
    </row>
    <row r="283" spans="2:3" ht="15">
      <c r="B283" s="400"/>
      <c r="C283" s="415"/>
    </row>
    <row r="284" spans="2:3" ht="15">
      <c r="B284" s="400"/>
      <c r="C284" s="417"/>
    </row>
    <row r="285" spans="2:3">
      <c r="B285" s="394"/>
      <c r="C285" s="395"/>
    </row>
    <row r="286" spans="2:3">
      <c r="B286" s="394"/>
      <c r="C286" s="395"/>
    </row>
    <row r="287" spans="2:3" ht="15">
      <c r="B287" s="400"/>
      <c r="C287" s="417"/>
    </row>
    <row r="288" spans="2:3">
      <c r="B288" s="394"/>
      <c r="C288" s="395"/>
    </row>
    <row r="289" spans="2:5" ht="15">
      <c r="B289" s="400"/>
      <c r="C289" s="395"/>
    </row>
    <row r="290" spans="2:5" ht="15">
      <c r="B290" s="398"/>
      <c r="C290" s="395"/>
    </row>
    <row r="291" spans="2:5" ht="15">
      <c r="B291" s="398"/>
      <c r="C291" s="395"/>
    </row>
    <row r="292" spans="2:5" ht="15">
      <c r="B292" s="400"/>
      <c r="C292" s="395"/>
    </row>
    <row r="293" spans="2:5" ht="15">
      <c r="B293" s="400"/>
      <c r="C293" s="401"/>
    </row>
    <row r="294" spans="2:5">
      <c r="B294" s="394"/>
      <c r="C294" s="395"/>
    </row>
    <row r="295" spans="2:5">
      <c r="B295" s="394"/>
      <c r="C295" s="395"/>
    </row>
    <row r="296" spans="2:5" ht="15.75" thickBot="1">
      <c r="B296" s="402"/>
      <c r="C296" s="403"/>
    </row>
    <row r="300" spans="2:5" s="421" customFormat="1" ht="15">
      <c r="C300" s="422"/>
      <c r="D300" s="423"/>
      <c r="E300" s="422"/>
    </row>
    <row r="301" spans="2:5" ht="15">
      <c r="B301" s="421"/>
      <c r="C301" s="422"/>
      <c r="D301" s="423"/>
    </row>
    <row r="302" spans="2:5" ht="15">
      <c r="B302" s="421"/>
      <c r="C302" s="422"/>
      <c r="D302" s="423"/>
    </row>
    <row r="303" spans="2:5" ht="15">
      <c r="D303" s="422"/>
    </row>
    <row r="305" spans="2:4" ht="15">
      <c r="B305" s="421"/>
      <c r="C305" s="422"/>
      <c r="D305" s="423"/>
    </row>
    <row r="306" spans="2:4" ht="15">
      <c r="B306" s="421"/>
      <c r="C306" s="422"/>
      <c r="D306" s="423"/>
    </row>
    <row r="307" spans="2:4" ht="15">
      <c r="B307" s="421"/>
      <c r="C307" s="422"/>
      <c r="D307" s="423"/>
    </row>
  </sheetData>
  <printOptions horizontalCentered="1" verticalCentered="1"/>
  <pageMargins left="0.70866141732283472" right="0.70866141732283472" top="0.74803149606299213" bottom="0.74803149606299213" header="0.31496062992125984" footer="0.31496062992125984"/>
  <pageSetup paperSize="9" scale="70" orientation="portrait" horizontalDpi="300" verticalDpi="300" r:id="rId1"/>
  <rowBreaks count="8" manualBreakCount="8">
    <brk id="57" min="1" max="5" man="1"/>
    <brk id="87" min="1" max="5" man="1"/>
    <brk id="116" min="1" max="5" man="1"/>
    <brk id="147" min="1" max="5" man="1"/>
    <brk id="176" min="1" max="5" man="1"/>
    <brk id="207" min="1" max="5" man="1"/>
    <brk id="237" min="1" max="5" man="1"/>
    <brk id="272" min="1"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5"/>
  <sheetViews>
    <sheetView view="pageBreakPreview" zoomScale="85" zoomScaleNormal="70" zoomScaleSheetLayoutView="85" workbookViewId="0">
      <selection activeCell="N15" sqref="N15"/>
    </sheetView>
  </sheetViews>
  <sheetFormatPr baseColWidth="10" defaultColWidth="11.42578125" defaultRowHeight="15"/>
  <cols>
    <col min="1" max="1" width="6.85546875" style="427" customWidth="1"/>
    <col min="2" max="2" width="56.85546875" style="427" customWidth="1"/>
    <col min="3" max="3" width="31.28515625" style="445" customWidth="1"/>
    <col min="4" max="4" width="20.42578125" style="445" customWidth="1"/>
    <col min="5" max="5" width="24.42578125" style="445" customWidth="1"/>
    <col min="6" max="6" width="11.42578125" style="427" customWidth="1"/>
    <col min="7" max="7" width="11.42578125" style="427"/>
    <col min="8" max="8" width="13.140625" style="427" bestFit="1" customWidth="1"/>
    <col min="9" max="16384" width="11.42578125" style="427"/>
  </cols>
  <sheetData>
    <row r="1" spans="2:7" s="382" customFormat="1" ht="113.25" customHeight="1">
      <c r="B1" s="517"/>
      <c r="C1" s="517"/>
      <c r="E1" s="383"/>
    </row>
    <row r="2" spans="2:7">
      <c r="B2" s="424"/>
      <c r="C2" s="385"/>
      <c r="D2" s="426"/>
      <c r="E2" s="426"/>
    </row>
    <row r="3" spans="2:7" s="382" customFormat="1">
      <c r="B3" s="384" t="s">
        <v>646</v>
      </c>
      <c r="C3" s="385"/>
      <c r="D3" s="428"/>
      <c r="E3" s="428"/>
      <c r="G3" s="383"/>
    </row>
    <row r="4" spans="2:7" s="382" customFormat="1" ht="12">
      <c r="B4" s="386"/>
      <c r="C4" s="385"/>
      <c r="D4" s="428"/>
      <c r="E4" s="428"/>
      <c r="G4" s="383"/>
    </row>
    <row r="5" spans="2:7" s="382" customFormat="1" ht="18" customHeight="1">
      <c r="B5" s="387" t="s">
        <v>647</v>
      </c>
      <c r="C5" s="385"/>
      <c r="D5" s="428"/>
      <c r="E5" s="428"/>
      <c r="G5" s="383"/>
    </row>
    <row r="6" spans="2:7" ht="21.75" customHeight="1">
      <c r="B6" s="388" t="s">
        <v>659</v>
      </c>
      <c r="C6" s="425"/>
      <c r="D6" s="426"/>
      <c r="E6" s="426"/>
    </row>
    <row r="7" spans="2:7" ht="16.5" thickBot="1">
      <c r="B7" s="429"/>
      <c r="C7" s="430"/>
      <c r="D7" s="426"/>
      <c r="E7" s="426"/>
    </row>
    <row r="8" spans="2:7" ht="15" customHeight="1">
      <c r="B8" s="518" t="s">
        <v>660</v>
      </c>
      <c r="C8" s="520"/>
      <c r="D8" s="524"/>
      <c r="E8" s="524"/>
    </row>
    <row r="9" spans="2:7" ht="15" customHeight="1">
      <c r="B9" s="519"/>
      <c r="C9" s="521"/>
      <c r="D9" s="524"/>
      <c r="E9" s="524"/>
    </row>
    <row r="10" spans="2:7" ht="15" customHeight="1">
      <c r="B10" s="519"/>
      <c r="C10" s="522"/>
      <c r="D10" s="524"/>
      <c r="E10" s="524"/>
    </row>
    <row r="11" spans="2:7">
      <c r="B11" s="431"/>
      <c r="C11" s="432"/>
      <c r="D11" s="433"/>
      <c r="E11" s="433"/>
    </row>
    <row r="12" spans="2:7">
      <c r="B12" s="431"/>
      <c r="C12" s="434"/>
      <c r="D12" s="435"/>
      <c r="E12" s="436"/>
    </row>
    <row r="13" spans="2:7">
      <c r="B13" s="431"/>
      <c r="C13" s="434"/>
      <c r="D13" s="436"/>
      <c r="E13" s="436"/>
      <c r="G13" s="437"/>
    </row>
    <row r="14" spans="2:7">
      <c r="B14" s="431"/>
      <c r="C14" s="434"/>
      <c r="D14" s="436"/>
      <c r="E14" s="436"/>
    </row>
    <row r="15" spans="2:7">
      <c r="B15" s="431"/>
      <c r="C15" s="434"/>
      <c r="D15" s="436"/>
      <c r="E15" s="436"/>
    </row>
    <row r="16" spans="2:7" ht="15.75">
      <c r="B16" s="438"/>
      <c r="C16" s="432"/>
      <c r="D16" s="433"/>
      <c r="E16" s="433"/>
    </row>
    <row r="17" spans="2:7">
      <c r="B17" s="431"/>
      <c r="C17" s="434"/>
      <c r="D17" s="436"/>
      <c r="E17" s="436"/>
    </row>
    <row r="18" spans="2:7" ht="15.75">
      <c r="B18" s="439"/>
      <c r="C18" s="434"/>
      <c r="D18" s="436"/>
      <c r="E18" s="436"/>
      <c r="G18" s="437"/>
    </row>
    <row r="19" spans="2:7" ht="15.75">
      <c r="B19" s="438"/>
      <c r="C19" s="440"/>
      <c r="D19" s="433"/>
      <c r="E19" s="433"/>
    </row>
    <row r="20" spans="2:7" ht="15.75">
      <c r="B20" s="438"/>
      <c r="C20" s="441"/>
      <c r="D20" s="433"/>
      <c r="E20" s="433"/>
    </row>
    <row r="21" spans="2:7">
      <c r="B21" s="431"/>
      <c r="C21" s="434"/>
      <c r="D21" s="442"/>
      <c r="E21" s="433"/>
    </row>
    <row r="22" spans="2:7">
      <c r="B22" s="431"/>
      <c r="C22" s="434"/>
      <c r="D22" s="442"/>
      <c r="E22" s="433"/>
    </row>
    <row r="23" spans="2:7">
      <c r="B23" s="431"/>
      <c r="C23" s="434"/>
      <c r="D23" s="442"/>
      <c r="E23" s="433"/>
    </row>
    <row r="24" spans="2:7">
      <c r="B24" s="431"/>
      <c r="C24" s="434"/>
      <c r="D24" s="442"/>
      <c r="E24" s="433"/>
    </row>
    <row r="25" spans="2:7">
      <c r="B25" s="431"/>
      <c r="C25" s="434"/>
      <c r="D25" s="442"/>
      <c r="E25" s="433"/>
    </row>
    <row r="26" spans="2:7">
      <c r="B26" s="431"/>
      <c r="C26" s="434"/>
      <c r="D26" s="442"/>
      <c r="E26" s="433"/>
    </row>
    <row r="27" spans="2:7">
      <c r="B27" s="431"/>
      <c r="C27" s="432"/>
      <c r="D27" s="433"/>
      <c r="E27" s="433"/>
    </row>
    <row r="28" spans="2:7">
      <c r="B28" s="431"/>
      <c r="C28" s="434"/>
      <c r="D28" s="442"/>
      <c r="E28" s="433"/>
    </row>
    <row r="29" spans="2:7">
      <c r="B29" s="431"/>
      <c r="C29" s="434"/>
      <c r="D29" s="442"/>
      <c r="E29" s="433"/>
    </row>
    <row r="30" spans="2:7" ht="15.75">
      <c r="B30" s="439"/>
      <c r="C30" s="434"/>
      <c r="D30" s="442"/>
      <c r="E30" s="433"/>
    </row>
    <row r="31" spans="2:7" ht="15.75">
      <c r="B31" s="439"/>
      <c r="C31" s="434"/>
      <c r="D31" s="442"/>
      <c r="E31" s="433"/>
    </row>
    <row r="32" spans="2:7" ht="15.75">
      <c r="B32" s="438"/>
      <c r="C32" s="434"/>
      <c r="D32" s="442"/>
      <c r="E32" s="433"/>
    </row>
    <row r="33" spans="2:7" ht="15.75">
      <c r="B33" s="438"/>
      <c r="C33" s="432"/>
      <c r="D33" s="433"/>
      <c r="E33" s="433"/>
    </row>
    <row r="34" spans="2:7">
      <c r="B34" s="431"/>
      <c r="C34" s="434"/>
      <c r="D34" s="442"/>
      <c r="E34" s="433"/>
    </row>
    <row r="35" spans="2:7">
      <c r="B35" s="431"/>
      <c r="C35" s="434"/>
      <c r="D35" s="442"/>
      <c r="E35" s="433"/>
    </row>
    <row r="36" spans="2:7" ht="16.5" thickBot="1">
      <c r="B36" s="443"/>
      <c r="C36" s="444"/>
      <c r="D36" s="442"/>
      <c r="E36" s="433"/>
    </row>
    <row r="39" spans="2:7">
      <c r="D39" s="425"/>
      <c r="E39" s="425"/>
      <c r="F39" s="424"/>
    </row>
    <row r="40" spans="2:7" s="382" customFormat="1">
      <c r="B40" s="384" t="s">
        <v>646</v>
      </c>
      <c r="C40" s="385"/>
      <c r="D40" s="385"/>
      <c r="E40" s="385"/>
      <c r="F40" s="386"/>
      <c r="G40" s="383"/>
    </row>
    <row r="41" spans="2:7" s="382" customFormat="1" ht="12">
      <c r="B41" s="386"/>
      <c r="C41" s="385"/>
      <c r="D41" s="385"/>
      <c r="E41" s="385"/>
      <c r="F41" s="386"/>
      <c r="G41" s="383"/>
    </row>
    <row r="42" spans="2:7" s="382" customFormat="1" ht="18" customHeight="1">
      <c r="B42" s="387" t="s">
        <v>647</v>
      </c>
      <c r="C42" s="385"/>
      <c r="D42" s="385"/>
      <c r="E42" s="385"/>
      <c r="F42" s="386"/>
      <c r="G42" s="383"/>
    </row>
    <row r="43" spans="2:7" ht="21.75" customHeight="1">
      <c r="B43" s="388" t="s">
        <v>659</v>
      </c>
      <c r="C43" s="425"/>
      <c r="D43" s="425"/>
      <c r="E43" s="425"/>
      <c r="F43" s="424"/>
    </row>
    <row r="44" spans="2:7" ht="16.5" thickBot="1">
      <c r="B44" s="429"/>
      <c r="C44" s="430"/>
      <c r="D44" s="425"/>
      <c r="E44" s="425"/>
      <c r="F44" s="424"/>
    </row>
    <row r="45" spans="2:7" ht="15" customHeight="1">
      <c r="B45" s="528" t="s">
        <v>661</v>
      </c>
      <c r="C45" s="526"/>
      <c r="D45" s="425"/>
      <c r="E45" s="425"/>
      <c r="F45" s="424"/>
    </row>
    <row r="46" spans="2:7" ht="15" customHeight="1">
      <c r="B46" s="529"/>
      <c r="C46" s="527"/>
      <c r="D46" s="425"/>
      <c r="E46" s="425"/>
      <c r="F46" s="424"/>
    </row>
    <row r="47" spans="2:7" ht="15" customHeight="1">
      <c r="B47" s="532"/>
      <c r="C47" s="527"/>
      <c r="D47" s="425"/>
      <c r="E47" s="425"/>
      <c r="F47" s="424"/>
    </row>
    <row r="48" spans="2:7">
      <c r="B48" s="431"/>
      <c r="C48" s="432"/>
      <c r="D48" s="446"/>
      <c r="E48" s="446"/>
      <c r="F48" s="424"/>
    </row>
    <row r="49" spans="2:7">
      <c r="B49" s="431"/>
      <c r="C49" s="434"/>
      <c r="D49" s="435"/>
      <c r="E49" s="435"/>
      <c r="F49" s="424"/>
      <c r="G49" s="447"/>
    </row>
    <row r="50" spans="2:7">
      <c r="B50" s="431"/>
      <c r="C50" s="434"/>
      <c r="D50" s="435"/>
      <c r="E50" s="435"/>
      <c r="F50" s="424"/>
      <c r="G50" s="447"/>
    </row>
    <row r="51" spans="2:7">
      <c r="B51" s="431"/>
      <c r="C51" s="434"/>
      <c r="D51" s="435"/>
      <c r="E51" s="435"/>
      <c r="F51" s="424"/>
      <c r="G51" s="447"/>
    </row>
    <row r="52" spans="2:7">
      <c r="B52" s="431"/>
      <c r="C52" s="434"/>
      <c r="D52" s="435"/>
      <c r="E52" s="435"/>
      <c r="F52" s="424"/>
    </row>
    <row r="53" spans="2:7" ht="15.75">
      <c r="B53" s="438"/>
      <c r="C53" s="432"/>
      <c r="D53" s="446"/>
      <c r="E53" s="446"/>
      <c r="F53" s="424"/>
    </row>
    <row r="54" spans="2:7">
      <c r="B54" s="431"/>
      <c r="C54" s="434"/>
      <c r="D54" s="435"/>
      <c r="E54" s="435"/>
      <c r="F54" s="424"/>
    </row>
    <row r="55" spans="2:7" ht="15.75">
      <c r="B55" s="439"/>
      <c r="C55" s="448"/>
      <c r="D55" s="435"/>
      <c r="E55" s="435"/>
      <c r="F55" s="424"/>
      <c r="G55" s="437"/>
    </row>
    <row r="56" spans="2:7" ht="15.75">
      <c r="B56" s="449"/>
      <c r="C56" s="440"/>
      <c r="D56" s="446"/>
      <c r="E56" s="446"/>
      <c r="F56" s="424"/>
    </row>
    <row r="57" spans="2:7" ht="15.75">
      <c r="B57" s="449"/>
      <c r="C57" s="441"/>
      <c r="D57" s="446"/>
      <c r="E57" s="446"/>
      <c r="F57" s="424"/>
    </row>
    <row r="58" spans="2:7">
      <c r="B58" s="431"/>
      <c r="C58" s="450"/>
      <c r="D58" s="451"/>
      <c r="E58" s="446"/>
      <c r="F58" s="424"/>
    </row>
    <row r="59" spans="2:7">
      <c r="B59" s="431"/>
      <c r="C59" s="434"/>
      <c r="D59" s="451"/>
      <c r="E59" s="446"/>
      <c r="F59" s="424"/>
    </row>
    <row r="60" spans="2:7">
      <c r="B60" s="431"/>
      <c r="C60" s="434"/>
      <c r="D60" s="451"/>
      <c r="E60" s="446"/>
      <c r="F60" s="424"/>
    </row>
    <row r="61" spans="2:7">
      <c r="B61" s="431"/>
      <c r="C61" s="434"/>
      <c r="D61" s="451"/>
      <c r="E61" s="446"/>
      <c r="F61" s="424"/>
    </row>
    <row r="62" spans="2:7">
      <c r="B62" s="431"/>
      <c r="C62" s="434"/>
      <c r="D62" s="451"/>
      <c r="E62" s="446"/>
      <c r="F62" s="424"/>
    </row>
    <row r="63" spans="2:7">
      <c r="B63" s="431"/>
      <c r="C63" s="434"/>
      <c r="D63" s="451"/>
      <c r="E63" s="446"/>
      <c r="F63" s="424"/>
    </row>
    <row r="64" spans="2:7" ht="15.75">
      <c r="B64" s="438"/>
      <c r="C64" s="432"/>
      <c r="D64" s="446"/>
      <c r="E64" s="446"/>
      <c r="F64" s="424"/>
    </row>
    <row r="65" spans="2:7">
      <c r="B65" s="431"/>
      <c r="C65" s="434"/>
      <c r="D65" s="451"/>
      <c r="E65" s="446"/>
      <c r="F65" s="424"/>
    </row>
    <row r="66" spans="2:7">
      <c r="B66" s="431"/>
      <c r="C66" s="434"/>
      <c r="D66" s="451"/>
      <c r="E66" s="446"/>
      <c r="F66" s="424"/>
    </row>
    <row r="67" spans="2:7" ht="15.75">
      <c r="B67" s="439"/>
      <c r="C67" s="434"/>
      <c r="D67" s="435"/>
      <c r="E67" s="446"/>
      <c r="F67" s="424"/>
    </row>
    <row r="68" spans="2:7" ht="15.75">
      <c r="B68" s="439"/>
      <c r="C68" s="434"/>
      <c r="D68" s="435"/>
      <c r="E68" s="446"/>
      <c r="F68" s="424"/>
    </row>
    <row r="69" spans="2:7" ht="15.75">
      <c r="B69" s="438"/>
      <c r="C69" s="434"/>
      <c r="D69" s="451"/>
      <c r="E69" s="446"/>
      <c r="F69" s="424"/>
    </row>
    <row r="70" spans="2:7" ht="15.75">
      <c r="B70" s="438"/>
      <c r="C70" s="432"/>
      <c r="D70" s="446"/>
      <c r="E70" s="446"/>
      <c r="F70" s="424"/>
    </row>
    <row r="71" spans="2:7">
      <c r="B71" s="431"/>
      <c r="C71" s="434"/>
      <c r="D71" s="451"/>
      <c r="E71" s="446"/>
      <c r="F71" s="424"/>
    </row>
    <row r="72" spans="2:7">
      <c r="B72" s="431"/>
      <c r="C72" s="434"/>
      <c r="D72" s="451"/>
      <c r="E72" s="446"/>
      <c r="F72" s="424"/>
    </row>
    <row r="73" spans="2:7" ht="16.5" thickBot="1">
      <c r="B73" s="443"/>
      <c r="C73" s="444"/>
      <c r="D73" s="435"/>
      <c r="E73" s="446"/>
      <c r="F73" s="424"/>
    </row>
    <row r="76" spans="2:7">
      <c r="D76" s="425"/>
      <c r="E76" s="425"/>
    </row>
    <row r="77" spans="2:7" s="382" customFormat="1">
      <c r="B77" s="384" t="s">
        <v>646</v>
      </c>
      <c r="C77" s="385"/>
      <c r="D77" s="385"/>
      <c r="E77" s="385"/>
      <c r="G77" s="383"/>
    </row>
    <row r="78" spans="2:7" s="382" customFormat="1" ht="12">
      <c r="B78" s="386"/>
      <c r="C78" s="385"/>
      <c r="D78" s="385"/>
      <c r="E78" s="385"/>
      <c r="G78" s="383"/>
    </row>
    <row r="79" spans="2:7" s="382" customFormat="1" ht="18" customHeight="1">
      <c r="B79" s="387" t="s">
        <v>647</v>
      </c>
      <c r="C79" s="385"/>
      <c r="D79" s="385"/>
      <c r="E79" s="385"/>
      <c r="G79" s="383"/>
    </row>
    <row r="80" spans="2:7" ht="21.75" customHeight="1">
      <c r="B80" s="388" t="s">
        <v>659</v>
      </c>
      <c r="C80" s="425"/>
      <c r="D80" s="425"/>
      <c r="E80" s="425"/>
    </row>
    <row r="81" spans="2:7" ht="16.5" thickBot="1">
      <c r="B81" s="429"/>
      <c r="C81" s="430"/>
      <c r="D81" s="425"/>
      <c r="E81" s="425"/>
    </row>
    <row r="82" spans="2:7" ht="15" customHeight="1">
      <c r="B82" s="528" t="s">
        <v>662</v>
      </c>
      <c r="C82" s="526"/>
      <c r="D82" s="525"/>
      <c r="E82" s="525"/>
    </row>
    <row r="83" spans="2:7" ht="15" customHeight="1">
      <c r="B83" s="529"/>
      <c r="C83" s="527"/>
      <c r="D83" s="525"/>
      <c r="E83" s="525"/>
    </row>
    <row r="84" spans="2:7" ht="15" customHeight="1">
      <c r="B84" s="532"/>
      <c r="C84" s="527"/>
      <c r="D84" s="525"/>
      <c r="E84" s="525"/>
    </row>
    <row r="85" spans="2:7" ht="15.75">
      <c r="B85" s="438"/>
      <c r="C85" s="432"/>
      <c r="D85" s="446"/>
      <c r="E85" s="446"/>
    </row>
    <row r="86" spans="2:7">
      <c r="B86" s="431"/>
      <c r="C86" s="434"/>
      <c r="D86" s="435"/>
      <c r="E86" s="435"/>
      <c r="G86" s="437"/>
    </row>
    <row r="87" spans="2:7">
      <c r="B87" s="431"/>
      <c r="C87" s="434"/>
      <c r="D87" s="435"/>
      <c r="E87" s="435"/>
      <c r="G87" s="437"/>
    </row>
    <row r="88" spans="2:7">
      <c r="B88" s="431"/>
      <c r="C88" s="434"/>
      <c r="D88" s="435"/>
      <c r="E88" s="435"/>
      <c r="G88" s="437"/>
    </row>
    <row r="89" spans="2:7">
      <c r="B89" s="431"/>
      <c r="C89" s="434"/>
      <c r="D89" s="435"/>
      <c r="E89" s="435"/>
    </row>
    <row r="90" spans="2:7" ht="15.75">
      <c r="B90" s="438"/>
      <c r="C90" s="432"/>
      <c r="D90" s="446"/>
      <c r="E90" s="446"/>
    </row>
    <row r="91" spans="2:7">
      <c r="B91" s="431"/>
      <c r="C91" s="434"/>
      <c r="D91" s="435"/>
      <c r="E91" s="435"/>
    </row>
    <row r="92" spans="2:7">
      <c r="B92" s="431"/>
      <c r="C92" s="434"/>
      <c r="D92" s="435"/>
      <c r="E92" s="435"/>
    </row>
    <row r="93" spans="2:7" ht="15.75">
      <c r="B93" s="438"/>
      <c r="C93" s="432"/>
      <c r="D93" s="446"/>
      <c r="E93" s="446"/>
    </row>
    <row r="94" spans="2:7">
      <c r="B94" s="431"/>
      <c r="C94" s="434"/>
      <c r="D94" s="435"/>
      <c r="E94" s="435"/>
    </row>
    <row r="95" spans="2:7" ht="15.75">
      <c r="B95" s="439"/>
      <c r="C95" s="448"/>
      <c r="D95" s="435"/>
      <c r="E95" s="435"/>
      <c r="G95" s="437"/>
    </row>
    <row r="96" spans="2:7" ht="15.75">
      <c r="B96" s="449"/>
      <c r="C96" s="440"/>
      <c r="D96" s="446"/>
      <c r="E96" s="446"/>
    </row>
    <row r="97" spans="2:5" ht="15.75">
      <c r="B97" s="449"/>
      <c r="C97" s="441"/>
      <c r="D97" s="446"/>
      <c r="E97" s="446"/>
    </row>
    <row r="98" spans="2:5">
      <c r="B98" s="431"/>
      <c r="C98" s="450"/>
      <c r="D98" s="451"/>
      <c r="E98" s="446"/>
    </row>
    <row r="99" spans="2:5">
      <c r="B99" s="431"/>
      <c r="C99" s="434"/>
      <c r="D99" s="451"/>
      <c r="E99" s="446"/>
    </row>
    <row r="100" spans="2:5">
      <c r="B100" s="431"/>
      <c r="C100" s="434"/>
      <c r="D100" s="451"/>
      <c r="E100" s="446"/>
    </row>
    <row r="101" spans="2:5">
      <c r="B101" s="431"/>
      <c r="C101" s="434"/>
      <c r="D101" s="451"/>
      <c r="E101" s="446"/>
    </row>
    <row r="102" spans="2:5">
      <c r="B102" s="431"/>
      <c r="C102" s="434"/>
      <c r="D102" s="451"/>
      <c r="E102" s="446"/>
    </row>
    <row r="103" spans="2:5">
      <c r="B103" s="431"/>
      <c r="C103" s="434"/>
      <c r="D103" s="451"/>
      <c r="E103" s="446"/>
    </row>
    <row r="104" spans="2:5" ht="15.75">
      <c r="B104" s="438"/>
      <c r="C104" s="432"/>
      <c r="D104" s="446"/>
      <c r="E104" s="446"/>
    </row>
    <row r="105" spans="2:5">
      <c r="B105" s="431"/>
      <c r="C105" s="434"/>
      <c r="D105" s="451"/>
      <c r="E105" s="446"/>
    </row>
    <row r="106" spans="2:5">
      <c r="B106" s="431"/>
      <c r="C106" s="434"/>
      <c r="D106" s="451"/>
      <c r="E106" s="446"/>
    </row>
    <row r="107" spans="2:5" ht="15.75">
      <c r="B107" s="439"/>
      <c r="C107" s="434"/>
      <c r="D107" s="435"/>
      <c r="E107" s="446"/>
    </row>
    <row r="108" spans="2:5" ht="15.75">
      <c r="B108" s="439"/>
      <c r="C108" s="434"/>
      <c r="D108" s="435"/>
      <c r="E108" s="446"/>
    </row>
    <row r="109" spans="2:5" ht="15.75">
      <c r="B109" s="438"/>
      <c r="C109" s="434"/>
      <c r="D109" s="451"/>
      <c r="E109" s="446"/>
    </row>
    <row r="110" spans="2:5" ht="15.75">
      <c r="B110" s="438"/>
      <c r="C110" s="432"/>
      <c r="D110" s="446"/>
      <c r="E110" s="446"/>
    </row>
    <row r="111" spans="2:5">
      <c r="B111" s="431"/>
      <c r="C111" s="434"/>
      <c r="D111" s="451"/>
      <c r="E111" s="446"/>
    </row>
    <row r="112" spans="2:5">
      <c r="B112" s="431"/>
      <c r="C112" s="434"/>
      <c r="D112" s="451"/>
      <c r="E112" s="446"/>
    </row>
    <row r="113" spans="2:9" ht="16.5" thickBot="1">
      <c r="B113" s="443"/>
      <c r="C113" s="444"/>
      <c r="D113" s="435"/>
      <c r="E113" s="446"/>
    </row>
    <row r="117" spans="2:9" s="382" customFormat="1">
      <c r="B117" s="384" t="s">
        <v>646</v>
      </c>
      <c r="C117" s="385"/>
      <c r="D117" s="385"/>
      <c r="E117" s="385"/>
      <c r="G117" s="383"/>
    </row>
    <row r="118" spans="2:9" s="382" customFormat="1" ht="12">
      <c r="B118" s="386"/>
      <c r="C118" s="385"/>
      <c r="D118" s="385"/>
      <c r="E118" s="385"/>
      <c r="G118" s="383"/>
    </row>
    <row r="119" spans="2:9" s="382" customFormat="1" ht="18" customHeight="1">
      <c r="B119" s="387" t="s">
        <v>647</v>
      </c>
      <c r="C119" s="385"/>
      <c r="D119" s="385"/>
      <c r="E119" s="385"/>
      <c r="G119" s="383"/>
    </row>
    <row r="120" spans="2:9" ht="21.75" customHeight="1">
      <c r="B120" s="388" t="s">
        <v>659</v>
      </c>
      <c r="C120" s="425"/>
      <c r="D120" s="425"/>
      <c r="E120" s="425"/>
    </row>
    <row r="121" spans="2:9" ht="16.5" thickBot="1">
      <c r="B121" s="429"/>
      <c r="C121" s="430"/>
      <c r="D121" s="425"/>
      <c r="E121" s="425"/>
    </row>
    <row r="122" spans="2:9" ht="15" customHeight="1">
      <c r="B122" s="528" t="s">
        <v>663</v>
      </c>
      <c r="C122" s="526"/>
      <c r="D122" s="525"/>
      <c r="E122" s="525"/>
    </row>
    <row r="123" spans="2:9" ht="15" customHeight="1">
      <c r="B123" s="529"/>
      <c r="C123" s="527"/>
      <c r="D123" s="525"/>
      <c r="E123" s="525"/>
    </row>
    <row r="124" spans="2:9" ht="15" customHeight="1">
      <c r="B124" s="532"/>
      <c r="C124" s="527"/>
      <c r="D124" s="525"/>
      <c r="E124" s="525"/>
    </row>
    <row r="125" spans="2:9" ht="15.75">
      <c r="B125" s="438"/>
      <c r="C125" s="432"/>
      <c r="D125" s="446"/>
      <c r="E125" s="446"/>
    </row>
    <row r="126" spans="2:9">
      <c r="B126" s="431"/>
      <c r="C126" s="434"/>
      <c r="D126" s="435"/>
      <c r="E126" s="435"/>
      <c r="H126" s="445"/>
      <c r="I126" s="445"/>
    </row>
    <row r="127" spans="2:9" ht="15.75">
      <c r="B127" s="438"/>
      <c r="C127" s="432"/>
      <c r="D127" s="446"/>
      <c r="E127" s="446"/>
    </row>
    <row r="128" spans="2:9">
      <c r="B128" s="431"/>
      <c r="C128" s="434"/>
      <c r="D128" s="435"/>
      <c r="E128" s="435"/>
    </row>
    <row r="129" spans="2:5" ht="15.75">
      <c r="B129" s="439"/>
      <c r="C129" s="448"/>
      <c r="D129" s="435"/>
      <c r="E129" s="435"/>
    </row>
    <row r="130" spans="2:5" ht="15.75">
      <c r="B130" s="449"/>
      <c r="C130" s="452"/>
      <c r="D130" s="453"/>
      <c r="E130" s="453"/>
    </row>
    <row r="131" spans="2:5" ht="15.75">
      <c r="B131" s="449"/>
      <c r="C131" s="454"/>
      <c r="D131" s="453"/>
      <c r="E131" s="453"/>
    </row>
    <row r="132" spans="2:5">
      <c r="B132" s="431"/>
      <c r="C132" s="450"/>
      <c r="D132" s="451"/>
      <c r="E132" s="446"/>
    </row>
    <row r="133" spans="2:5">
      <c r="B133" s="431"/>
      <c r="C133" s="434"/>
      <c r="D133" s="451"/>
      <c r="E133" s="446"/>
    </row>
    <row r="134" spans="2:5">
      <c r="B134" s="431"/>
      <c r="C134" s="434"/>
      <c r="D134" s="451"/>
      <c r="E134" s="446"/>
    </row>
    <row r="135" spans="2:5">
      <c r="B135" s="431"/>
      <c r="C135" s="434"/>
      <c r="D135" s="451"/>
      <c r="E135" s="446"/>
    </row>
    <row r="136" spans="2:5">
      <c r="B136" s="431"/>
      <c r="C136" s="434"/>
      <c r="D136" s="451"/>
      <c r="E136" s="446"/>
    </row>
    <row r="137" spans="2:5">
      <c r="B137" s="431"/>
      <c r="C137" s="434"/>
      <c r="D137" s="451"/>
      <c r="E137" s="446"/>
    </row>
    <row r="138" spans="2:5" ht="15.75">
      <c r="B138" s="438"/>
      <c r="C138" s="432"/>
      <c r="D138" s="446"/>
      <c r="E138" s="446"/>
    </row>
    <row r="139" spans="2:5">
      <c r="B139" s="431"/>
      <c r="C139" s="434"/>
      <c r="D139" s="451"/>
      <c r="E139" s="446"/>
    </row>
    <row r="140" spans="2:5">
      <c r="B140" s="431"/>
      <c r="C140" s="434"/>
      <c r="D140" s="451"/>
      <c r="E140" s="446"/>
    </row>
    <row r="141" spans="2:5" ht="15.75">
      <c r="B141" s="439"/>
      <c r="C141" s="434"/>
      <c r="D141" s="435"/>
      <c r="E141" s="446"/>
    </row>
    <row r="142" spans="2:5" ht="15.75">
      <c r="B142" s="439"/>
      <c r="C142" s="434"/>
      <c r="D142" s="435"/>
      <c r="E142" s="446"/>
    </row>
    <row r="143" spans="2:5" ht="15.75">
      <c r="B143" s="438"/>
      <c r="C143" s="434"/>
      <c r="D143" s="451"/>
      <c r="E143" s="446"/>
    </row>
    <row r="144" spans="2:5" ht="15.75">
      <c r="B144" s="438"/>
      <c r="C144" s="432"/>
      <c r="D144" s="446"/>
      <c r="E144" s="446"/>
    </row>
    <row r="145" spans="2:7">
      <c r="B145" s="431"/>
      <c r="C145" s="434"/>
      <c r="D145" s="451"/>
      <c r="E145" s="446"/>
    </row>
    <row r="146" spans="2:7">
      <c r="B146" s="431"/>
      <c r="C146" s="434"/>
      <c r="D146" s="451"/>
      <c r="E146" s="446"/>
    </row>
    <row r="147" spans="2:7" ht="16.5" thickBot="1">
      <c r="B147" s="443"/>
      <c r="C147" s="444"/>
      <c r="D147" s="435"/>
      <c r="E147" s="446"/>
    </row>
    <row r="151" spans="2:7" s="382" customFormat="1">
      <c r="B151" s="384" t="s">
        <v>646</v>
      </c>
      <c r="C151" s="385"/>
      <c r="D151" s="385"/>
      <c r="E151" s="385"/>
      <c r="G151" s="383"/>
    </row>
    <row r="152" spans="2:7" s="382" customFormat="1" ht="12">
      <c r="B152" s="386"/>
      <c r="C152" s="385"/>
      <c r="D152" s="385"/>
      <c r="E152" s="385"/>
      <c r="G152" s="383"/>
    </row>
    <row r="153" spans="2:7" s="382" customFormat="1" ht="18" customHeight="1">
      <c r="B153" s="387" t="s">
        <v>647</v>
      </c>
      <c r="C153" s="385"/>
      <c r="D153" s="385"/>
      <c r="E153" s="385"/>
      <c r="G153" s="383"/>
    </row>
    <row r="154" spans="2:7" ht="21.75" customHeight="1">
      <c r="B154" s="388" t="s">
        <v>659</v>
      </c>
      <c r="C154" s="425"/>
      <c r="D154" s="425"/>
      <c r="E154" s="425"/>
    </row>
    <row r="155" spans="2:7" ht="16.5" thickBot="1">
      <c r="B155" s="429"/>
      <c r="C155" s="430"/>
      <c r="D155" s="425"/>
      <c r="E155" s="425"/>
    </row>
    <row r="156" spans="2:7" ht="15" customHeight="1">
      <c r="B156" s="528" t="s">
        <v>664</v>
      </c>
      <c r="C156" s="526"/>
      <c r="D156" s="525"/>
      <c r="E156" s="525"/>
    </row>
    <row r="157" spans="2:7" ht="15" customHeight="1">
      <c r="B157" s="529"/>
      <c r="C157" s="527"/>
      <c r="D157" s="525"/>
      <c r="E157" s="525"/>
    </row>
    <row r="158" spans="2:7" ht="15.75" customHeight="1" thickBot="1">
      <c r="B158" s="530"/>
      <c r="C158" s="531"/>
      <c r="D158" s="525"/>
      <c r="E158" s="525"/>
    </row>
    <row r="159" spans="2:7" ht="15.75">
      <c r="B159" s="455"/>
      <c r="C159" s="456"/>
      <c r="D159" s="446"/>
      <c r="E159" s="446"/>
    </row>
    <row r="160" spans="2:7">
      <c r="B160" s="431"/>
      <c r="C160" s="434"/>
      <c r="D160" s="435"/>
      <c r="E160" s="435"/>
    </row>
    <row r="161" spans="2:5" ht="15.75">
      <c r="B161" s="438"/>
      <c r="C161" s="432"/>
      <c r="D161" s="446"/>
      <c r="E161" s="446"/>
    </row>
    <row r="162" spans="2:5">
      <c r="B162" s="431"/>
      <c r="C162" s="434"/>
      <c r="D162" s="435"/>
      <c r="E162" s="435"/>
    </row>
    <row r="163" spans="2:5" ht="15.75">
      <c r="B163" s="439"/>
      <c r="C163" s="448"/>
      <c r="D163" s="435"/>
      <c r="E163" s="435"/>
    </row>
    <row r="164" spans="2:5" ht="15.75">
      <c r="B164" s="449"/>
      <c r="C164" s="452"/>
      <c r="D164" s="453"/>
      <c r="E164" s="453"/>
    </row>
    <row r="165" spans="2:5" ht="15.75">
      <c r="B165" s="449"/>
      <c r="C165" s="454"/>
      <c r="D165" s="453"/>
      <c r="E165" s="453"/>
    </row>
    <row r="166" spans="2:5">
      <c r="B166" s="431"/>
      <c r="C166" s="450"/>
      <c r="D166" s="451"/>
      <c r="E166" s="446"/>
    </row>
    <row r="167" spans="2:5">
      <c r="B167" s="431"/>
      <c r="C167" s="434"/>
      <c r="D167" s="451"/>
      <c r="E167" s="446"/>
    </row>
    <row r="168" spans="2:5">
      <c r="B168" s="431"/>
      <c r="C168" s="434"/>
      <c r="D168" s="451"/>
      <c r="E168" s="446"/>
    </row>
    <row r="169" spans="2:5">
      <c r="B169" s="431"/>
      <c r="C169" s="434"/>
      <c r="D169" s="451"/>
      <c r="E169" s="446"/>
    </row>
    <row r="170" spans="2:5">
      <c r="B170" s="431"/>
      <c r="C170" s="434"/>
      <c r="D170" s="451"/>
      <c r="E170" s="446"/>
    </row>
    <row r="171" spans="2:5">
      <c r="B171" s="431"/>
      <c r="C171" s="434"/>
      <c r="D171" s="451"/>
      <c r="E171" s="446"/>
    </row>
    <row r="172" spans="2:5" ht="15.75">
      <c r="B172" s="438"/>
      <c r="C172" s="432"/>
      <c r="D172" s="446"/>
      <c r="E172" s="446"/>
    </row>
    <row r="173" spans="2:5">
      <c r="B173" s="431"/>
      <c r="C173" s="434"/>
      <c r="D173" s="451"/>
      <c r="E173" s="446"/>
    </row>
    <row r="174" spans="2:5">
      <c r="B174" s="431"/>
      <c r="C174" s="434"/>
      <c r="D174" s="451"/>
      <c r="E174" s="446"/>
    </row>
    <row r="175" spans="2:5" ht="15.75">
      <c r="B175" s="439"/>
      <c r="C175" s="434"/>
      <c r="D175" s="435"/>
      <c r="E175" s="446"/>
    </row>
    <row r="176" spans="2:5" ht="15.75">
      <c r="B176" s="439"/>
      <c r="C176" s="434"/>
      <c r="D176" s="435"/>
      <c r="E176" s="446"/>
    </row>
    <row r="177" spans="2:7" ht="15.75">
      <c r="B177" s="438"/>
      <c r="C177" s="434"/>
      <c r="D177" s="451"/>
      <c r="E177" s="446"/>
    </row>
    <row r="178" spans="2:7" ht="15.75">
      <c r="B178" s="438"/>
      <c r="C178" s="432"/>
      <c r="D178" s="446"/>
      <c r="E178" s="446"/>
    </row>
    <row r="179" spans="2:7">
      <c r="B179" s="431"/>
      <c r="C179" s="434"/>
      <c r="D179" s="451"/>
      <c r="E179" s="446"/>
    </row>
    <row r="180" spans="2:7">
      <c r="B180" s="431"/>
      <c r="C180" s="434"/>
      <c r="D180" s="451"/>
      <c r="E180" s="446"/>
    </row>
    <row r="181" spans="2:7" ht="16.5" thickBot="1">
      <c r="B181" s="443"/>
      <c r="C181" s="444"/>
      <c r="D181" s="435"/>
      <c r="E181" s="446"/>
    </row>
    <row r="185" spans="2:7" s="382" customFormat="1">
      <c r="B185" s="384" t="s">
        <v>646</v>
      </c>
      <c r="C185" s="385"/>
      <c r="D185" s="385"/>
      <c r="E185" s="385"/>
      <c r="G185" s="383"/>
    </row>
    <row r="186" spans="2:7" s="382" customFormat="1" ht="12">
      <c r="B186" s="386"/>
      <c r="C186" s="385"/>
      <c r="D186" s="385"/>
      <c r="E186" s="385"/>
      <c r="G186" s="383"/>
    </row>
    <row r="187" spans="2:7" s="382" customFormat="1" ht="18" customHeight="1">
      <c r="B187" s="387" t="s">
        <v>647</v>
      </c>
      <c r="C187" s="385"/>
      <c r="D187" s="385"/>
      <c r="E187" s="385"/>
      <c r="G187" s="383"/>
    </row>
    <row r="188" spans="2:7" ht="21.75" customHeight="1">
      <c r="B188" s="388" t="s">
        <v>659</v>
      </c>
      <c r="C188" s="425"/>
      <c r="D188" s="425"/>
      <c r="E188" s="425"/>
    </row>
    <row r="189" spans="2:7" ht="16.5" thickBot="1">
      <c r="B189" s="429"/>
      <c r="C189" s="430"/>
      <c r="D189" s="425"/>
      <c r="E189" s="425"/>
    </row>
    <row r="190" spans="2:7" ht="15" customHeight="1">
      <c r="B190" s="528" t="s">
        <v>665</v>
      </c>
      <c r="C190" s="526"/>
      <c r="D190" s="525"/>
      <c r="E190" s="525"/>
    </row>
    <row r="191" spans="2:7" ht="15" customHeight="1">
      <c r="B191" s="529"/>
      <c r="C191" s="527"/>
      <c r="D191" s="525"/>
      <c r="E191" s="525"/>
    </row>
    <row r="192" spans="2:7" ht="15.75" customHeight="1" thickBot="1">
      <c r="B192" s="530"/>
      <c r="C192" s="531"/>
      <c r="D192" s="525"/>
      <c r="E192" s="525"/>
    </row>
    <row r="193" spans="2:5" ht="15.75">
      <c r="B193" s="455"/>
      <c r="C193" s="456"/>
      <c r="D193" s="446"/>
      <c r="E193" s="446"/>
    </row>
    <row r="194" spans="2:5">
      <c r="B194" s="431"/>
      <c r="C194" s="457"/>
      <c r="D194" s="458"/>
      <c r="E194" s="458"/>
    </row>
    <row r="195" spans="2:5">
      <c r="B195" s="431"/>
      <c r="C195" s="457"/>
      <c r="D195" s="458"/>
      <c r="E195" s="458"/>
    </row>
    <row r="196" spans="2:5">
      <c r="B196" s="431"/>
      <c r="C196" s="457"/>
      <c r="D196" s="458"/>
      <c r="E196" s="458"/>
    </row>
    <row r="197" spans="2:5">
      <c r="B197" s="431"/>
      <c r="C197" s="434"/>
      <c r="D197" s="435"/>
      <c r="E197" s="435"/>
    </row>
    <row r="198" spans="2:5" ht="15.75">
      <c r="B198" s="438"/>
      <c r="C198" s="434"/>
      <c r="D198" s="435"/>
      <c r="E198" s="435"/>
    </row>
    <row r="199" spans="2:5">
      <c r="B199" s="431"/>
      <c r="C199" s="434"/>
      <c r="D199" s="435"/>
      <c r="E199" s="435"/>
    </row>
    <row r="200" spans="2:5">
      <c r="B200" s="431"/>
      <c r="C200" s="448"/>
      <c r="D200" s="435"/>
      <c r="E200" s="435"/>
    </row>
    <row r="201" spans="2:5" ht="15.75">
      <c r="B201" s="439"/>
      <c r="C201" s="448"/>
      <c r="D201" s="435"/>
      <c r="E201" s="435"/>
    </row>
    <row r="202" spans="2:5" ht="15.75">
      <c r="B202" s="449"/>
      <c r="C202" s="452"/>
      <c r="D202" s="453"/>
      <c r="E202" s="453"/>
    </row>
    <row r="203" spans="2:5" ht="15.75">
      <c r="B203" s="449"/>
      <c r="C203" s="454"/>
      <c r="D203" s="453"/>
      <c r="E203" s="453"/>
    </row>
    <row r="204" spans="2:5">
      <c r="B204" s="431"/>
      <c r="C204" s="450"/>
      <c r="D204" s="451"/>
      <c r="E204" s="446"/>
    </row>
    <row r="205" spans="2:5">
      <c r="B205" s="431"/>
      <c r="C205" s="434"/>
      <c r="D205" s="451"/>
      <c r="E205" s="446"/>
    </row>
    <row r="206" spans="2:5">
      <c r="B206" s="431"/>
      <c r="C206" s="434"/>
      <c r="D206" s="451"/>
      <c r="E206" s="446"/>
    </row>
    <row r="207" spans="2:5">
      <c r="B207" s="431"/>
      <c r="C207" s="434"/>
      <c r="D207" s="451"/>
      <c r="E207" s="446"/>
    </row>
    <row r="208" spans="2:5">
      <c r="B208" s="431"/>
      <c r="C208" s="434"/>
      <c r="D208" s="451"/>
      <c r="E208" s="446"/>
    </row>
    <row r="209" spans="2:7">
      <c r="B209" s="431"/>
      <c r="C209" s="434"/>
      <c r="D209" s="451"/>
      <c r="E209" s="446"/>
    </row>
    <row r="210" spans="2:7" ht="15.75">
      <c r="B210" s="438"/>
      <c r="C210" s="432"/>
      <c r="D210" s="446"/>
      <c r="E210" s="446"/>
    </row>
    <row r="211" spans="2:7">
      <c r="B211" s="431"/>
      <c r="C211" s="434"/>
      <c r="D211" s="451"/>
      <c r="E211" s="446"/>
    </row>
    <row r="212" spans="2:7">
      <c r="B212" s="431"/>
      <c r="C212" s="434"/>
      <c r="D212" s="451"/>
      <c r="E212" s="446"/>
    </row>
    <row r="213" spans="2:7" ht="15.75">
      <c r="B213" s="439"/>
      <c r="C213" s="434"/>
      <c r="D213" s="435"/>
      <c r="E213" s="446"/>
    </row>
    <row r="214" spans="2:7" ht="15.75">
      <c r="B214" s="439"/>
      <c r="C214" s="434"/>
      <c r="D214" s="435"/>
      <c r="E214" s="446"/>
    </row>
    <row r="215" spans="2:7" ht="15.75">
      <c r="B215" s="438"/>
      <c r="C215" s="434"/>
      <c r="D215" s="451"/>
      <c r="E215" s="446"/>
    </row>
    <row r="216" spans="2:7" ht="15.75">
      <c r="B216" s="438"/>
      <c r="C216" s="432"/>
      <c r="D216" s="446"/>
      <c r="E216" s="446"/>
    </row>
    <row r="217" spans="2:7">
      <c r="B217" s="431"/>
      <c r="C217" s="434"/>
      <c r="D217" s="451"/>
      <c r="E217" s="446"/>
    </row>
    <row r="218" spans="2:7">
      <c r="B218" s="431"/>
      <c r="C218" s="434"/>
      <c r="D218" s="451"/>
      <c r="E218" s="446"/>
    </row>
    <row r="219" spans="2:7" ht="16.5" thickBot="1">
      <c r="B219" s="443"/>
      <c r="C219" s="444"/>
      <c r="D219" s="435"/>
      <c r="E219" s="446"/>
    </row>
    <row r="222" spans="2:7">
      <c r="B222" s="427" t="s">
        <v>20</v>
      </c>
    </row>
    <row r="223" spans="2:7" s="382" customFormat="1">
      <c r="B223" s="384" t="s">
        <v>646</v>
      </c>
      <c r="C223" s="385"/>
      <c r="D223" s="385"/>
      <c r="E223" s="385"/>
      <c r="G223" s="383"/>
    </row>
    <row r="224" spans="2:7" s="382" customFormat="1" ht="12">
      <c r="B224" s="386"/>
      <c r="C224" s="385"/>
      <c r="D224" s="385"/>
      <c r="E224" s="385"/>
      <c r="G224" s="383"/>
    </row>
    <row r="225" spans="2:7" s="382" customFormat="1" ht="18" customHeight="1">
      <c r="B225" s="387" t="s">
        <v>647</v>
      </c>
      <c r="C225" s="385"/>
      <c r="D225" s="385"/>
      <c r="E225" s="385"/>
      <c r="G225" s="383"/>
    </row>
    <row r="226" spans="2:7" ht="21.75" customHeight="1">
      <c r="B226" s="388" t="s">
        <v>659</v>
      </c>
      <c r="C226" s="425"/>
      <c r="D226" s="425"/>
      <c r="E226" s="425"/>
    </row>
    <row r="227" spans="2:7" ht="16.5" thickBot="1">
      <c r="B227" s="429"/>
      <c r="C227" s="430"/>
      <c r="D227" s="425"/>
      <c r="E227" s="425"/>
    </row>
    <row r="228" spans="2:7" ht="15" customHeight="1">
      <c r="B228" s="528" t="s">
        <v>666</v>
      </c>
      <c r="C228" s="526"/>
      <c r="D228" s="525"/>
      <c r="E228" s="425"/>
    </row>
    <row r="229" spans="2:7" ht="15" customHeight="1">
      <c r="B229" s="529"/>
      <c r="C229" s="527"/>
      <c r="D229" s="525"/>
      <c r="E229" s="425"/>
    </row>
    <row r="230" spans="2:7" ht="15.75" customHeight="1" thickBot="1">
      <c r="B230" s="530"/>
      <c r="C230" s="531"/>
      <c r="D230" s="525"/>
      <c r="E230" s="425"/>
    </row>
    <row r="231" spans="2:7" ht="15.75">
      <c r="B231" s="455"/>
      <c r="C231" s="459"/>
      <c r="D231" s="460"/>
      <c r="E231" s="425"/>
    </row>
    <row r="232" spans="2:7" ht="15.75">
      <c r="B232" s="438"/>
      <c r="C232" s="461"/>
      <c r="D232" s="460"/>
      <c r="E232" s="425"/>
    </row>
    <row r="233" spans="2:7" ht="15.75">
      <c r="B233" s="439"/>
      <c r="C233" s="448"/>
      <c r="D233" s="435"/>
      <c r="E233" s="425"/>
    </row>
    <row r="234" spans="2:7" ht="15.75">
      <c r="B234" s="449"/>
      <c r="C234" s="452"/>
      <c r="D234" s="453"/>
      <c r="E234" s="425"/>
    </row>
    <row r="235" spans="2:7" ht="15.75">
      <c r="B235" s="449"/>
      <c r="C235" s="454"/>
      <c r="D235" s="453"/>
      <c r="E235" s="425"/>
    </row>
    <row r="236" spans="2:7">
      <c r="B236" s="431"/>
      <c r="C236" s="450"/>
      <c r="D236" s="451"/>
      <c r="E236" s="425"/>
    </row>
    <row r="237" spans="2:7">
      <c r="B237" s="431"/>
      <c r="C237" s="434"/>
      <c r="D237" s="451"/>
      <c r="E237" s="425"/>
    </row>
    <row r="238" spans="2:7">
      <c r="B238" s="431"/>
      <c r="C238" s="434"/>
      <c r="D238" s="451"/>
      <c r="E238" s="425"/>
    </row>
    <row r="239" spans="2:7">
      <c r="B239" s="431"/>
      <c r="C239" s="434"/>
      <c r="D239" s="451"/>
      <c r="E239" s="425"/>
    </row>
    <row r="240" spans="2:7">
      <c r="B240" s="431"/>
      <c r="C240" s="434"/>
      <c r="D240" s="451"/>
      <c r="E240" s="425"/>
    </row>
    <row r="241" spans="2:5">
      <c r="B241" s="431"/>
      <c r="C241" s="434"/>
      <c r="D241" s="451"/>
      <c r="E241" s="425"/>
    </row>
    <row r="242" spans="2:5" ht="15.75">
      <c r="B242" s="438"/>
      <c r="C242" s="432"/>
      <c r="D242" s="446"/>
      <c r="E242" s="425"/>
    </row>
    <row r="243" spans="2:5">
      <c r="B243" s="431"/>
      <c r="C243" s="434"/>
      <c r="D243" s="451"/>
      <c r="E243" s="425"/>
    </row>
    <row r="244" spans="2:5">
      <c r="B244" s="431"/>
      <c r="C244" s="434"/>
      <c r="D244" s="451"/>
      <c r="E244" s="425"/>
    </row>
    <row r="245" spans="2:5" ht="15.75">
      <c r="B245" s="439"/>
      <c r="C245" s="434"/>
      <c r="D245" s="435"/>
      <c r="E245" s="425"/>
    </row>
    <row r="246" spans="2:5" ht="15.75">
      <c r="B246" s="439"/>
      <c r="C246" s="434"/>
      <c r="D246" s="435"/>
      <c r="E246" s="425"/>
    </row>
    <row r="247" spans="2:5" ht="15.75">
      <c r="B247" s="438"/>
      <c r="C247" s="434"/>
      <c r="D247" s="451"/>
      <c r="E247" s="425"/>
    </row>
    <row r="248" spans="2:5" ht="15.75">
      <c r="B248" s="438"/>
      <c r="C248" s="432"/>
      <c r="D248" s="446"/>
      <c r="E248" s="425"/>
    </row>
    <row r="249" spans="2:5">
      <c r="B249" s="431"/>
      <c r="C249" s="434"/>
      <c r="D249" s="451"/>
      <c r="E249" s="425"/>
    </row>
    <row r="250" spans="2:5">
      <c r="B250" s="431"/>
      <c r="C250" s="434"/>
      <c r="D250" s="451"/>
      <c r="E250" s="425"/>
    </row>
    <row r="251" spans="2:5" ht="16.5" thickBot="1">
      <c r="B251" s="443"/>
      <c r="C251" s="444"/>
      <c r="D251" s="435"/>
      <c r="E251" s="425"/>
    </row>
    <row r="252" spans="2:5">
      <c r="D252" s="445">
        <f t="shared" ref="D252" si="0">+ROUND(C252,0)</f>
        <v>0</v>
      </c>
    </row>
    <row r="254" spans="2:5" ht="15.75">
      <c r="B254" s="462"/>
      <c r="C254" s="463"/>
    </row>
    <row r="255" spans="2:5" s="462" customFormat="1" ht="15.75">
      <c r="C255" s="463"/>
      <c r="D255" s="463"/>
      <c r="E255" s="463"/>
    </row>
  </sheetData>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6" manualBreakCount="6">
    <brk id="38" max="16383" man="1"/>
    <brk id="75" max="16383" man="1"/>
    <brk id="115" max="16383" man="1"/>
    <brk id="149" max="16383" man="1"/>
    <brk id="183" max="16383" man="1"/>
    <brk id="221" min="1"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95</vt:i4>
      </vt:variant>
    </vt:vector>
  </HeadingPairs>
  <TitlesOfParts>
    <vt:vector size="111" baseType="lpstr">
      <vt:lpstr>C</vt:lpstr>
      <vt:lpstr>S</vt:lpstr>
      <vt:lpstr>Listas</vt:lpstr>
      <vt:lpstr>Control</vt:lpstr>
      <vt:lpstr>Inputs de precios</vt:lpstr>
      <vt:lpstr>Inputs de conexiones</vt:lpstr>
      <vt:lpstr>Mercado</vt:lpstr>
      <vt:lpstr>Inputs de costos evitables</vt:lpstr>
      <vt:lpstr>Precios dentro de paquetes</vt:lpstr>
      <vt:lpstr>Cálculos banda ancha</vt:lpstr>
      <vt:lpstr>Cálculos renta de línea</vt:lpstr>
      <vt:lpstr>Precios retail minus</vt:lpstr>
      <vt:lpstr>Datos del AEP --&gt;</vt:lpstr>
      <vt:lpstr>11</vt:lpstr>
      <vt:lpstr>V.1</vt:lpstr>
      <vt:lpstr>V.4</vt:lpstr>
      <vt:lpstr>Admin.costs</vt:lpstr>
      <vt:lpstr>Admin.staff.per.customer.care.staff</vt:lpstr>
      <vt:lpstr>V.1!Área_de_impresión</vt:lpstr>
      <vt:lpstr>V.4!Área_de_impresión</vt:lpstr>
      <vt:lpstr>Average.broadband.speed</vt:lpstr>
      <vt:lpstr>Bad.debt.cost</vt:lpstr>
      <vt:lpstr>Billing.cost</vt:lpstr>
      <vt:lpstr>Broadband.churn</vt:lpstr>
      <vt:lpstr>Broadband.contention.ratio</vt:lpstr>
      <vt:lpstr>Broadband.gross.adds.non.residential</vt:lpstr>
      <vt:lpstr>Broadband.gross.adds.residential.with.line.rental</vt:lpstr>
      <vt:lpstr>Broadband.plans</vt:lpstr>
      <vt:lpstr>Broadband.plans.prices</vt:lpstr>
      <vt:lpstr>Broadband.prices.within.plans</vt:lpstr>
      <vt:lpstr>Broadband.prices.within.plans.before.discount</vt:lpstr>
      <vt:lpstr>Broadband.subscribers.selected</vt:lpstr>
      <vt:lpstr>Broadband.subscribers.supuesto</vt:lpstr>
      <vt:lpstr>Broadband.subscribers.supuesto.option</vt:lpstr>
      <vt:lpstr>Broadband.subscribers.Telmex</vt:lpstr>
      <vt:lpstr>Broadband.subscribers.Telmex.option</vt:lpstr>
      <vt:lpstr>Broadband.technologies</vt:lpstr>
      <vt:lpstr>CPE.cost.for.the.operator</vt:lpstr>
      <vt:lpstr>CPE.lifetime</vt:lpstr>
      <vt:lpstr>Customer.care.broadbandsubscriber.per.staff</vt:lpstr>
      <vt:lpstr>Customer.care.line.rental.per.staff</vt:lpstr>
      <vt:lpstr>Distribution.broadband.plans</vt:lpstr>
      <vt:lpstr>Fixed.lines</vt:lpstr>
      <vt:lpstr>Floorspace.per.staff</vt:lpstr>
      <vt:lpstr>Internet.cable.connections.2008.2013</vt:lpstr>
      <vt:lpstr>Internet.dial.up.connections.2008.2013</vt:lpstr>
      <vt:lpstr>Internet.other.connections.2008.2013</vt:lpstr>
      <vt:lpstr>Internet.Telmex.market.share.2013</vt:lpstr>
      <vt:lpstr>Internet.xDSL.connections.2008.2013</vt:lpstr>
      <vt:lpstr>IVA.rate</vt:lpstr>
      <vt:lpstr>Line.rental.churn</vt:lpstr>
      <vt:lpstr>Line.rental.monthly.fee</vt:lpstr>
      <vt:lpstr>Line.rental.monthly.fee.before.IVA</vt:lpstr>
      <vt:lpstr>Line.rental.monthly.fee.business.before.IVA</vt:lpstr>
      <vt:lpstr>Line.rental.monthly.fee.residential.before.IVA</vt:lpstr>
      <vt:lpstr>Line.rental.monthly.fee.with.IVA</vt:lpstr>
      <vt:lpstr>Line.rental.one.time.fee.before.IVA</vt:lpstr>
      <vt:lpstr>Line.rental.one.time.fee.with.IVA</vt:lpstr>
      <vt:lpstr>Line.rental.prices.within.plans</vt:lpstr>
      <vt:lpstr>Line.rental.prices.within.plans.before.discount</vt:lpstr>
      <vt:lpstr>Marketing.and.sales.minimum.proportion.broadband</vt:lpstr>
      <vt:lpstr>Marketing.and.sales.minimum.proportion.line.rental</vt:lpstr>
      <vt:lpstr>Marketing.and.sales.per.gross.add.broadband</vt:lpstr>
      <vt:lpstr>Marketing.and.sales.per.gross.add.line.rental</vt:lpstr>
      <vt:lpstr>Monthly.cost.per.staff</vt:lpstr>
      <vt:lpstr>Months.per.year</vt:lpstr>
      <vt:lpstr>Price.per.Mbps.for.transport</vt:lpstr>
      <vt:lpstr>Prices.and.services.by.plan</vt:lpstr>
      <vt:lpstr>Proportion.of.non.residential.voice.only.lines</vt:lpstr>
      <vt:lpstr>PSTN.lines.2008.2013</vt:lpstr>
      <vt:lpstr>PSTN.non.residential.lines.2008.2013</vt:lpstr>
      <vt:lpstr>PSTN.residential.lines.2008.2013</vt:lpstr>
      <vt:lpstr>Rent.per.sqm</vt:lpstr>
      <vt:lpstr>Retail.minus.additional.calls</vt:lpstr>
      <vt:lpstr>Retail.minus.broadband</vt:lpstr>
      <vt:lpstr>Retail.minus.line.rental</vt:lpstr>
      <vt:lpstr>Retail.price.100.local.calls.business</vt:lpstr>
      <vt:lpstr>Retail.price.100.local.calls.residential</vt:lpstr>
      <vt:lpstr>Retail.price.100.minutes.international</vt:lpstr>
      <vt:lpstr>Retail.price.50.local.calls.residential</vt:lpstr>
      <vt:lpstr>Retail.profit</vt:lpstr>
      <vt:lpstr>Telmex.DSL.subs</vt:lpstr>
      <vt:lpstr>Telmex.DSL.subs.by.plan</vt:lpstr>
      <vt:lpstr>Telmex.DSL.subs.by.plan.year.selected.average</vt:lpstr>
      <vt:lpstr>Telmex.DSL.subs.non.residential</vt:lpstr>
      <vt:lpstr>Telmex.DSL.subs.non.residential.year.selected</vt:lpstr>
      <vt:lpstr>Telmex.DSL.subs.non.residential.year.selected.minus.1</vt:lpstr>
      <vt:lpstr>Telmex.DSL.subs.residential.with.line.rental</vt:lpstr>
      <vt:lpstr>Telmex.DSL.subs.residential.with.line.rental.year.selected</vt:lpstr>
      <vt:lpstr>Telmex.DSL.subs.residential.with.line.rental.year.selected.minus.1</vt:lpstr>
      <vt:lpstr>Telmex.DSL.subs.year.selected</vt:lpstr>
      <vt:lpstr>Telmex.DSL.subs.year.selected.minus.1</vt:lpstr>
      <vt:lpstr>Telmex.PSTN.lines</vt:lpstr>
      <vt:lpstr>Telmex.PSTN.lines.year.selected</vt:lpstr>
      <vt:lpstr>Telmex.PSTN.lines.year.selected.minus.1</vt:lpstr>
      <vt:lpstr>Telmex.PSTN.non.residential.lines</vt:lpstr>
      <vt:lpstr>Telmex.PSTN.non.residential.lines.voice.only</vt:lpstr>
      <vt:lpstr>Telmex.PSTN.non.residential.lines.voice.only..year.selected</vt:lpstr>
      <vt:lpstr>Telmex.PSTN.non.residential.lines.voice.only..year.selected.minus.1</vt:lpstr>
      <vt:lpstr>Telmex.PSTN.residential.lines</vt:lpstr>
      <vt:lpstr>Telmex.PSTN.residential.lines.voice.only</vt:lpstr>
      <vt:lpstr>Telmex.PSTN.residential.lines.voice.only.year.selected</vt:lpstr>
      <vt:lpstr>Telmex.PSTN.residential.lines.voice.only.year.selected.minus.1</vt:lpstr>
      <vt:lpstr>Unlimited.voice.multiplier</vt:lpstr>
      <vt:lpstr>Workbook.Author</vt:lpstr>
      <vt:lpstr>Workbook.Authors_Email_Address</vt:lpstr>
      <vt:lpstr>Workbook.Objective</vt:lpstr>
      <vt:lpstr>Workbook.Status</vt:lpstr>
      <vt:lpstr>Workbook.Title</vt:lpstr>
      <vt:lpstr>Workbook.Version</vt:lpstr>
      <vt:lpstr>Years</vt:lpstr>
    </vt:vector>
  </TitlesOfParts>
  <Manager>-</Manager>
  <Company>Analysys Mason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c:subject>
  <dc:creator>Cesar Zamora Martinez</dc:creator>
  <cp:lastModifiedBy>César Zamora Martínez</cp:lastModifiedBy>
  <cp:lastPrinted>2010-04-20T10:31:05Z</cp:lastPrinted>
  <dcterms:created xsi:type="dcterms:W3CDTF">1997-01-23T15:12:23Z</dcterms:created>
  <dcterms:modified xsi:type="dcterms:W3CDTF">2015-10-14T22:30:54Z</dcterms:modified>
</cp:coreProperties>
</file>