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uarios\Mario ALONSO\Desktop\Modelos consulta\Accesibilidad\"/>
    </mc:Choice>
  </mc:AlternateContent>
  <bookViews>
    <workbookView xWindow="-15" yWindow="345" windowWidth="12015" windowHeight="5100" tabRatio="639"/>
  </bookViews>
  <sheets>
    <sheet name="C" sheetId="50" r:id="rId1"/>
    <sheet name="S" sheetId="66" r:id="rId2"/>
    <sheet name="Listas " sheetId="53" r:id="rId3"/>
    <sheet name="Control" sheetId="55" r:id="rId4"/>
    <sheet name="Inputs de precios" sheetId="49" r:id="rId5"/>
    <sheet name="Inputs de conexiones" sheetId="57" r:id="rId6"/>
    <sheet name="Mercado" sheetId="51" r:id="rId7"/>
    <sheet name="Inputs de costos evitables" sheetId="52" r:id="rId8"/>
    <sheet name="Cálculos ED" sheetId="58" r:id="rId9"/>
    <sheet name="Benchmarks" sheetId="60" r:id="rId10"/>
    <sheet name="Datos del AEP --&gt;" sheetId="69" r:id="rId11"/>
    <sheet name="7" sheetId="68" r:id="rId12"/>
    <sheet name="V.1" sheetId="70" r:id="rId13"/>
    <sheet name="V.4" sheetId="71" r:id="rId14"/>
  </sheets>
  <externalReferences>
    <externalReference r:id="rId15"/>
  </externalReferences>
  <definedNames>
    <definedName name="_Fill" hidden="1">#REF!</definedName>
    <definedName name="_Key1" hidden="1">#REF!</definedName>
    <definedName name="_Key2" hidden="1">#REF!</definedName>
    <definedName name="_Order1" hidden="1">255</definedName>
    <definedName name="_Order2" hidden="1">255</definedName>
    <definedName name="_p51" localSheetId="13" hidden="1">{"MG-2002-F1",#N/A,FALSE,"PPU-Telemig";"MG-2002-F2",#N/A,FALSE,"PPU-Telemig";"MG-2002-F3",#N/A,FALSE,"PPU-Telemig";"MG-2002-F4",#N/A,FALSE,"PPU-Telemig";"MG-2003-F1",#N/A,FALSE,"PPU-Telemig";"MG-2004-F1",#N/A,FALSE,"PPU-Telemig"}</definedName>
    <definedName name="_p51" hidden="1">{"MG-2002-F1",#N/A,FALSE,"PPU-Telemig";"MG-2002-F2",#N/A,FALSE,"PPU-Telemig";"MG-2002-F3",#N/A,FALSE,"PPU-Telemig";"MG-2002-F4",#N/A,FALSE,"PPU-Telemig";"MG-2003-F1",#N/A,FALSE,"PPU-Telemig";"MG-2004-F1",#N/A,FALSE,"PPU-Telemig"}</definedName>
    <definedName name="_Regression_Int" hidden="1">1</definedName>
    <definedName name="_Sort" hidden="1">'[1]SOPOCTprod-pagos99'!#REF!</definedName>
    <definedName name="AccessDatabase" hidden="1">"C:\Mis documentos\Plan99_Ad\CALCULOB2.mdb"</definedName>
    <definedName name="Admin.costs">'Inputs de costos evitables'!$E$94</definedName>
    <definedName name="Admin.staff.per.customer.care.staff">'Inputs de costos evitables'!$E$91</definedName>
    <definedName name="anscount" hidden="1">1</definedName>
    <definedName name="ARE" localSheetId="13" hidden="1">{"MG-2002-F1",#N/A,FALSE,"PPU-Telemig";"MG-2002-F2",#N/A,FALSE,"PPU-Telemig";"MG-2002-F3",#N/A,FALSE,"PPU-Telemig";"MG-2002-F4",#N/A,FALSE,"PPU-Telemig";"MG-2003-F1",#N/A,FALSE,"PPU-Telemig";"MG-2004-F1",#N/A,FALSE,"PPU-Telemig"}</definedName>
    <definedName name="ARE" hidden="1">{"MG-2002-F1",#N/A,FALSE,"PPU-Telemig";"MG-2002-F2",#N/A,FALSE,"PPU-Telemig";"MG-2002-F3",#N/A,FALSE,"PPU-Telemig";"MG-2002-F4",#N/A,FALSE,"PPU-Telemig";"MG-2003-F1",#N/A,FALSE,"PPU-Telemig";"MG-2004-F1",#N/A,FALSE,"PPU-Telemig"}</definedName>
    <definedName name="_xlnm.Print_Area" localSheetId="12">V.1!$B$1:$C$27,V.1!$B$30:$C$55,V.1!$B$59:$C$84,V.1!$B$89:$C$114,V.1!$B$118:$C$145,V.1!$B$149:$C$174,V.1!$B$178:$C$205,V.1!$B$209:$C$235,V.1!$B$239:$C$270,V.1!$B$274:$C$296</definedName>
    <definedName name="_xlnm.Print_Area" localSheetId="13">V.4!$B$1:$C$147,V.4!$B$151:$C$181,V.4!$B$185:$C$219,V.4!$B$223:$C$251</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DA" localSheetId="13" hidden="1">{"MG-2002-F1",#N/A,FALSE,"PPU-Telemig";"MG-2002-F2",#N/A,FALSE,"PPU-Telemig";"MG-2002-F3",#N/A,FALSE,"PPU-Telemig";"MG-2002-F4",#N/A,FALSE,"PPU-Telemig";"MG-2003-F1",#N/A,FALSE,"PPU-Telemig";"MG-2004-F1",#N/A,FALSE,"PPU-Telemig"}</definedName>
    <definedName name="ASFDA" hidden="1">{"MG-2002-F1",#N/A,FALSE,"PPU-Telemig";"MG-2002-F2",#N/A,FALSE,"PPU-Telemig";"MG-2002-F3",#N/A,FALSE,"PPU-Telemig";"MG-2002-F4",#N/A,FALSE,"PPU-Telemig";"MG-2003-F1",#N/A,FALSE,"PPU-Telemig";"MG-2004-F1",#N/A,FALSE,"PPU-Telemig"}</definedName>
    <definedName name="Bad.debt.cost">'Inputs de costos evitables'!$E$49</definedName>
    <definedName name="BG_Del" hidden="1">15</definedName>
    <definedName name="BG_Ins" hidden="1">4</definedName>
    <definedName name="BG_Mod" hidden="1">6</definedName>
    <definedName name="Billing.cost">'Inputs de costos evitables'!$E$45</definedName>
    <definedName name="Cruze.Fronterizo.LL.2009.2014.retail">'Inputs de conexiones'!$E$280:$J$317</definedName>
    <definedName name="Cruze.Fronterizo.LL.2009.2014.total">'Inputs de conexiones'!$AK$280:$AP$317</definedName>
    <definedName name="Cruze.Fronterizo.LL.2009.2014.wholesale">'Inputs de conexiones'!$U$280:$Z$317</definedName>
    <definedName name="Customer.care.LL.per.staff">'Inputs de costos evitables'!$I$73</definedName>
    <definedName name="Discount.retail.LL">'Inputs de precios'!$C$572</definedName>
    <definedName name="DME_Dirty" hidden="1">"False"</definedName>
    <definedName name="EE" localSheetId="13" hidden="1">{"MG-2002-F1",#N/A,FALSE,"PPU-Telemig";"MG-2002-F2",#N/A,FALSE,"PPU-Telemig";"MG-2002-F3",#N/A,FALSE,"PPU-Telemig";"MG-2002-F4",#N/A,FALSE,"PPU-Telemig";"MG-2003-F1",#N/A,FALSE,"PPU-Telemig";"MG-2004-F1",#N/A,FALSE,"PPU-Telemig"}</definedName>
    <definedName name="EE" hidden="1">{"MG-2002-F1",#N/A,FALSE,"PPU-Telemig";"MG-2002-F2",#N/A,FALSE,"PPU-Telemig";"MG-2002-F3",#N/A,FALSE,"PPU-Telemig";"MG-2002-F4",#N/A,FALSE,"PPU-Telemig";"MG-2003-F1",#N/A,FALSE,"PPU-Telemig";"MG-2004-F1",#N/A,FALSE,"PPU-Telemig"}</definedName>
    <definedName name="eee" localSheetId="13" hidden="1">{"MG-2002-F1",#N/A,FALSE,"PPU-Telemig";"MG-2002-F2",#N/A,FALSE,"PPU-Telemig";"MG-2002-F3",#N/A,FALSE,"PPU-Telemig";"MG-2002-F4",#N/A,FALSE,"PPU-Telemig";"MG-2003-F1",#N/A,FALSE,"PPU-Telemig";"MG-2004-F1",#N/A,FALSE,"PPU-Telemig"}</definedName>
    <definedName name="eee" hidden="1">{"MG-2002-F1",#N/A,FALSE,"PPU-Telemig";"MG-2002-F2",#N/A,FALSE,"PPU-Telemig";"MG-2002-F3",#N/A,FALSE,"PPU-Telemig";"MG-2002-F4",#N/A,FALSE,"PPU-Telemig";"MG-2003-F1",#N/A,FALSE,"PPU-Telemig";"MG-2004-F1",#N/A,FALSE,"PPU-Telemig"}</definedName>
    <definedName name="Enlaces.decidados.tipos.categorías">'Cálculos ED'!$E$9:$P$10</definedName>
    <definedName name="FFF" localSheetId="13" hidden="1">{"MG-2002-F1",#N/A,FALSE,"PPU-Telemig";"MG-2002-F2",#N/A,FALSE,"PPU-Telemig";"MG-2002-F3",#N/A,FALSE,"PPU-Telemig";"MG-2002-F4",#N/A,FALSE,"PPU-Telemig";"MG-2003-F1",#N/A,FALSE,"PPU-Telemig";"MG-2004-F1",#N/A,FALSE,"PPU-Telemig"}</definedName>
    <definedName name="FFF" hidden="1">{"MG-2002-F1",#N/A,FALSE,"PPU-Telemig";"MG-2002-F2",#N/A,FALSE,"PPU-Telemig";"MG-2002-F3",#N/A,FALSE,"PPU-Telemig";"MG-2002-F4",#N/A,FALSE,"PPU-Telemig";"MG-2003-F1",#N/A,FALSE,"PPU-Telemig";"MG-2004-F1",#N/A,FALSE,"PPU-Telemig"}</definedName>
    <definedName name="Floorspace.per.staff">'Inputs de costos evitables'!$E$84</definedName>
    <definedName name="FSA" localSheetId="13" hidden="1">{"MG-2002-F1",#N/A,FALSE,"PPU-Telemig";"MG-2002-F2",#N/A,FALSE,"PPU-Telemig";"MG-2002-F3",#N/A,FALSE,"PPU-Telemig";"MG-2002-F4",#N/A,FALSE,"PPU-Telemig";"MG-2003-F1",#N/A,FALSE,"PPU-Telemig";"MG-2004-F1",#N/A,FALSE,"PPU-Telemig"}</definedName>
    <definedName name="FSA" hidden="1">{"MG-2002-F1",#N/A,FALSE,"PPU-Telemig";"MG-2002-F2",#N/A,FALSE,"PPU-Telemig";"MG-2002-F3",#N/A,FALSE,"PPU-Telemig";"MG-2002-F4",#N/A,FALSE,"PPU-Telemig";"MG-2003-F1",#N/A,FALSE,"PPU-Telemig";"MG-2004-F1",#N/A,FALSE,"PPU-Telemig"}</definedName>
    <definedName name="geral" localSheetId="13" hidden="1">{"MG-2002-F1",#N/A,FALSE,"PPU-Telemig";"MG-2002-F2",#N/A,FALSE,"PPU-Telemig";"MG-2002-F3",#N/A,FALSE,"PPU-Telemig";"MG-2002-F4",#N/A,FALSE,"PPU-Telemig";"MG-2003-F1",#N/A,FALSE,"PPU-Telemig";"MG-2004-F1",#N/A,FALSE,"PPU-Telemig"}</definedName>
    <definedName name="geral" hidden="1">{"MG-2002-F1",#N/A,FALSE,"PPU-Telemig";"MG-2002-F2",#N/A,FALSE,"PPU-Telemig";"MG-2002-F3",#N/A,FALSE,"PPU-Telemig";"MG-2002-F4",#N/A,FALSE,"PPU-Telemig";"MG-2003-F1",#N/A,FALSE,"PPU-Telemig";"MG-2004-F1",#N/A,FALSE,"PPU-Telemig"}</definedName>
    <definedName name="International.LL.2009.2014.retail">'Inputs de conexiones'!$E$236:$J$273</definedName>
    <definedName name="International.LL.2009.2014.total">'Inputs de conexiones'!$AK$236:$AP$273</definedName>
    <definedName name="International.LL.2009.2014.wholesale">'Inputs de conexiones'!$U$236:$Z$273</definedName>
    <definedName name="IVA.rate">'Listas '!$D$5</definedName>
    <definedName name="LL.border.crossing.by.capacity.retail">Mercado!$D$654:$O$691</definedName>
    <definedName name="LL.border.crossing.by.capacity.total">Mercado!$AL$654:$AW$691</definedName>
    <definedName name="LL.border.crossing.by.capacity.wholesale">Mercado!$U$654:$AF$691</definedName>
    <definedName name="LL.border.crossing.unit.costs">'Inputs de precios'!$D$527:$E$564</definedName>
    <definedName name="LL.churn">'Inputs de costos evitables'!$I$28</definedName>
    <definedName name="LL.international.by.capacity.retail">Mercado!$D$518:$O$555</definedName>
    <definedName name="LL.international.by.capacity.total">Mercado!$AL$518:$AW$555</definedName>
    <definedName name="LL.international.by.capacity.wholesale">Mercado!$U$518:$AF$555</definedName>
    <definedName name="LL.international.distance.distribution.by.capacity.retail">Mercado!$E$606:$H$643</definedName>
    <definedName name="LL.international.distance.distribution.by.capacity.total">Mercado!$AM$606:$AP$643</definedName>
    <definedName name="LL.international.distance.distribution.by.capacity.wholesale">Mercado!$V$606:$Y$643</definedName>
    <definedName name="LL.international.unit.costs">'Inputs de precios'!$D$356:$L$393</definedName>
    <definedName name="LL.list">'Inputs de precios'!$C$12:$C$49</definedName>
    <definedName name="LL.local.by.capacity.retail">Mercado!$D$14:$O$51</definedName>
    <definedName name="LL.local.by.capacity.total">Mercado!$AL$14:$AW$51</definedName>
    <definedName name="LL.local.by.capacity.wholesale">Mercado!$U$14:$AF$51</definedName>
    <definedName name="LL.local.unit.costs">'Inputs de precios'!$D$12:$E$49</definedName>
    <definedName name="LL.national.0.81.km.by.capacity.retail">Mercado!$D$109:$O$146</definedName>
    <definedName name="LL.national.0.81.km.by.capacity.total">Mercado!$AL$109:$AW$146</definedName>
    <definedName name="LL.national.0.81.km.by.capacity.wholesale">Mercado!$U$109:$AF$146</definedName>
    <definedName name="LL.national.161.805.km.by.capacity.retail">Mercado!$D$291:$O$328</definedName>
    <definedName name="LL.national.161.805.km.by.capacity.total">Mercado!$AL$291:$AW$328</definedName>
    <definedName name="LL.national.161.805.km.by.capacity.wholesale">Mercado!$U$291:$AF$328</definedName>
    <definedName name="LL.national.81.161.km.by.capacity.retail">Mercado!$D$200:$O$237</definedName>
    <definedName name="LL.national.81.161.km.by.capacity.total">Mercado!$AL$200:$AW$237</definedName>
    <definedName name="LL.national.81.161.km.by.capacity.wholesale">Mercado!$U$200:$AF$237</definedName>
    <definedName name="LL.national.over.805.km.by.capacity.retail">Mercado!$D$382:$O$419</definedName>
    <definedName name="LL.national.over.805.km.by.capacity.total">Mercado!$AL$382:$AW$419</definedName>
    <definedName name="LL.national.over.805.km.by.capacity.wholesale">Mercado!$U$382:$AF$419</definedName>
    <definedName name="LL.national.unit.costs">'Inputs de precios'!$D$184:$L$221</definedName>
    <definedName name="LL.type.categories">'Cálculos ED'!$E$11:$P$12</definedName>
    <definedName name="Local.LL.2009.2014.retail">'Inputs de conexiones'!$E$11:$J$48</definedName>
    <definedName name="Local.LL.2009.2014.total">'Inputs de conexiones'!$AK$11:$AP$48</definedName>
    <definedName name="Local.LL.2009.2014.wholesale">'Inputs de conexiones'!$U$11:$Z$48</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rketing.and.sales.minimum.proportion.LL">'Inputs de costos evitables'!$I$64</definedName>
    <definedName name="Marketing.and.sales.per.gross.add.LL">'Inputs de costos evitables'!$I$62</definedName>
    <definedName name="mmm" localSheetId="13" hidden="1">{"MG-2002-F1",#N/A,FALSE,"PPU-Telemig";"MG-2002-F2",#N/A,FALSE,"PPU-Telemig";"MG-2002-F3",#N/A,FALSE,"PPU-Telemig";"MG-2002-F4",#N/A,FALSE,"PPU-Telemig";"MG-2003-F1",#N/A,FALSE,"PPU-Telemig";"MG-2004-F1",#N/A,FALSE,"PPU-Telemig"}</definedName>
    <definedName name="mmm" hidden="1">{"MG-2002-F1",#N/A,FALSE,"PPU-Telemig";"MG-2002-F2",#N/A,FALSE,"PPU-Telemig";"MG-2002-F3",#N/A,FALSE,"PPU-Telemig";"MG-2002-F4",#N/A,FALSE,"PPU-Telemig";"MG-2003-F1",#N/A,FALSE,"PPU-Telemig";"MG-2004-F1",#N/A,FALSE,"PPU-Telemig"}</definedName>
    <definedName name="Monthly.cost.per.staff">'Inputs de costos evitables'!$E$75</definedName>
    <definedName name="Months.per.year">'Listas '!$F$5</definedName>
    <definedName name="National.LL.0.81.km.2009.2014.retail">'Inputs de conexiones'!$E$59:$J$96</definedName>
    <definedName name="National.LL.0.81.km.2009.2014.total">'Inputs de conexiones'!$AK$59:$AP$96</definedName>
    <definedName name="National.LL.0.81.km.2009.2014.wholesale">'Inputs de conexiones'!$U$59:$Z$96</definedName>
    <definedName name="National.LL.161.805.km.2009.2014.retail">'Inputs de conexiones'!$E$147:$J$184</definedName>
    <definedName name="National.LL.161.805.km.2009.2014.total">'Inputs de conexiones'!$AK$147:$AP$184</definedName>
    <definedName name="National.LL.161.805.km.2009.2014.wholesale">'Inputs de conexiones'!$U$147:$Z$184</definedName>
    <definedName name="National.LL.81.161.km.2009.2014.retail">'Inputs de conexiones'!$E$103:$J$140</definedName>
    <definedName name="National.LL.81.161.km.2009.2014.total">'Inputs de conexiones'!$AK$103:$AP$140</definedName>
    <definedName name="National.LL.81.161.km.2009.2014.wholesale">'Inputs de conexiones'!$U$103:$Z$140</definedName>
    <definedName name="National.LL.above.805.km.2009.2014.retail">'Inputs de conexiones'!$E$191:$J$228</definedName>
    <definedName name="National.LL.above.805.km.2009.2014.total">'Inputs de conexiones'!$AK$191:$AP$228</definedName>
    <definedName name="National.LL.above.805.km.2009.2014.wholesale">'Inputs de conexiones'!$U$191:$Z$228</definedName>
    <definedName name="ÑJÑL" localSheetId="13" hidden="1">Main.SAPF4Help()</definedName>
    <definedName name="ÑJÑL" hidden="1">Main.SAPF4Help()</definedName>
    <definedName name="Rent.per.sqm">'Inputs de costos evitables'!$E$88</definedName>
    <definedName name="res" localSheetId="13" hidden="1">{"MG-2002-F1",#N/A,FALSE,"PPU-Telemig";"MG-2002-F2",#N/A,FALSE,"PPU-Telemig";"MG-2002-F3",#N/A,FALSE,"PPU-Telemig";"MG-2002-F4",#N/A,FALSE,"PPU-Telemig";"MG-2003-F1",#N/A,FALSE,"PPU-Telemig";"MG-2004-F1",#N/A,FALSE,"PPU-Telemig"}</definedName>
    <definedName name="res" hidden="1">{"MG-2002-F1",#N/A,FALSE,"PPU-Telemig";"MG-2002-F2",#N/A,FALSE,"PPU-Telemig";"MG-2002-F3",#N/A,FALSE,"PPU-Telemig";"MG-2002-F4",#N/A,FALSE,"PPU-Telemig";"MG-2003-F1",#N/A,FALSE,"PPU-Telemig";"MG-2004-F1",#N/A,FALSE,"PPU-Telemig"}</definedName>
    <definedName name="resumen" localSheetId="13" hidden="1">Main.SAPF4Help()</definedName>
    <definedName name="resumen" hidden="1">Main.SAPF4Help()</definedName>
    <definedName name="Retail.leased.lines.calculados.option">Control!$D$7</definedName>
    <definedName name="Retail.leased.lines.proporcionados.option">Control!$D$6</definedName>
    <definedName name="Retail.leased.lines.selected">Control!$D$5</definedName>
    <definedName name="Retail.profit">'Inputs de costos evitables'!$E$120</definedName>
    <definedName name="RR" localSheetId="13" hidden="1">{"MG-2002-F1",#N/A,FALSE,"PPU-Telemig";"MG-2002-F2",#N/A,FALSE,"PPU-Telemig";"MG-2002-F3",#N/A,FALSE,"PPU-Telemig";"MG-2002-F4",#N/A,FALSE,"PPU-Telemig";"MG-2003-F1",#N/A,FALSE,"PPU-Telemig";"MG-2004-F1",#N/A,FALSE,"PPU-Telemig"}</definedName>
    <definedName name="RR" hidden="1">{"MG-2002-F1",#N/A,FALSE,"PPU-Telemig";"MG-2002-F2",#N/A,FALSE,"PPU-Telemig";"MG-2002-F3",#N/A,FALSE,"PPU-Telemig";"MG-2002-F4",#N/A,FALSE,"PPU-Telemig";"MG-2003-F1",#N/A,FALSE,"PPU-Telemig";"MG-2004-F1",#N/A,FALSE,"PPU-Telemig"}</definedName>
    <definedName name="SAP" localSheetId="13" hidden="1">Main.SAPF4Help()</definedName>
    <definedName name="SAP" hidden="1">Main.SAPF4Help()</definedName>
    <definedName name="SAPBEXdnldView" hidden="1">"3UCLXGX5U860E2OHQHIF1OFNZ"</definedName>
    <definedName name="SAPBEXrevision" hidden="1">1</definedName>
    <definedName name="SAPBEXsysID" hidden="1">"BIP"</definedName>
    <definedName name="SAPBEXwbID" hidden="1">"44TPQ9003VV6KHYAEWIYD8BPR"</definedName>
    <definedName name="SAPFuncF4Help" localSheetId="13" hidden="1">Main.SAPF4Help()</definedName>
    <definedName name="SAPFuncF4Help" hidden="1">Main.SAPF4Help()</definedName>
    <definedName name="SAPFuncF5Help" localSheetId="13" hidden="1">Main.SAPF4Help()</definedName>
    <definedName name="SAPFuncF5Help" hidden="1">Main.SAPF4Help()</definedName>
    <definedName name="solver_eng" localSheetId="4" hidden="1">1</definedName>
    <definedName name="solver_neg" localSheetId="4" hidden="1">1</definedName>
    <definedName name="solver_num" localSheetId="4" hidden="1">0</definedName>
    <definedName name="solver_opt" localSheetId="4" hidden="1">'Inputs de precios'!$C$572</definedName>
    <definedName name="solver_typ" localSheetId="4" hidden="1">1</definedName>
    <definedName name="solver_val" localSheetId="4" hidden="1">0</definedName>
    <definedName name="solver_ver" localSheetId="4" hidden="1">3</definedName>
    <definedName name="Space.per.LL">'Inputs de costos evitables'!$I$116</definedName>
    <definedName name="Technical.space.cost.per.sqm">'Inputs de costos evitables'!$I$114</definedName>
    <definedName name="vtas" localSheetId="13" hidden="1">Main.SAPF4Help()</definedName>
    <definedName name="vtas" hidden="1">Main.SAPF4Help()</definedName>
    <definedName name="we" localSheetId="13" hidden="1">{"MG-2002-F1",#N/A,FALSE,"PPU-Telemig";"MG-2002-F2",#N/A,FALSE,"PPU-Telemig";"MG-2002-F3",#N/A,FALSE,"PPU-Telemig";"MG-2002-F4",#N/A,FALSE,"PPU-Telemig";"MG-2003-F1",#N/A,FALSE,"PPU-Telemig";"MG-2004-F1",#N/A,FALSE,"PPU-Telemig"}</definedName>
    <definedName name="we" hidden="1">{"MG-2002-F1",#N/A,FALSE,"PPU-Telemig";"MG-2002-F2",#N/A,FALSE,"PPU-Telemig";"MG-2002-F3",#N/A,FALSE,"PPU-Telemig";"MG-2002-F4",#N/A,FALSE,"PPU-Telemig";"MG-2003-F1",#N/A,FALSE,"PPU-Telemig";"MG-2004-F1",#N/A,FALSE,"PPU-Telemig"}</definedName>
    <definedName name="Workbook.Author">'C'!$B$14</definedName>
    <definedName name="Workbook.Authors_Email_Address">'C'!$B$15</definedName>
    <definedName name="Workbook.Objective">'C'!$B$6</definedName>
    <definedName name="Workbook.Status">'C'!$B$9</definedName>
    <definedName name="Workbook.Title">'C'!$B$5</definedName>
    <definedName name="Workbook.Version">'C'!$B$8</definedName>
    <definedName name="wrn.LPU._.MG." localSheetId="13" hidden="1">{"MG-2002-F1",#N/A,FALSE,"PPU-Telemig";"MG-2002-F2",#N/A,FALSE,"PPU-Telemig";"MG-2002-F3",#N/A,FALSE,"PPU-Telemig";"MG-2002-F4",#N/A,FALSE,"PPU-Telemig";"MG-2003-F1",#N/A,FALSE,"PPU-Telemig";"MG-2004-F1",#N/A,FALSE,"PPU-Telemig"}</definedName>
    <definedName name="wrn.LPU._.MG." hidden="1">{"MG-2002-F1",#N/A,FALSE,"PPU-Telemig";"MG-2002-F2",#N/A,FALSE,"PPU-Telemig";"MG-2002-F3",#N/A,FALSE,"PPU-Telemig";"MG-2002-F4",#N/A,FALSE,"PPU-Telemig";"MG-2003-F1",#N/A,FALSE,"PPU-Telemig";"MG-2004-F1",#N/A,FALSE,"PPU-Telemig"}</definedName>
    <definedName name="WW" localSheetId="13" hidden="1">{"MG-2002-F1",#N/A,FALSE,"PPU-Telemig";"MG-2002-F2",#N/A,FALSE,"PPU-Telemig";"MG-2002-F3",#N/A,FALSE,"PPU-Telemig";"MG-2002-F4",#N/A,FALSE,"PPU-Telemig";"MG-2003-F1",#N/A,FALSE,"PPU-Telemig";"MG-2004-F1",#N/A,FALSE,"PPU-Telemig"}</definedName>
    <definedName name="WW" hidden="1">{"MG-2002-F1",#N/A,FALSE,"PPU-Telemig";"MG-2002-F2",#N/A,FALSE,"PPU-Telemig";"MG-2002-F3",#N/A,FALSE,"PPU-Telemig";"MG-2002-F4",#N/A,FALSE,"PPU-Telemig";"MG-2003-F1",#N/A,FALSE,"PPU-Telemig";"MG-2004-F1",#N/A,FALSE,"PPU-Telemig"}</definedName>
    <definedName name="Y" localSheetId="13" hidden="1">Main.SAPF4Help()</definedName>
    <definedName name="Y" hidden="1">Main.SAPF4Help()</definedName>
    <definedName name="Year.selected">Mercado!$G$4</definedName>
    <definedName name="Years">'Listas '!$B$5:$B$16</definedName>
  </definedNames>
  <calcPr calcId="152511"/>
</workbook>
</file>

<file path=xl/calcChain.xml><?xml version="1.0" encoding="utf-8"?>
<calcChain xmlns="http://schemas.openxmlformats.org/spreadsheetml/2006/main">
  <c r="AW692" i="51" l="1"/>
  <c r="AV692" i="51"/>
  <c r="AU692" i="51"/>
  <c r="AT692" i="51"/>
  <c r="AS692" i="51"/>
  <c r="AW556" i="51"/>
  <c r="AV556" i="51"/>
  <c r="AU556" i="51"/>
  <c r="AT556" i="51"/>
  <c r="AS556" i="51"/>
  <c r="AW420" i="51"/>
  <c r="AV420" i="51"/>
  <c r="AU420" i="51"/>
  <c r="AT420" i="51"/>
  <c r="AS420" i="51"/>
  <c r="AW329" i="51"/>
  <c r="AV329" i="51"/>
  <c r="AU329" i="51"/>
  <c r="AT329" i="51"/>
  <c r="AS329" i="51"/>
  <c r="AW238" i="51"/>
  <c r="AV238" i="51"/>
  <c r="AU238" i="51"/>
  <c r="AT238" i="51"/>
  <c r="AS238" i="51"/>
  <c r="AW147" i="51"/>
  <c r="AV147" i="51"/>
  <c r="AU147" i="51"/>
  <c r="AT147" i="51"/>
  <c r="AS147" i="51"/>
  <c r="AF692" i="51"/>
  <c r="AE692" i="51"/>
  <c r="AD692" i="51"/>
  <c r="AC692" i="51"/>
  <c r="AB692" i="51"/>
  <c r="AF556" i="51"/>
  <c r="AE556" i="51"/>
  <c r="AD556" i="51"/>
  <c r="AC556" i="51"/>
  <c r="AB556" i="51"/>
  <c r="AF420" i="51"/>
  <c r="AE420" i="51"/>
  <c r="AD420" i="51"/>
  <c r="AC420" i="51"/>
  <c r="AB420" i="51"/>
  <c r="AF329" i="51"/>
  <c r="AE329" i="51"/>
  <c r="AD329" i="51"/>
  <c r="AC329" i="51"/>
  <c r="AB329" i="51"/>
  <c r="AF147" i="51"/>
  <c r="AE147" i="51"/>
  <c r="AD147" i="51"/>
  <c r="AC147" i="51"/>
  <c r="AB147" i="51"/>
  <c r="AF238" i="51"/>
  <c r="AE238" i="51"/>
  <c r="AD238" i="51"/>
  <c r="AC238" i="51"/>
  <c r="AB238" i="51"/>
  <c r="O692" i="51"/>
  <c r="N692" i="51"/>
  <c r="M692" i="51"/>
  <c r="L692" i="51"/>
  <c r="K692" i="51"/>
  <c r="O600" i="51"/>
  <c r="N600" i="51"/>
  <c r="M600" i="51"/>
  <c r="L600" i="51"/>
  <c r="K600" i="51"/>
  <c r="O556" i="51"/>
  <c r="N556" i="51"/>
  <c r="M556" i="51"/>
  <c r="L556" i="51"/>
  <c r="K556" i="51"/>
  <c r="O420" i="51"/>
  <c r="N420" i="51"/>
  <c r="M420" i="51"/>
  <c r="L420" i="51"/>
  <c r="K420" i="51"/>
  <c r="O329" i="51"/>
  <c r="N329" i="51"/>
  <c r="M329" i="51"/>
  <c r="L329" i="51"/>
  <c r="K329" i="51"/>
  <c r="O238" i="51"/>
  <c r="N238" i="51"/>
  <c r="M238" i="51"/>
  <c r="L238" i="51"/>
  <c r="K238" i="51"/>
  <c r="O147" i="51"/>
  <c r="N147" i="51"/>
  <c r="M147" i="51"/>
  <c r="L147" i="51"/>
  <c r="K147" i="51"/>
  <c r="AW52" i="51"/>
  <c r="AV52" i="51"/>
  <c r="AU52" i="51"/>
  <c r="AT52" i="51"/>
  <c r="AS52" i="51"/>
  <c r="AF52" i="51"/>
  <c r="AE52" i="51"/>
  <c r="AD52" i="51"/>
  <c r="AC52" i="51"/>
  <c r="AB52" i="51"/>
  <c r="O52" i="51"/>
  <c r="N52" i="51"/>
  <c r="M52" i="51"/>
  <c r="L52" i="51"/>
  <c r="K52" i="51"/>
  <c r="S278" i="57" l="1"/>
  <c r="S234" i="57"/>
  <c r="S189" i="57"/>
  <c r="S145" i="57"/>
  <c r="S101" i="57"/>
  <c r="S57" i="57"/>
  <c r="S9" i="57"/>
  <c r="B5" i="58"/>
  <c r="B4" i="58"/>
  <c r="V606" i="51" l="1" a="1"/>
  <c r="E606" i="51" a="1"/>
  <c r="E606" i="51" s="1"/>
  <c r="G606" i="51"/>
  <c r="H606" i="51"/>
  <c r="H607" i="51"/>
  <c r="F608" i="51"/>
  <c r="G608" i="51"/>
  <c r="G609" i="51"/>
  <c r="H609" i="51"/>
  <c r="G610" i="51"/>
  <c r="F611" i="51"/>
  <c r="H611" i="51"/>
  <c r="F612" i="51"/>
  <c r="F613" i="51"/>
  <c r="G613" i="51"/>
  <c r="H613" i="51"/>
  <c r="H614" i="51"/>
  <c r="F615" i="51"/>
  <c r="H615" i="51"/>
  <c r="G616" i="51"/>
  <c r="F617" i="51"/>
  <c r="G617" i="51"/>
  <c r="G618" i="51"/>
  <c r="H618" i="51"/>
  <c r="F619" i="51"/>
  <c r="F620" i="51"/>
  <c r="G620" i="51"/>
  <c r="F621" i="51"/>
  <c r="H621" i="51"/>
  <c r="G622" i="51"/>
  <c r="H622" i="51"/>
  <c r="H623" i="51"/>
  <c r="F624" i="51"/>
  <c r="G624" i="51"/>
  <c r="G625" i="51"/>
  <c r="H625" i="51"/>
  <c r="G626" i="51"/>
  <c r="F627" i="51"/>
  <c r="H627" i="51"/>
  <c r="F628" i="51"/>
  <c r="F629" i="51"/>
  <c r="G629" i="51"/>
  <c r="H629" i="51"/>
  <c r="H630" i="51"/>
  <c r="F631" i="51"/>
  <c r="H631" i="51"/>
  <c r="G632" i="51"/>
  <c r="F633" i="51"/>
  <c r="G633" i="51"/>
  <c r="G634" i="51"/>
  <c r="H634" i="51"/>
  <c r="F635" i="51"/>
  <c r="F636" i="51"/>
  <c r="G636" i="51"/>
  <c r="F637" i="51"/>
  <c r="H637" i="51"/>
  <c r="G638" i="51"/>
  <c r="H638" i="51"/>
  <c r="H639" i="51"/>
  <c r="F640" i="51"/>
  <c r="G640" i="51"/>
  <c r="G641" i="51"/>
  <c r="H641" i="51"/>
  <c r="G642" i="51"/>
  <c r="F643" i="51"/>
  <c r="H643" i="51"/>
  <c r="S280" i="57" a="1"/>
  <c r="S236" i="57" a="1"/>
  <c r="S191" i="57" a="1"/>
  <c r="S225" i="57" s="1"/>
  <c r="S175" i="57"/>
  <c r="S155" i="57"/>
  <c r="S147" i="57" a="1"/>
  <c r="S181" i="57" s="1"/>
  <c r="S103" i="57" a="1"/>
  <c r="S75" i="57"/>
  <c r="S59" i="57" a="1"/>
  <c r="S93" i="57" s="1"/>
  <c r="S11" i="57" a="1"/>
  <c r="S46" i="57" s="1"/>
  <c r="S81" i="57" l="1"/>
  <c r="S158" i="57"/>
  <c r="S177" i="57"/>
  <c r="S61" i="57"/>
  <c r="S89" i="57"/>
  <c r="S147" i="57"/>
  <c r="S165" i="57"/>
  <c r="S66" i="57"/>
  <c r="S94" i="57"/>
  <c r="S149" i="57"/>
  <c r="S169" i="57"/>
  <c r="H642" i="51"/>
  <c r="F641" i="51"/>
  <c r="F639" i="51"/>
  <c r="G637" i="51"/>
  <c r="H635" i="51"/>
  <c r="H633" i="51"/>
  <c r="F632" i="51"/>
  <c r="G630" i="51"/>
  <c r="G628" i="51"/>
  <c r="H626" i="51"/>
  <c r="F625" i="51"/>
  <c r="F623" i="51"/>
  <c r="G621" i="51"/>
  <c r="H619" i="51"/>
  <c r="H617" i="51"/>
  <c r="F616" i="51"/>
  <c r="G614" i="51"/>
  <c r="G612" i="51"/>
  <c r="H610" i="51"/>
  <c r="F609" i="51"/>
  <c r="F607" i="51"/>
  <c r="S39" i="57"/>
  <c r="S224" i="57"/>
  <c r="S15" i="57"/>
  <c r="S47" i="57"/>
  <c r="S192" i="57"/>
  <c r="S67" i="57"/>
  <c r="S82" i="57"/>
  <c r="S150" i="57"/>
  <c r="S161" i="57"/>
  <c r="S170" i="57"/>
  <c r="S179" i="57"/>
  <c r="S202" i="57"/>
  <c r="G643" i="51"/>
  <c r="F642" i="51"/>
  <c r="H640" i="51"/>
  <c r="G639" i="51"/>
  <c r="F638" i="51"/>
  <c r="H636" i="51"/>
  <c r="G635" i="51"/>
  <c r="F634" i="51"/>
  <c r="H632" i="51"/>
  <c r="G631" i="51"/>
  <c r="F630" i="51"/>
  <c r="H628" i="51"/>
  <c r="G627" i="51"/>
  <c r="F626" i="51"/>
  <c r="H624" i="51"/>
  <c r="G623" i="51"/>
  <c r="F622" i="51"/>
  <c r="H620" i="51"/>
  <c r="G619" i="51"/>
  <c r="F618" i="51"/>
  <c r="H616" i="51"/>
  <c r="G615" i="51"/>
  <c r="F614" i="51"/>
  <c r="H612" i="51"/>
  <c r="G611" i="51"/>
  <c r="F610" i="51"/>
  <c r="H608" i="51"/>
  <c r="G607" i="51"/>
  <c r="F606" i="51"/>
  <c r="S23" i="57"/>
  <c r="S31" i="57"/>
  <c r="S59" i="57"/>
  <c r="S73" i="57"/>
  <c r="S87" i="57"/>
  <c r="S154" i="57"/>
  <c r="S163" i="57"/>
  <c r="S171" i="57"/>
  <c r="S182" i="57"/>
  <c r="S213" i="57"/>
  <c r="S200" i="57"/>
  <c r="S210" i="57"/>
  <c r="S221" i="57"/>
  <c r="S62" i="57"/>
  <c r="S70" i="57"/>
  <c r="S77" i="57"/>
  <c r="S83" i="57"/>
  <c r="S91" i="57"/>
  <c r="S153" i="57"/>
  <c r="S159" i="57"/>
  <c r="S166" i="57"/>
  <c r="S174" i="57"/>
  <c r="S194" i="57"/>
  <c r="S205" i="57"/>
  <c r="S216" i="57"/>
  <c r="S226" i="57"/>
  <c r="S16" i="57"/>
  <c r="S24" i="57"/>
  <c r="S32" i="57"/>
  <c r="S40" i="57"/>
  <c r="S48" i="57"/>
  <c r="S11" i="57"/>
  <c r="S19" i="57"/>
  <c r="S27" i="57"/>
  <c r="S35" i="57"/>
  <c r="S43" i="57"/>
  <c r="S12" i="57"/>
  <c r="S20" i="57"/>
  <c r="S28" i="57"/>
  <c r="S36" i="57"/>
  <c r="S44" i="57"/>
  <c r="S65" i="57"/>
  <c r="S71" i="57"/>
  <c r="S78" i="57"/>
  <c r="S86" i="57"/>
  <c r="S197" i="57"/>
  <c r="S208" i="57"/>
  <c r="S218" i="57"/>
  <c r="W643" i="51"/>
  <c r="W642" i="51"/>
  <c r="W641" i="51"/>
  <c r="W640" i="51"/>
  <c r="W639" i="51"/>
  <c r="W638" i="51"/>
  <c r="W637" i="51"/>
  <c r="W636" i="51"/>
  <c r="W635" i="51"/>
  <c r="W634" i="51"/>
  <c r="W633" i="51"/>
  <c r="W632" i="51"/>
  <c r="W631" i="51"/>
  <c r="W630" i="51"/>
  <c r="W629" i="51"/>
  <c r="W628" i="51"/>
  <c r="W627" i="51"/>
  <c r="W626" i="51"/>
  <c r="W625" i="51"/>
  <c r="W624" i="51"/>
  <c r="W623" i="51"/>
  <c r="W622" i="51"/>
  <c r="W621" i="51"/>
  <c r="W620" i="51"/>
  <c r="W619" i="51"/>
  <c r="W618" i="51"/>
  <c r="W617" i="51"/>
  <c r="W616" i="51"/>
  <c r="W615" i="51"/>
  <c r="W614" i="51"/>
  <c r="W613" i="51"/>
  <c r="W612" i="51"/>
  <c r="W611" i="51"/>
  <c r="W610" i="51"/>
  <c r="W609" i="51"/>
  <c r="W608" i="51"/>
  <c r="W607" i="51"/>
  <c r="W606" i="51"/>
  <c r="V643" i="51"/>
  <c r="V642" i="51"/>
  <c r="V641" i="51"/>
  <c r="V640" i="51"/>
  <c r="V639" i="51"/>
  <c r="V638" i="51"/>
  <c r="V637" i="51"/>
  <c r="V636" i="51"/>
  <c r="V635" i="51"/>
  <c r="V634" i="51"/>
  <c r="V633" i="51"/>
  <c r="V632" i="51"/>
  <c r="V631" i="51"/>
  <c r="V630" i="51"/>
  <c r="V629" i="51"/>
  <c r="V628" i="51"/>
  <c r="V627" i="51"/>
  <c r="V626" i="51"/>
  <c r="V625" i="51"/>
  <c r="V624" i="51"/>
  <c r="V623" i="51"/>
  <c r="V622" i="51"/>
  <c r="V621" i="51"/>
  <c r="V620" i="51"/>
  <c r="V619" i="51"/>
  <c r="V618" i="51"/>
  <c r="V617" i="51"/>
  <c r="V616" i="51"/>
  <c r="V615" i="51"/>
  <c r="V614" i="51"/>
  <c r="V613" i="51"/>
  <c r="V612" i="51"/>
  <c r="V611" i="51"/>
  <c r="V610" i="51"/>
  <c r="V609" i="51"/>
  <c r="V608" i="51"/>
  <c r="V607" i="51"/>
  <c r="V606" i="51"/>
  <c r="Y643" i="51"/>
  <c r="Y642" i="51"/>
  <c r="Y641" i="51"/>
  <c r="Y640" i="51"/>
  <c r="Y639" i="51"/>
  <c r="Y638" i="51"/>
  <c r="Y637" i="51"/>
  <c r="Y636" i="51"/>
  <c r="Y635" i="51"/>
  <c r="Y607" i="51"/>
  <c r="Y609" i="51"/>
  <c r="Y611" i="51"/>
  <c r="Y613" i="51"/>
  <c r="Y615" i="51"/>
  <c r="Y617" i="51"/>
  <c r="Y619" i="51"/>
  <c r="Y621" i="51"/>
  <c r="Y623" i="51"/>
  <c r="Y625" i="51"/>
  <c r="Y627" i="51"/>
  <c r="Y629" i="51"/>
  <c r="Y631" i="51"/>
  <c r="Y633" i="51"/>
  <c r="X636" i="51"/>
  <c r="X640" i="51"/>
  <c r="X606" i="51"/>
  <c r="X608" i="51"/>
  <c r="X610" i="51"/>
  <c r="X612" i="51"/>
  <c r="X614" i="51"/>
  <c r="X616" i="51"/>
  <c r="X618" i="51"/>
  <c r="X620" i="51"/>
  <c r="X622" i="51"/>
  <c r="X624" i="51"/>
  <c r="X626" i="51"/>
  <c r="X628" i="51"/>
  <c r="X630" i="51"/>
  <c r="X632" i="51"/>
  <c r="X634" i="51"/>
  <c r="X637" i="51"/>
  <c r="X641" i="51"/>
  <c r="Y606" i="51"/>
  <c r="Y608" i="51"/>
  <c r="Y610" i="51"/>
  <c r="Y612" i="51"/>
  <c r="Y614" i="51"/>
  <c r="Y616" i="51"/>
  <c r="Y618" i="51"/>
  <c r="Y620" i="51"/>
  <c r="Y622" i="51"/>
  <c r="Y624" i="51"/>
  <c r="Y626" i="51"/>
  <c r="Y628" i="51"/>
  <c r="Y630" i="51"/>
  <c r="Y632" i="51"/>
  <c r="Y634" i="51"/>
  <c r="X638" i="51"/>
  <c r="X642" i="51"/>
  <c r="X607" i="51"/>
  <c r="X609" i="51"/>
  <c r="X611" i="51"/>
  <c r="X613" i="51"/>
  <c r="X615" i="51"/>
  <c r="X617" i="51"/>
  <c r="X619" i="51"/>
  <c r="X621" i="51"/>
  <c r="X623" i="51"/>
  <c r="X625" i="51"/>
  <c r="X627" i="51"/>
  <c r="X629" i="51"/>
  <c r="X631" i="51"/>
  <c r="X633" i="51"/>
  <c r="X635" i="51"/>
  <c r="X639" i="51"/>
  <c r="X643" i="51"/>
  <c r="E643" i="51"/>
  <c r="E642" i="51"/>
  <c r="E641" i="51"/>
  <c r="E640" i="51"/>
  <c r="E639" i="51"/>
  <c r="E638" i="51"/>
  <c r="E637" i="51"/>
  <c r="E636" i="51"/>
  <c r="E635" i="51"/>
  <c r="E634" i="51"/>
  <c r="E633" i="51"/>
  <c r="E632" i="51"/>
  <c r="E631" i="51"/>
  <c r="E630" i="51"/>
  <c r="E629" i="51"/>
  <c r="E628" i="51"/>
  <c r="E627" i="51"/>
  <c r="E626" i="51"/>
  <c r="E625" i="51"/>
  <c r="E624" i="51"/>
  <c r="E623" i="51"/>
  <c r="E622" i="51"/>
  <c r="E621" i="51"/>
  <c r="E620" i="51"/>
  <c r="E619" i="51"/>
  <c r="E618" i="51"/>
  <c r="E617" i="51"/>
  <c r="E616" i="51"/>
  <c r="E615" i="51"/>
  <c r="E614" i="51"/>
  <c r="E613" i="51"/>
  <c r="E612" i="51"/>
  <c r="E611" i="51"/>
  <c r="E610" i="51"/>
  <c r="E609" i="51"/>
  <c r="E608" i="51"/>
  <c r="E607" i="51"/>
  <c r="S316" i="57"/>
  <c r="S312" i="57"/>
  <c r="S308" i="57"/>
  <c r="S304" i="57"/>
  <c r="S300" i="57"/>
  <c r="S296" i="57"/>
  <c r="S292" i="57"/>
  <c r="S288" i="57"/>
  <c r="S284" i="57"/>
  <c r="S280" i="57"/>
  <c r="S285" i="57"/>
  <c r="S290" i="57"/>
  <c r="S295" i="57"/>
  <c r="S301" i="57"/>
  <c r="S306" i="57"/>
  <c r="S311" i="57"/>
  <c r="S317" i="57"/>
  <c r="S281" i="57"/>
  <c r="S286" i="57"/>
  <c r="S291" i="57"/>
  <c r="S297" i="57"/>
  <c r="S302" i="57"/>
  <c r="S307" i="57"/>
  <c r="S313" i="57"/>
  <c r="S282" i="57"/>
  <c r="S287" i="57"/>
  <c r="S293" i="57"/>
  <c r="S298" i="57"/>
  <c r="S303" i="57"/>
  <c r="S309" i="57"/>
  <c r="S314" i="57"/>
  <c r="S283" i="57"/>
  <c r="S289" i="57"/>
  <c r="S294" i="57"/>
  <c r="S299" i="57"/>
  <c r="S305" i="57"/>
  <c r="S310" i="57"/>
  <c r="S315" i="57"/>
  <c r="S272" i="57"/>
  <c r="S268" i="57"/>
  <c r="S264" i="57"/>
  <c r="S260" i="57"/>
  <c r="S256" i="57"/>
  <c r="S252" i="57"/>
  <c r="S248" i="57"/>
  <c r="S244" i="57"/>
  <c r="S240" i="57"/>
  <c r="S236" i="57"/>
  <c r="S270" i="57"/>
  <c r="S265" i="57"/>
  <c r="S259" i="57"/>
  <c r="S254" i="57"/>
  <c r="S249" i="57"/>
  <c r="S243" i="57"/>
  <c r="S238" i="57"/>
  <c r="S269" i="57"/>
  <c r="S263" i="57"/>
  <c r="S258" i="57"/>
  <c r="S253" i="57"/>
  <c r="S247" i="57"/>
  <c r="S242" i="57"/>
  <c r="S237" i="57"/>
  <c r="S246" i="57"/>
  <c r="S257" i="57"/>
  <c r="S267" i="57"/>
  <c r="S239" i="57"/>
  <c r="S250" i="57"/>
  <c r="S261" i="57"/>
  <c r="S271" i="57"/>
  <c r="S241" i="57"/>
  <c r="S251" i="57"/>
  <c r="S262" i="57"/>
  <c r="S273" i="57"/>
  <c r="S245" i="57"/>
  <c r="S255" i="57"/>
  <c r="S266" i="57"/>
  <c r="S193" i="57"/>
  <c r="S198" i="57"/>
  <c r="S204" i="57"/>
  <c r="S209" i="57"/>
  <c r="S214" i="57"/>
  <c r="S220" i="57"/>
  <c r="S227" i="57"/>
  <c r="S223" i="57"/>
  <c r="S219" i="57"/>
  <c r="S215" i="57"/>
  <c r="S211" i="57"/>
  <c r="S207" i="57"/>
  <c r="S203" i="57"/>
  <c r="S199" i="57"/>
  <c r="S195" i="57"/>
  <c r="S191" i="57"/>
  <c r="S196" i="57"/>
  <c r="S201" i="57"/>
  <c r="S206" i="57"/>
  <c r="S212" i="57"/>
  <c r="S217" i="57"/>
  <c r="S222" i="57"/>
  <c r="S228" i="57"/>
  <c r="S184" i="57"/>
  <c r="S180" i="57"/>
  <c r="S176" i="57"/>
  <c r="S172" i="57"/>
  <c r="S168" i="57"/>
  <c r="S164" i="57"/>
  <c r="S160" i="57"/>
  <c r="S156" i="57"/>
  <c r="S152" i="57"/>
  <c r="S148" i="57"/>
  <c r="S151" i="57"/>
  <c r="S157" i="57"/>
  <c r="S162" i="57"/>
  <c r="S167" i="57"/>
  <c r="S173" i="57"/>
  <c r="S178" i="57"/>
  <c r="S183" i="57"/>
  <c r="S139" i="57"/>
  <c r="S135" i="57"/>
  <c r="S131" i="57"/>
  <c r="S127" i="57"/>
  <c r="S123" i="57"/>
  <c r="S119" i="57"/>
  <c r="S115" i="57"/>
  <c r="S111" i="57"/>
  <c r="S107" i="57"/>
  <c r="S103" i="57"/>
  <c r="S137" i="57"/>
  <c r="S132" i="57"/>
  <c r="S126" i="57"/>
  <c r="S121" i="57"/>
  <c r="S116" i="57"/>
  <c r="S110" i="57"/>
  <c r="S105" i="57"/>
  <c r="S136" i="57"/>
  <c r="S130" i="57"/>
  <c r="S125" i="57"/>
  <c r="S120" i="57"/>
  <c r="S114" i="57"/>
  <c r="S109" i="57"/>
  <c r="S104" i="57"/>
  <c r="S113" i="57"/>
  <c r="S124" i="57"/>
  <c r="S134" i="57"/>
  <c r="S106" i="57"/>
  <c r="S117" i="57"/>
  <c r="S128" i="57"/>
  <c r="S138" i="57"/>
  <c r="S108" i="57"/>
  <c r="S118" i="57"/>
  <c r="S129" i="57"/>
  <c r="S140" i="57"/>
  <c r="S112" i="57"/>
  <c r="S122" i="57"/>
  <c r="S133" i="57"/>
  <c r="S96" i="57"/>
  <c r="S92" i="57"/>
  <c r="S88" i="57"/>
  <c r="S84" i="57"/>
  <c r="S80" i="57"/>
  <c r="S76" i="57"/>
  <c r="S72" i="57"/>
  <c r="S68" i="57"/>
  <c r="S64" i="57"/>
  <c r="S60" i="57"/>
  <c r="S63" i="57"/>
  <c r="S69" i="57"/>
  <c r="S74" i="57"/>
  <c r="S79" i="57"/>
  <c r="S85" i="57"/>
  <c r="S90" i="57"/>
  <c r="S95" i="57"/>
  <c r="S13" i="57"/>
  <c r="S17" i="57"/>
  <c r="S21" i="57"/>
  <c r="S25" i="57"/>
  <c r="S29" i="57"/>
  <c r="S33" i="57"/>
  <c r="S37" i="57"/>
  <c r="S41" i="57"/>
  <c r="S45" i="57"/>
  <c r="S14" i="57"/>
  <c r="S18" i="57"/>
  <c r="S22" i="57"/>
  <c r="S26" i="57"/>
  <c r="S30" i="57"/>
  <c r="S34" i="57"/>
  <c r="S38" i="57"/>
  <c r="S42" i="57"/>
  <c r="AK280" i="57" l="1" a="1"/>
  <c r="AN280" i="57" s="1"/>
  <c r="X280" i="57" s="1"/>
  <c r="AK236" i="57" a="1"/>
  <c r="AL236" i="57" s="1"/>
  <c r="V236" i="57" s="1"/>
  <c r="AK191" i="57" a="1"/>
  <c r="AM194" i="57" s="1"/>
  <c r="W194" i="57" s="1"/>
  <c r="AK147" i="57" a="1"/>
  <c r="AL147" i="57" s="1"/>
  <c r="V147" i="57" s="1"/>
  <c r="AK103" i="57" a="1"/>
  <c r="AK59" i="57" a="1"/>
  <c r="AK59" i="57" s="1"/>
  <c r="U59" i="57" s="1"/>
  <c r="AN61" i="57"/>
  <c r="X61" i="57" s="1"/>
  <c r="AM62" i="57"/>
  <c r="W62" i="57" s="1"/>
  <c r="AK65" i="57"/>
  <c r="U65" i="57" s="1"/>
  <c r="AP65" i="57"/>
  <c r="Z65" i="57" s="1"/>
  <c r="AK11" i="57" a="1"/>
  <c r="AO11" i="57" s="1"/>
  <c r="Y11" i="57" s="1"/>
  <c r="D252" i="71"/>
  <c r="D189" i="70"/>
  <c r="AO67" i="57" l="1"/>
  <c r="Y67" i="57" s="1"/>
  <c r="AL64" i="57"/>
  <c r="V64" i="57" s="1"/>
  <c r="AN60" i="57"/>
  <c r="X60" i="57" s="1"/>
  <c r="AK156" i="57"/>
  <c r="U156" i="57" s="1"/>
  <c r="AP66" i="57"/>
  <c r="Z66" i="57" s="1"/>
  <c r="AL63" i="57"/>
  <c r="V63" i="57" s="1"/>
  <c r="AO59" i="57"/>
  <c r="Y59" i="57" s="1"/>
  <c r="AK153" i="57"/>
  <c r="U153" i="57" s="1"/>
  <c r="AK244" i="57"/>
  <c r="U244" i="57" s="1"/>
  <c r="AN149" i="57"/>
  <c r="X149" i="57" s="1"/>
  <c r="AO182" i="57"/>
  <c r="Y182" i="57" s="1"/>
  <c r="AO179" i="57"/>
  <c r="Y179" i="57" s="1"/>
  <c r="AK177" i="57"/>
  <c r="U177" i="57" s="1"/>
  <c r="AN173" i="57"/>
  <c r="X173" i="57" s="1"/>
  <c r="AL170" i="57"/>
  <c r="V170" i="57" s="1"/>
  <c r="AM167" i="57"/>
  <c r="W167" i="57" s="1"/>
  <c r="AO163" i="57"/>
  <c r="Y163" i="57" s="1"/>
  <c r="AK161" i="57"/>
  <c r="U161" i="57" s="1"/>
  <c r="AO157" i="57"/>
  <c r="Y157" i="57" s="1"/>
  <c r="AL154" i="57"/>
  <c r="V154" i="57" s="1"/>
  <c r="AM151" i="57"/>
  <c r="W151" i="57" s="1"/>
  <c r="AO148" i="57"/>
  <c r="Y148" i="57" s="1"/>
  <c r="AP239" i="57"/>
  <c r="Z239" i="57" s="1"/>
  <c r="AL96" i="57"/>
  <c r="V96" i="57" s="1"/>
  <c r="AP93" i="57"/>
  <c r="Z93" i="57" s="1"/>
  <c r="AP91" i="57"/>
  <c r="Z91" i="57" s="1"/>
  <c r="AM89" i="57"/>
  <c r="W89" i="57" s="1"/>
  <c r="AN87" i="57"/>
  <c r="X87" i="57" s="1"/>
  <c r="AK86" i="57"/>
  <c r="U86" i="57" s="1"/>
  <c r="AK84" i="57"/>
  <c r="U84" i="57" s="1"/>
  <c r="AP81" i="57"/>
  <c r="Z81" i="57" s="1"/>
  <c r="AP79" i="57"/>
  <c r="Z79" i="57" s="1"/>
  <c r="AL78" i="57"/>
  <c r="V78" i="57" s="1"/>
  <c r="AM76" i="57"/>
  <c r="W76" i="57" s="1"/>
  <c r="AN74" i="57"/>
  <c r="X74" i="57" s="1"/>
  <c r="AP72" i="57"/>
  <c r="Z72" i="57" s="1"/>
  <c r="AK71" i="57"/>
  <c r="U71" i="57" s="1"/>
  <c r="AL69" i="57"/>
  <c r="V69" i="57" s="1"/>
  <c r="AN67" i="57"/>
  <c r="X67" i="57" s="1"/>
  <c r="AO65" i="57"/>
  <c r="Y65" i="57" s="1"/>
  <c r="AP63" i="57"/>
  <c r="Z63" i="57" s="1"/>
  <c r="AL62" i="57"/>
  <c r="V62" i="57" s="1"/>
  <c r="AM60" i="57"/>
  <c r="W60" i="57" s="1"/>
  <c r="AM182" i="57"/>
  <c r="W182" i="57" s="1"/>
  <c r="AK179" i="57"/>
  <c r="U179" i="57" s="1"/>
  <c r="AN175" i="57"/>
  <c r="X175" i="57" s="1"/>
  <c r="AO172" i="57"/>
  <c r="Y172" i="57" s="1"/>
  <c r="AK170" i="57"/>
  <c r="U170" i="57" s="1"/>
  <c r="AM166" i="57"/>
  <c r="W166" i="57" s="1"/>
  <c r="AK163" i="57"/>
  <c r="U163" i="57" s="1"/>
  <c r="AL160" i="57"/>
  <c r="V160" i="57" s="1"/>
  <c r="AO156" i="57"/>
  <c r="Y156" i="57" s="1"/>
  <c r="AK154" i="57"/>
  <c r="U154" i="57" s="1"/>
  <c r="AO150" i="57"/>
  <c r="Y150" i="57" s="1"/>
  <c r="AK147" i="57"/>
  <c r="U147" i="57" s="1"/>
  <c r="AK246" i="57"/>
  <c r="U246" i="57" s="1"/>
  <c r="AP237" i="57"/>
  <c r="Z237" i="57" s="1"/>
  <c r="AN94" i="57"/>
  <c r="X94" i="57" s="1"/>
  <c r="AK92" i="57"/>
  <c r="U92" i="57" s="1"/>
  <c r="AK90" i="57"/>
  <c r="U90" i="57" s="1"/>
  <c r="AK88" i="57"/>
  <c r="U88" i="57" s="1"/>
  <c r="AL86" i="57"/>
  <c r="V86" i="57" s="1"/>
  <c r="AO84" i="57"/>
  <c r="Y84" i="57" s="1"/>
  <c r="AN82" i="57"/>
  <c r="X82" i="57" s="1"/>
  <c r="AL80" i="57"/>
  <c r="V80" i="57" s="1"/>
  <c r="AM78" i="57"/>
  <c r="W78" i="57" s="1"/>
  <c r="AN76" i="57"/>
  <c r="X76" i="57" s="1"/>
  <c r="AP74" i="57"/>
  <c r="Z74" i="57" s="1"/>
  <c r="AK73" i="57"/>
  <c r="U73" i="57" s="1"/>
  <c r="AL71" i="57"/>
  <c r="V71" i="57" s="1"/>
  <c r="AN69" i="57"/>
  <c r="X69" i="57" s="1"/>
  <c r="AN95" i="57"/>
  <c r="X95" i="57" s="1"/>
  <c r="AN93" i="57"/>
  <c r="X93" i="57" s="1"/>
  <c r="AP90" i="57"/>
  <c r="Z90" i="57" s="1"/>
  <c r="AP88" i="57"/>
  <c r="Z88" i="57" s="1"/>
  <c r="AM87" i="57"/>
  <c r="W87" i="57" s="1"/>
  <c r="AM85" i="57"/>
  <c r="W85" i="57" s="1"/>
  <c r="AN83" i="57"/>
  <c r="X83" i="57" s="1"/>
  <c r="AO81" i="57"/>
  <c r="Y81" i="57" s="1"/>
  <c r="AL79" i="57"/>
  <c r="V79" i="57" s="1"/>
  <c r="AN77" i="57"/>
  <c r="X77" i="57" s="1"/>
  <c r="AO75" i="57"/>
  <c r="Y75" i="57" s="1"/>
  <c r="AP73" i="57"/>
  <c r="Z73" i="57" s="1"/>
  <c r="AL72" i="57"/>
  <c r="V72" i="57" s="1"/>
  <c r="AM70" i="57"/>
  <c r="W70" i="57" s="1"/>
  <c r="AN68" i="57"/>
  <c r="X68" i="57" s="1"/>
  <c r="AM184" i="57"/>
  <c r="W184" i="57" s="1"/>
  <c r="AN181" i="57"/>
  <c r="X181" i="57" s="1"/>
  <c r="AK178" i="57"/>
  <c r="U178" i="57" s="1"/>
  <c r="AM175" i="57"/>
  <c r="W175" i="57" s="1"/>
  <c r="AK172" i="57"/>
  <c r="U172" i="57" s="1"/>
  <c r="AM168" i="57"/>
  <c r="W168" i="57" s="1"/>
  <c r="AN165" i="57"/>
  <c r="X165" i="57" s="1"/>
  <c r="AP162" i="57"/>
  <c r="Z162" i="57" s="1"/>
  <c r="AM159" i="57"/>
  <c r="W159" i="57" s="1"/>
  <c r="AM95" i="57"/>
  <c r="W95" i="57" s="1"/>
  <c r="AO92" i="57"/>
  <c r="Y92" i="57" s="1"/>
  <c r="AL90" i="57"/>
  <c r="V90" i="57" s="1"/>
  <c r="AO88" i="57"/>
  <c r="Y88" i="57" s="1"/>
  <c r="AO86" i="57"/>
  <c r="Y86" i="57" s="1"/>
  <c r="AP84" i="57"/>
  <c r="Z84" i="57" s="1"/>
  <c r="AM83" i="57"/>
  <c r="W83" i="57" s="1"/>
  <c r="AP80" i="57"/>
  <c r="Z80" i="57" s="1"/>
  <c r="AK79" i="57"/>
  <c r="U79" i="57" s="1"/>
  <c r="AL77" i="57"/>
  <c r="V77" i="57" s="1"/>
  <c r="AN75" i="57"/>
  <c r="X75" i="57" s="1"/>
  <c r="AO73" i="57"/>
  <c r="Y73" i="57" s="1"/>
  <c r="AP71" i="57"/>
  <c r="Z71" i="57" s="1"/>
  <c r="AL70" i="57"/>
  <c r="V70" i="57" s="1"/>
  <c r="AM68" i="57"/>
  <c r="W68" i="57" s="1"/>
  <c r="AN66" i="57"/>
  <c r="X66" i="57" s="1"/>
  <c r="AP64" i="57"/>
  <c r="Z64" i="57" s="1"/>
  <c r="AK63" i="57"/>
  <c r="U63" i="57" s="1"/>
  <c r="AL61" i="57"/>
  <c r="V61" i="57" s="1"/>
  <c r="AN59" i="57"/>
  <c r="X59" i="57" s="1"/>
  <c r="AL184" i="57"/>
  <c r="V184" i="57" s="1"/>
  <c r="AO180" i="57"/>
  <c r="Y180" i="57" s="1"/>
  <c r="AM177" i="57"/>
  <c r="W177" i="57" s="1"/>
  <c r="AM174" i="57"/>
  <c r="W174" i="57" s="1"/>
  <c r="AP170" i="57"/>
  <c r="Z170" i="57" s="1"/>
  <c r="AL168" i="57"/>
  <c r="V168" i="57" s="1"/>
  <c r="AP164" i="57"/>
  <c r="Z164" i="57" s="1"/>
  <c r="AM161" i="57"/>
  <c r="W161" i="57" s="1"/>
  <c r="AM158" i="57"/>
  <c r="W158" i="57" s="1"/>
  <c r="AO155" i="57"/>
  <c r="Y155" i="57" s="1"/>
  <c r="AL152" i="57"/>
  <c r="V152" i="57" s="1"/>
  <c r="AP148" i="57"/>
  <c r="Z148" i="57" s="1"/>
  <c r="AK205" i="57"/>
  <c r="U205" i="57" s="1"/>
  <c r="AM242" i="57"/>
  <c r="W242" i="57" s="1"/>
  <c r="AP272" i="57"/>
  <c r="Z272" i="57" s="1"/>
  <c r="AM271" i="57"/>
  <c r="W271" i="57" s="1"/>
  <c r="AN269" i="57"/>
  <c r="X269" i="57" s="1"/>
  <c r="AK268" i="57"/>
  <c r="U268" i="57" s="1"/>
  <c r="AO266" i="57"/>
  <c r="Y266" i="57" s="1"/>
  <c r="AP264" i="57"/>
  <c r="Z264" i="57" s="1"/>
  <c r="AM263" i="57"/>
  <c r="W263" i="57" s="1"/>
  <c r="AP261" i="57"/>
  <c r="Z261" i="57" s="1"/>
  <c r="AK260" i="57"/>
  <c r="U260" i="57" s="1"/>
  <c r="AO258" i="57"/>
  <c r="Y258" i="57" s="1"/>
  <c r="AL257" i="57"/>
  <c r="V257" i="57" s="1"/>
  <c r="AM255" i="57"/>
  <c r="W255" i="57" s="1"/>
  <c r="AO253" i="57"/>
  <c r="Y253" i="57" s="1"/>
  <c r="AP251" i="57"/>
  <c r="Z251" i="57" s="1"/>
  <c r="AM249" i="57"/>
  <c r="W249" i="57" s="1"/>
  <c r="AM247" i="57"/>
  <c r="W247" i="57" s="1"/>
  <c r="AL245" i="57"/>
  <c r="V245" i="57" s="1"/>
  <c r="AK243" i="57"/>
  <c r="U243" i="57" s="1"/>
  <c r="AL241" i="57"/>
  <c r="V241" i="57" s="1"/>
  <c r="AK239" i="57"/>
  <c r="U239" i="57" s="1"/>
  <c r="AO236" i="57"/>
  <c r="Y236" i="57" s="1"/>
  <c r="AM183" i="57"/>
  <c r="W183" i="57" s="1"/>
  <c r="AP180" i="57"/>
  <c r="Z180" i="57" s="1"/>
  <c r="AP178" i="57"/>
  <c r="Z178" i="57" s="1"/>
  <c r="AL176" i="57"/>
  <c r="V176" i="57" s="1"/>
  <c r="AO173" i="57"/>
  <c r="Y173" i="57" s="1"/>
  <c r="AO171" i="57"/>
  <c r="Y171" i="57" s="1"/>
  <c r="AK169" i="57"/>
  <c r="U169" i="57" s="1"/>
  <c r="AO166" i="57"/>
  <c r="Y166" i="57" s="1"/>
  <c r="AO164" i="57"/>
  <c r="Y164" i="57" s="1"/>
  <c r="AK162" i="57"/>
  <c r="U162" i="57" s="1"/>
  <c r="AN159" i="57"/>
  <c r="X159" i="57" s="1"/>
  <c r="AN157" i="57"/>
  <c r="X157" i="57" s="1"/>
  <c r="AP154" i="57"/>
  <c r="Z154" i="57" s="1"/>
  <c r="AM152" i="57"/>
  <c r="W152" i="57" s="1"/>
  <c r="AM150" i="57"/>
  <c r="W150" i="57" s="1"/>
  <c r="AO147" i="57"/>
  <c r="Y147" i="57" s="1"/>
  <c r="AN272" i="57"/>
  <c r="X272" i="57" s="1"/>
  <c r="AO270" i="57"/>
  <c r="Y270" i="57" s="1"/>
  <c r="AM269" i="57"/>
  <c r="W269" i="57" s="1"/>
  <c r="AP267" i="57"/>
  <c r="Z267" i="57" s="1"/>
  <c r="AK266" i="57"/>
  <c r="U266" i="57" s="1"/>
  <c r="AN264" i="57"/>
  <c r="X264" i="57" s="1"/>
  <c r="AL263" i="57"/>
  <c r="V263" i="57" s="1"/>
  <c r="AM261" i="57"/>
  <c r="W261" i="57" s="1"/>
  <c r="AP259" i="57"/>
  <c r="Z259" i="57" s="1"/>
  <c r="AL258" i="57"/>
  <c r="V258" i="57" s="1"/>
  <c r="AN256" i="57"/>
  <c r="X256" i="57" s="1"/>
  <c r="AL255" i="57"/>
  <c r="V255" i="57" s="1"/>
  <c r="AL253" i="57"/>
  <c r="V253" i="57" s="1"/>
  <c r="AK251" i="57"/>
  <c r="U251" i="57" s="1"/>
  <c r="AO248" i="57"/>
  <c r="Y248" i="57" s="1"/>
  <c r="AK247" i="57"/>
  <c r="U247" i="57" s="1"/>
  <c r="AO244" i="57"/>
  <c r="Y244" i="57" s="1"/>
  <c r="AN242" i="57"/>
  <c r="X242" i="57" s="1"/>
  <c r="AN240" i="57"/>
  <c r="X240" i="57" s="1"/>
  <c r="AK238" i="57"/>
  <c r="U238" i="57" s="1"/>
  <c r="AM236" i="57"/>
  <c r="W236" i="57" s="1"/>
  <c r="AP273" i="57"/>
  <c r="Z273" i="57" s="1"/>
  <c r="AK272" i="57"/>
  <c r="U272" i="57" s="1"/>
  <c r="AN270" i="57"/>
  <c r="X270" i="57" s="1"/>
  <c r="AP268" i="57"/>
  <c r="Z268" i="57" s="1"/>
  <c r="AL267" i="57"/>
  <c r="V267" i="57" s="1"/>
  <c r="AP265" i="57"/>
  <c r="Z265" i="57" s="1"/>
  <c r="AL264" i="57"/>
  <c r="V264" i="57" s="1"/>
  <c r="AN262" i="57"/>
  <c r="X262" i="57" s="1"/>
  <c r="AP260" i="57"/>
  <c r="Z260" i="57" s="1"/>
  <c r="AN259" i="57"/>
  <c r="X259" i="57" s="1"/>
  <c r="AP257" i="57"/>
  <c r="Z257" i="57" s="1"/>
  <c r="AL256" i="57"/>
  <c r="V256" i="57" s="1"/>
  <c r="AO254" i="57"/>
  <c r="Y254" i="57" s="1"/>
  <c r="AM252" i="57"/>
  <c r="W252" i="57" s="1"/>
  <c r="AN250" i="57"/>
  <c r="X250" i="57" s="1"/>
  <c r="AN248" i="57"/>
  <c r="X248" i="57" s="1"/>
  <c r="AN96" i="57"/>
  <c r="X96" i="57" s="1"/>
  <c r="AO94" i="57"/>
  <c r="Y94" i="57" s="1"/>
  <c r="AP92" i="57"/>
  <c r="Z92" i="57" s="1"/>
  <c r="AL91" i="57"/>
  <c r="V91" i="57" s="1"/>
  <c r="AN89" i="57"/>
  <c r="X89" i="57" s="1"/>
  <c r="AL88" i="57"/>
  <c r="V88" i="57" s="1"/>
  <c r="AP86" i="57"/>
  <c r="Z86" i="57" s="1"/>
  <c r="AN85" i="57"/>
  <c r="X85" i="57" s="1"/>
  <c r="AL84" i="57"/>
  <c r="V84" i="57" s="1"/>
  <c r="AP82" i="57"/>
  <c r="Z82" i="57" s="1"/>
  <c r="AK81" i="57"/>
  <c r="U81" i="57" s="1"/>
  <c r="AL273" i="57"/>
  <c r="V273" i="57" s="1"/>
  <c r="AN271" i="57"/>
  <c r="X271" i="57" s="1"/>
  <c r="AL270" i="57"/>
  <c r="V270" i="57" s="1"/>
  <c r="AN268" i="57"/>
  <c r="X268" i="57" s="1"/>
  <c r="AP266" i="57"/>
  <c r="Z266" i="57" s="1"/>
  <c r="AM265" i="57"/>
  <c r="W265" i="57" s="1"/>
  <c r="AN263" i="57"/>
  <c r="X263" i="57" s="1"/>
  <c r="AL262" i="57"/>
  <c r="V262" i="57" s="1"/>
  <c r="AO260" i="57"/>
  <c r="Y260" i="57" s="1"/>
  <c r="AP258" i="57"/>
  <c r="Z258" i="57" s="1"/>
  <c r="AM257" i="57"/>
  <c r="W257" i="57" s="1"/>
  <c r="AK256" i="57"/>
  <c r="U256" i="57" s="1"/>
  <c r="AK254" i="57"/>
  <c r="U254" i="57" s="1"/>
  <c r="AK252" i="57"/>
  <c r="U252" i="57" s="1"/>
  <c r="AK250" i="57"/>
  <c r="U250" i="57" s="1"/>
  <c r="AO247" i="57"/>
  <c r="Y247" i="57" s="1"/>
  <c r="AP245" i="57"/>
  <c r="Z245" i="57" s="1"/>
  <c r="AP243" i="57"/>
  <c r="Z243" i="57" s="1"/>
  <c r="AM241" i="57"/>
  <c r="W241" i="57" s="1"/>
  <c r="AM239" i="57"/>
  <c r="W239" i="57" s="1"/>
  <c r="AO237" i="57"/>
  <c r="Y237" i="57" s="1"/>
  <c r="AN15" i="57"/>
  <c r="X15" i="57" s="1"/>
  <c r="AO13" i="57"/>
  <c r="Y13" i="57" s="1"/>
  <c r="AM12" i="57"/>
  <c r="W12" i="57" s="1"/>
  <c r="AN183" i="57"/>
  <c r="X183" i="57" s="1"/>
  <c r="AO181" i="57"/>
  <c r="Y181" i="57" s="1"/>
  <c r="AK180" i="57"/>
  <c r="U180" i="57" s="1"/>
  <c r="AL178" i="57"/>
  <c r="V178" i="57" s="1"/>
  <c r="AM176" i="57"/>
  <c r="W176" i="57" s="1"/>
  <c r="AO174" i="57"/>
  <c r="Y174" i="57" s="1"/>
  <c r="AP172" i="57"/>
  <c r="Z172" i="57" s="1"/>
  <c r="AK171" i="57"/>
  <c r="U171" i="57" s="1"/>
  <c r="AM169" i="57"/>
  <c r="W169" i="57" s="1"/>
  <c r="AN167" i="57"/>
  <c r="X167" i="57" s="1"/>
  <c r="AO165" i="57"/>
  <c r="Y165" i="57" s="1"/>
  <c r="AK164" i="57"/>
  <c r="U164" i="57" s="1"/>
  <c r="AL162" i="57"/>
  <c r="V162" i="57" s="1"/>
  <c r="AM160" i="57"/>
  <c r="W160" i="57" s="1"/>
  <c r="AO158" i="57"/>
  <c r="Y158" i="57" s="1"/>
  <c r="AP156" i="57"/>
  <c r="Z156" i="57" s="1"/>
  <c r="AK155" i="57"/>
  <c r="U155" i="57" s="1"/>
  <c r="AM153" i="57"/>
  <c r="W153" i="57" s="1"/>
  <c r="AN151" i="57"/>
  <c r="X151" i="57" s="1"/>
  <c r="AO149" i="57"/>
  <c r="Y149" i="57" s="1"/>
  <c r="AK148" i="57"/>
  <c r="U148" i="57" s="1"/>
  <c r="AO215" i="57"/>
  <c r="Y215" i="57" s="1"/>
  <c r="AM273" i="57"/>
  <c r="W273" i="57" s="1"/>
  <c r="AL272" i="57"/>
  <c r="V272" i="57" s="1"/>
  <c r="AL271" i="57"/>
  <c r="V271" i="57" s="1"/>
  <c r="AP269" i="57"/>
  <c r="Z269" i="57" s="1"/>
  <c r="AO268" i="57"/>
  <c r="Y268" i="57" s="1"/>
  <c r="AN267" i="57"/>
  <c r="X267" i="57" s="1"/>
  <c r="AL266" i="57"/>
  <c r="V266" i="57" s="1"/>
  <c r="AL265" i="57"/>
  <c r="V265" i="57" s="1"/>
  <c r="AK264" i="57"/>
  <c r="U264" i="57" s="1"/>
  <c r="AO262" i="57"/>
  <c r="Y262" i="57" s="1"/>
  <c r="AN261" i="57"/>
  <c r="X261" i="57" s="1"/>
  <c r="AN260" i="57"/>
  <c r="X260" i="57" s="1"/>
  <c r="AL259" i="57"/>
  <c r="V259" i="57" s="1"/>
  <c r="AK258" i="57"/>
  <c r="U258" i="57" s="1"/>
  <c r="AP256" i="57"/>
  <c r="Z256" i="57" s="1"/>
  <c r="AN255" i="57"/>
  <c r="X255" i="57" s="1"/>
  <c r="AN254" i="57"/>
  <c r="X254" i="57" s="1"/>
  <c r="AK253" i="57"/>
  <c r="U253" i="57" s="1"/>
  <c r="AL251" i="57"/>
  <c r="V251" i="57" s="1"/>
  <c r="AO249" i="57"/>
  <c r="Y249" i="57" s="1"/>
  <c r="AM248" i="57"/>
  <c r="W248" i="57" s="1"/>
  <c r="AN246" i="57"/>
  <c r="X246" i="57" s="1"/>
  <c r="AK245" i="57"/>
  <c r="U245" i="57" s="1"/>
  <c r="AM243" i="57"/>
  <c r="W243" i="57" s="1"/>
  <c r="AO241" i="57"/>
  <c r="Y241" i="57" s="1"/>
  <c r="AM240" i="57"/>
  <c r="W240" i="57" s="1"/>
  <c r="AO238" i="57"/>
  <c r="Y238" i="57" s="1"/>
  <c r="AK237" i="57"/>
  <c r="U237" i="57" s="1"/>
  <c r="AP103" i="57"/>
  <c r="Z103" i="57" s="1"/>
  <c r="AN104" i="57"/>
  <c r="X104" i="57" s="1"/>
  <c r="AL108" i="57"/>
  <c r="V108" i="57" s="1"/>
  <c r="AP111" i="57"/>
  <c r="Z111" i="57" s="1"/>
  <c r="AL115" i="57"/>
  <c r="V115" i="57" s="1"/>
  <c r="AP118" i="57"/>
  <c r="Z118" i="57" s="1"/>
  <c r="AN122" i="57"/>
  <c r="X122" i="57" s="1"/>
  <c r="AP125" i="57"/>
  <c r="Z125" i="57" s="1"/>
  <c r="AN131" i="57"/>
  <c r="X131" i="57" s="1"/>
  <c r="AL136" i="57"/>
  <c r="V136" i="57" s="1"/>
  <c r="AP140" i="57"/>
  <c r="Z140" i="57" s="1"/>
  <c r="AP47" i="57"/>
  <c r="Z47" i="57" s="1"/>
  <c r="AN45" i="57"/>
  <c r="X45" i="57" s="1"/>
  <c r="AN43" i="57"/>
  <c r="X43" i="57" s="1"/>
  <c r="AP41" i="57"/>
  <c r="Z41" i="57" s="1"/>
  <c r="AM40" i="57"/>
  <c r="W40" i="57" s="1"/>
  <c r="AN38" i="57"/>
  <c r="X38" i="57" s="1"/>
  <c r="AL37" i="57"/>
  <c r="V37" i="57" s="1"/>
  <c r="AO35" i="57"/>
  <c r="Y35" i="57" s="1"/>
  <c r="AP33" i="57"/>
  <c r="Z33" i="57" s="1"/>
  <c r="AM32" i="57"/>
  <c r="W32" i="57" s="1"/>
  <c r="AK31" i="57"/>
  <c r="U31" i="57" s="1"/>
  <c r="AL29" i="57"/>
  <c r="V29" i="57" s="1"/>
  <c r="AO27" i="57"/>
  <c r="Y27" i="57" s="1"/>
  <c r="AL26" i="57"/>
  <c r="V26" i="57" s="1"/>
  <c r="AM24" i="57"/>
  <c r="W24" i="57" s="1"/>
  <c r="AK23" i="57"/>
  <c r="U23" i="57" s="1"/>
  <c r="AN21" i="57"/>
  <c r="X21" i="57" s="1"/>
  <c r="AO19" i="57"/>
  <c r="Y19" i="57" s="1"/>
  <c r="AL18" i="57"/>
  <c r="V18" i="57" s="1"/>
  <c r="AP16" i="57"/>
  <c r="Z16" i="57" s="1"/>
  <c r="AK15" i="57"/>
  <c r="U15" i="57" s="1"/>
  <c r="AN13" i="57"/>
  <c r="X13" i="57" s="1"/>
  <c r="AP11" i="57"/>
  <c r="Z11" i="57" s="1"/>
  <c r="AP96" i="57"/>
  <c r="Z96" i="57" s="1"/>
  <c r="AK96" i="57"/>
  <c r="U96" i="57" s="1"/>
  <c r="AL95" i="57"/>
  <c r="V95" i="57" s="1"/>
  <c r="AL94" i="57"/>
  <c r="V94" i="57" s="1"/>
  <c r="AM93" i="57"/>
  <c r="W93" i="57" s="1"/>
  <c r="AN92" i="57"/>
  <c r="X92" i="57" s="1"/>
  <c r="AN91" i="57"/>
  <c r="X91" i="57" s="1"/>
  <c r="AO90" i="57"/>
  <c r="Y90" i="57" s="1"/>
  <c r="AP89" i="57"/>
  <c r="Z89" i="57" s="1"/>
  <c r="AL89" i="57"/>
  <c r="V89" i="57" s="1"/>
  <c r="AN88" i="57"/>
  <c r="X88" i="57" s="1"/>
  <c r="AP87" i="57"/>
  <c r="Z87" i="57" s="1"/>
  <c r="AL87" i="57"/>
  <c r="V87" i="57" s="1"/>
  <c r="AN86" i="57"/>
  <c r="X86" i="57" s="1"/>
  <c r="AP85" i="57"/>
  <c r="Z85" i="57" s="1"/>
  <c r="AL85" i="57"/>
  <c r="V85" i="57" s="1"/>
  <c r="AN84" i="57"/>
  <c r="X84" i="57" s="1"/>
  <c r="AP83" i="57"/>
  <c r="Z83" i="57" s="1"/>
  <c r="AL83" i="57"/>
  <c r="V83" i="57" s="1"/>
  <c r="AM82" i="57"/>
  <c r="W82" i="57" s="1"/>
  <c r="AN81" i="57"/>
  <c r="X81" i="57" s="1"/>
  <c r="AN80" i="57"/>
  <c r="X80" i="57" s="1"/>
  <c r="AO79" i="57"/>
  <c r="Y79" i="57" s="1"/>
  <c r="AP78" i="57"/>
  <c r="Z78" i="57" s="1"/>
  <c r="AP77" i="57"/>
  <c r="Z77" i="57" s="1"/>
  <c r="AK77" i="57"/>
  <c r="U77" i="57" s="1"/>
  <c r="AL76" i="57"/>
  <c r="V76" i="57" s="1"/>
  <c r="AL75" i="57"/>
  <c r="V75" i="57" s="1"/>
  <c r="AM74" i="57"/>
  <c r="W74" i="57" s="1"/>
  <c r="AN73" i="57"/>
  <c r="X73" i="57" s="1"/>
  <c r="AN72" i="57"/>
  <c r="X72" i="57" s="1"/>
  <c r="AO71" i="57"/>
  <c r="Y71" i="57" s="1"/>
  <c r="AP70" i="57"/>
  <c r="Z70" i="57" s="1"/>
  <c r="AP69" i="57"/>
  <c r="Z69" i="57" s="1"/>
  <c r="AK69" i="57"/>
  <c r="U69" i="57" s="1"/>
  <c r="AL68" i="57"/>
  <c r="V68" i="57" s="1"/>
  <c r="AL67" i="57"/>
  <c r="V67" i="57" s="1"/>
  <c r="AM66" i="57"/>
  <c r="W66" i="57" s="1"/>
  <c r="AN65" i="57"/>
  <c r="X65" i="57" s="1"/>
  <c r="AN64" i="57"/>
  <c r="X64" i="57" s="1"/>
  <c r="AO63" i="57"/>
  <c r="Y63" i="57" s="1"/>
  <c r="AP62" i="57"/>
  <c r="Z62" i="57" s="1"/>
  <c r="AP61" i="57"/>
  <c r="Z61" i="57" s="1"/>
  <c r="AK61" i="57"/>
  <c r="U61" i="57" s="1"/>
  <c r="AL60" i="57"/>
  <c r="V60" i="57" s="1"/>
  <c r="AL59" i="57"/>
  <c r="AO138" i="57"/>
  <c r="Y138" i="57" s="1"/>
  <c r="AO132" i="57"/>
  <c r="Y132" i="57" s="1"/>
  <c r="AN124" i="57"/>
  <c r="X124" i="57" s="1"/>
  <c r="AN120" i="57"/>
  <c r="X120" i="57" s="1"/>
  <c r="AP115" i="57"/>
  <c r="Z115" i="57" s="1"/>
  <c r="AN110" i="57"/>
  <c r="X110" i="57" s="1"/>
  <c r="AN106" i="57"/>
  <c r="X106" i="57" s="1"/>
  <c r="AP139" i="57"/>
  <c r="Z139" i="57" s="1"/>
  <c r="AP133" i="57"/>
  <c r="Z133" i="57" s="1"/>
  <c r="AN126" i="57"/>
  <c r="X126" i="57" s="1"/>
  <c r="AL121" i="57"/>
  <c r="V121" i="57" s="1"/>
  <c r="AL117" i="57"/>
  <c r="V117" i="57" s="1"/>
  <c r="AL112" i="57"/>
  <c r="V112" i="57" s="1"/>
  <c r="AP106" i="57"/>
  <c r="Z106" i="57" s="1"/>
  <c r="AK47" i="57"/>
  <c r="U47" i="57" s="1"/>
  <c r="AN44" i="57"/>
  <c r="X44" i="57" s="1"/>
  <c r="AK43" i="57"/>
  <c r="U43" i="57" s="1"/>
  <c r="AO41" i="57"/>
  <c r="Y41" i="57" s="1"/>
  <c r="AP39" i="57"/>
  <c r="Z39" i="57" s="1"/>
  <c r="AM38" i="57"/>
  <c r="W38" i="57" s="1"/>
  <c r="AP36" i="57"/>
  <c r="Z36" i="57" s="1"/>
  <c r="AK35" i="57"/>
  <c r="U35" i="57" s="1"/>
  <c r="AO33" i="57"/>
  <c r="Y33" i="57" s="1"/>
  <c r="AL32" i="57"/>
  <c r="V32" i="57" s="1"/>
  <c r="AM30" i="57"/>
  <c r="W30" i="57" s="1"/>
  <c r="AP28" i="57"/>
  <c r="Z28" i="57" s="1"/>
  <c r="AN27" i="57"/>
  <c r="X27" i="57" s="1"/>
  <c r="AO25" i="57"/>
  <c r="Y25" i="57" s="1"/>
  <c r="AL24" i="57"/>
  <c r="V24" i="57" s="1"/>
  <c r="AN22" i="57"/>
  <c r="X22" i="57" s="1"/>
  <c r="AP20" i="57"/>
  <c r="Z20" i="57" s="1"/>
  <c r="AN19" i="57"/>
  <c r="X19" i="57" s="1"/>
  <c r="AP17" i="57"/>
  <c r="Z17" i="57" s="1"/>
  <c r="AL16" i="57"/>
  <c r="V16" i="57" s="1"/>
  <c r="AN14" i="57"/>
  <c r="X14" i="57" s="1"/>
  <c r="AL13" i="57"/>
  <c r="V13" i="57" s="1"/>
  <c r="AN11" i="57"/>
  <c r="X11" i="57" s="1"/>
  <c r="AO96" i="57"/>
  <c r="Y96" i="57" s="1"/>
  <c r="AP95" i="57"/>
  <c r="Z95" i="57" s="1"/>
  <c r="AP94" i="57"/>
  <c r="Z94" i="57" s="1"/>
  <c r="AK94" i="57"/>
  <c r="U94" i="57" s="1"/>
  <c r="AL93" i="57"/>
  <c r="V93" i="57" s="1"/>
  <c r="AL92" i="57"/>
  <c r="V92" i="57" s="1"/>
  <c r="AM91" i="57"/>
  <c r="W91" i="57" s="1"/>
  <c r="AN90" i="57"/>
  <c r="X90" i="57" s="1"/>
  <c r="AO89" i="57"/>
  <c r="Y89" i="57" s="1"/>
  <c r="AK89" i="57"/>
  <c r="U89" i="57" s="1"/>
  <c r="AM88" i="57"/>
  <c r="W88" i="57" s="1"/>
  <c r="AO87" i="57"/>
  <c r="Y87" i="57" s="1"/>
  <c r="AK87" i="57"/>
  <c r="U87" i="57" s="1"/>
  <c r="AM86" i="57"/>
  <c r="W86" i="57" s="1"/>
  <c r="AO85" i="57"/>
  <c r="Y85" i="57" s="1"/>
  <c r="AK85" i="57"/>
  <c r="U85" i="57" s="1"/>
  <c r="AM84" i="57"/>
  <c r="W84" i="57" s="1"/>
  <c r="AO83" i="57"/>
  <c r="Y83" i="57" s="1"/>
  <c r="AK83" i="57"/>
  <c r="U83" i="57" s="1"/>
  <c r="AL82" i="57"/>
  <c r="V82" i="57" s="1"/>
  <c r="AL81" i="57"/>
  <c r="V81" i="57" s="1"/>
  <c r="AM80" i="57"/>
  <c r="W80" i="57" s="1"/>
  <c r="AN79" i="57"/>
  <c r="X79" i="57" s="1"/>
  <c r="AN78" i="57"/>
  <c r="X78" i="57" s="1"/>
  <c r="AO77" i="57"/>
  <c r="Y77" i="57" s="1"/>
  <c r="AP76" i="57"/>
  <c r="Z76" i="57" s="1"/>
  <c r="AP75" i="57"/>
  <c r="Z75" i="57" s="1"/>
  <c r="AK75" i="57"/>
  <c r="U75" i="57" s="1"/>
  <c r="AL74" i="57"/>
  <c r="V74" i="57" s="1"/>
  <c r="AL73" i="57"/>
  <c r="V73" i="57" s="1"/>
  <c r="AM72" i="57"/>
  <c r="W72" i="57" s="1"/>
  <c r="AN71" i="57"/>
  <c r="X71" i="57" s="1"/>
  <c r="AN70" i="57"/>
  <c r="X70" i="57" s="1"/>
  <c r="AO69" i="57"/>
  <c r="Y69" i="57" s="1"/>
  <c r="AP68" i="57"/>
  <c r="Z68" i="57" s="1"/>
  <c r="AP67" i="57"/>
  <c r="Z67" i="57" s="1"/>
  <c r="AK67" i="57"/>
  <c r="U67" i="57" s="1"/>
  <c r="AL66" i="57"/>
  <c r="V66" i="57" s="1"/>
  <c r="AL65" i="57"/>
  <c r="V65" i="57" s="1"/>
  <c r="AM64" i="57"/>
  <c r="W64" i="57" s="1"/>
  <c r="AN63" i="57"/>
  <c r="X63" i="57" s="1"/>
  <c r="AN62" i="57"/>
  <c r="X62" i="57" s="1"/>
  <c r="AO61" i="57"/>
  <c r="Y61" i="57" s="1"/>
  <c r="AP60" i="57"/>
  <c r="Z60" i="57" s="1"/>
  <c r="AP59" i="57"/>
  <c r="Z59" i="57" s="1"/>
  <c r="AM137" i="57"/>
  <c r="W137" i="57" s="1"/>
  <c r="AP129" i="57"/>
  <c r="Z129" i="57" s="1"/>
  <c r="AL124" i="57"/>
  <c r="V124" i="57" s="1"/>
  <c r="AL119" i="57"/>
  <c r="V119" i="57" s="1"/>
  <c r="AP113" i="57"/>
  <c r="Z113" i="57" s="1"/>
  <c r="AP109" i="57"/>
  <c r="Z109" i="57" s="1"/>
  <c r="AL105" i="57"/>
  <c r="V105" i="57" s="1"/>
  <c r="AL48" i="57"/>
  <c r="V48" i="57" s="1"/>
  <c r="AO45" i="57"/>
  <c r="Y45" i="57" s="1"/>
  <c r="AP43" i="57"/>
  <c r="Z43" i="57" s="1"/>
  <c r="AL42" i="57"/>
  <c r="V42" i="57" s="1"/>
  <c r="AP40" i="57"/>
  <c r="Z40" i="57" s="1"/>
  <c r="AL39" i="57"/>
  <c r="V39" i="57" s="1"/>
  <c r="AN37" i="57"/>
  <c r="X37" i="57" s="1"/>
  <c r="AP35" i="57"/>
  <c r="Z35" i="57" s="1"/>
  <c r="AN34" i="57"/>
  <c r="X34" i="57" s="1"/>
  <c r="AP32" i="57"/>
  <c r="Z32" i="57" s="1"/>
  <c r="AL31" i="57"/>
  <c r="V31" i="57" s="1"/>
  <c r="AO29" i="57"/>
  <c r="Y29" i="57" s="1"/>
  <c r="AP27" i="57"/>
  <c r="Z27" i="57" s="1"/>
  <c r="AN26" i="57"/>
  <c r="X26" i="57" s="1"/>
  <c r="AK25" i="57"/>
  <c r="U25" i="57" s="1"/>
  <c r="AL23" i="57"/>
  <c r="V23" i="57" s="1"/>
  <c r="AO21" i="57"/>
  <c r="Y21" i="57" s="1"/>
  <c r="AM20" i="57"/>
  <c r="W20" i="57" s="1"/>
  <c r="AN18" i="57"/>
  <c r="X18" i="57" s="1"/>
  <c r="AK17" i="57"/>
  <c r="U17" i="57" s="1"/>
  <c r="AN46" i="57"/>
  <c r="X46" i="57" s="1"/>
  <c r="AM44" i="57"/>
  <c r="W44" i="57" s="1"/>
  <c r="AP42" i="57"/>
  <c r="Z42" i="57" s="1"/>
  <c r="AK41" i="57"/>
  <c r="U41" i="57" s="1"/>
  <c r="AN39" i="57"/>
  <c r="X39" i="57" s="1"/>
  <c r="AL38" i="57"/>
  <c r="V38" i="57" s="1"/>
  <c r="AM36" i="57"/>
  <c r="W36" i="57" s="1"/>
  <c r="AP34" i="57"/>
  <c r="Z34" i="57" s="1"/>
  <c r="AL33" i="57"/>
  <c r="V33" i="57" s="1"/>
  <c r="AN31" i="57"/>
  <c r="X31" i="57" s="1"/>
  <c r="AL30" i="57"/>
  <c r="V30" i="57" s="1"/>
  <c r="AN28" i="57"/>
  <c r="X28" i="57" s="1"/>
  <c r="AP26" i="57"/>
  <c r="Z26" i="57" s="1"/>
  <c r="AL25" i="57"/>
  <c r="V25" i="57" s="1"/>
  <c r="AP23" i="57"/>
  <c r="Z23" i="57" s="1"/>
  <c r="AL22" i="57"/>
  <c r="V22" i="57" s="1"/>
  <c r="AN20" i="57"/>
  <c r="X20" i="57" s="1"/>
  <c r="AK19" i="57"/>
  <c r="U19" i="57" s="1"/>
  <c r="AL17" i="57"/>
  <c r="V17" i="57" s="1"/>
  <c r="AP15" i="57"/>
  <c r="Z15" i="57" s="1"/>
  <c r="AM14" i="57"/>
  <c r="W14" i="57" s="1"/>
  <c r="AN12" i="57"/>
  <c r="X12" i="57" s="1"/>
  <c r="AK11" i="57"/>
  <c r="U11" i="57" s="1"/>
  <c r="AM90" i="57"/>
  <c r="W90" i="57" s="1"/>
  <c r="AM59" i="57"/>
  <c r="W59" i="57" s="1"/>
  <c r="AK60" i="57"/>
  <c r="U60" i="57" s="1"/>
  <c r="AO60" i="57"/>
  <c r="Y60" i="57" s="1"/>
  <c r="AM61" i="57"/>
  <c r="W61" i="57" s="1"/>
  <c r="AK62" i="57"/>
  <c r="U62" i="57" s="1"/>
  <c r="AO62" i="57"/>
  <c r="Y62" i="57" s="1"/>
  <c r="AM63" i="57"/>
  <c r="W63" i="57" s="1"/>
  <c r="AK64" i="57"/>
  <c r="U64" i="57" s="1"/>
  <c r="AO64" i="57"/>
  <c r="Y64" i="57" s="1"/>
  <c r="AM65" i="57"/>
  <c r="W65" i="57" s="1"/>
  <c r="AK66" i="57"/>
  <c r="U66" i="57" s="1"/>
  <c r="AO66" i="57"/>
  <c r="Y66" i="57" s="1"/>
  <c r="AM67" i="57"/>
  <c r="W67" i="57" s="1"/>
  <c r="AK68" i="57"/>
  <c r="U68" i="57" s="1"/>
  <c r="AO68" i="57"/>
  <c r="Y68" i="57" s="1"/>
  <c r="AM69" i="57"/>
  <c r="W69" i="57" s="1"/>
  <c r="AK70" i="57"/>
  <c r="U70" i="57" s="1"/>
  <c r="AO70" i="57"/>
  <c r="Y70" i="57" s="1"/>
  <c r="AM71" i="57"/>
  <c r="W71" i="57" s="1"/>
  <c r="AK72" i="57"/>
  <c r="U72" i="57" s="1"/>
  <c r="AO72" i="57"/>
  <c r="Y72" i="57" s="1"/>
  <c r="AM73" i="57"/>
  <c r="W73" i="57" s="1"/>
  <c r="AK74" i="57"/>
  <c r="U74" i="57" s="1"/>
  <c r="AO74" i="57"/>
  <c r="Y74" i="57" s="1"/>
  <c r="AM75" i="57"/>
  <c r="W75" i="57" s="1"/>
  <c r="AK76" i="57"/>
  <c r="U76" i="57" s="1"/>
  <c r="AO76" i="57"/>
  <c r="Y76" i="57" s="1"/>
  <c r="AM77" i="57"/>
  <c r="W77" i="57" s="1"/>
  <c r="AK78" i="57"/>
  <c r="U78" i="57" s="1"/>
  <c r="AO78" i="57"/>
  <c r="Y78" i="57" s="1"/>
  <c r="AM79" i="57"/>
  <c r="W79" i="57" s="1"/>
  <c r="AK80" i="57"/>
  <c r="U80" i="57" s="1"/>
  <c r="AO80" i="57"/>
  <c r="Y80" i="57" s="1"/>
  <c r="AM81" i="57"/>
  <c r="W81" i="57" s="1"/>
  <c r="AK82" i="57"/>
  <c r="U82" i="57" s="1"/>
  <c r="AO82" i="57"/>
  <c r="Y82" i="57" s="1"/>
  <c r="AL135" i="57"/>
  <c r="V135" i="57" s="1"/>
  <c r="AL128" i="57"/>
  <c r="V128" i="57" s="1"/>
  <c r="AP122" i="57"/>
  <c r="Z122" i="57" s="1"/>
  <c r="AN117" i="57"/>
  <c r="X117" i="57" s="1"/>
  <c r="AN113" i="57"/>
  <c r="X113" i="57" s="1"/>
  <c r="AN108" i="57"/>
  <c r="X108" i="57" s="1"/>
  <c r="AL103" i="57"/>
  <c r="V103" i="57" s="1"/>
  <c r="AN201" i="57"/>
  <c r="X201" i="57" s="1"/>
  <c r="AN273" i="57"/>
  <c r="X273" i="57" s="1"/>
  <c r="AO272" i="57"/>
  <c r="Y272" i="57" s="1"/>
  <c r="AP271" i="57"/>
  <c r="Z271" i="57" s="1"/>
  <c r="AP270" i="57"/>
  <c r="Z270" i="57" s="1"/>
  <c r="AK270" i="57"/>
  <c r="U270" i="57" s="1"/>
  <c r="AL269" i="57"/>
  <c r="V269" i="57" s="1"/>
  <c r="AL268" i="57"/>
  <c r="V268" i="57" s="1"/>
  <c r="AM267" i="57"/>
  <c r="W267" i="57" s="1"/>
  <c r="AN266" i="57"/>
  <c r="X266" i="57" s="1"/>
  <c r="AN265" i="57"/>
  <c r="X265" i="57" s="1"/>
  <c r="AO264" i="57"/>
  <c r="Y264" i="57" s="1"/>
  <c r="AP263" i="57"/>
  <c r="Z263" i="57" s="1"/>
  <c r="AP262" i="57"/>
  <c r="Z262" i="57" s="1"/>
  <c r="AK262" i="57"/>
  <c r="U262" i="57" s="1"/>
  <c r="AL261" i="57"/>
  <c r="V261" i="57" s="1"/>
  <c r="AL260" i="57"/>
  <c r="V260" i="57" s="1"/>
  <c r="AM259" i="57"/>
  <c r="W259" i="57" s="1"/>
  <c r="AN258" i="57"/>
  <c r="X258" i="57" s="1"/>
  <c r="AN257" i="57"/>
  <c r="X257" i="57" s="1"/>
  <c r="AO256" i="57"/>
  <c r="Y256" i="57" s="1"/>
  <c r="AP255" i="57"/>
  <c r="Z255" i="57" s="1"/>
  <c r="AP254" i="57"/>
  <c r="Z254" i="57" s="1"/>
  <c r="AP253" i="57"/>
  <c r="Z253" i="57" s="1"/>
  <c r="AO252" i="57"/>
  <c r="Y252" i="57" s="1"/>
  <c r="AM251" i="57"/>
  <c r="W251" i="57" s="1"/>
  <c r="AM250" i="57"/>
  <c r="W250" i="57" s="1"/>
  <c r="AL249" i="57"/>
  <c r="V249" i="57" s="1"/>
  <c r="AP247" i="57"/>
  <c r="Z247" i="57" s="1"/>
  <c r="AO246" i="57"/>
  <c r="Y246" i="57" s="1"/>
  <c r="AO245" i="57"/>
  <c r="Y245" i="57" s="1"/>
  <c r="AM244" i="57"/>
  <c r="W244" i="57" s="1"/>
  <c r="AL243" i="57"/>
  <c r="V243" i="57" s="1"/>
  <c r="AK242" i="57"/>
  <c r="U242" i="57" s="1"/>
  <c r="AO240" i="57"/>
  <c r="Y240" i="57" s="1"/>
  <c r="AO239" i="57"/>
  <c r="Y239" i="57" s="1"/>
  <c r="AN238" i="57"/>
  <c r="X238" i="57" s="1"/>
  <c r="AL237" i="57"/>
  <c r="V237" i="57" s="1"/>
  <c r="AK236" i="57"/>
  <c r="U236" i="57" s="1"/>
  <c r="AM219" i="57"/>
  <c r="W219" i="57" s="1"/>
  <c r="AO192" i="57"/>
  <c r="Y192" i="57" s="1"/>
  <c r="AL317" i="57"/>
  <c r="V317" i="57" s="1"/>
  <c r="AN315" i="57"/>
  <c r="X315" i="57" s="1"/>
  <c r="AN313" i="57"/>
  <c r="X313" i="57" s="1"/>
  <c r="AP311" i="57"/>
  <c r="Z311" i="57" s="1"/>
  <c r="AL310" i="57"/>
  <c r="V310" i="57" s="1"/>
  <c r="AL308" i="57"/>
  <c r="V308" i="57" s="1"/>
  <c r="AN306" i="57"/>
  <c r="X306" i="57" s="1"/>
  <c r="AP304" i="57"/>
  <c r="Z304" i="57" s="1"/>
  <c r="AP302" i="57"/>
  <c r="Z302" i="57" s="1"/>
  <c r="AL301" i="57"/>
  <c r="V301" i="57" s="1"/>
  <c r="AN299" i="57"/>
  <c r="X299" i="57" s="1"/>
  <c r="AN297" i="57"/>
  <c r="X297" i="57" s="1"/>
  <c r="AP295" i="57"/>
  <c r="Z295" i="57" s="1"/>
  <c r="AL294" i="57"/>
  <c r="V294" i="57" s="1"/>
  <c r="AL292" i="57"/>
  <c r="V292" i="57" s="1"/>
  <c r="AN290" i="57"/>
  <c r="X290" i="57" s="1"/>
  <c r="AP288" i="57"/>
  <c r="Z288" i="57" s="1"/>
  <c r="AP286" i="57"/>
  <c r="Z286" i="57" s="1"/>
  <c r="AL285" i="57"/>
  <c r="V285" i="57" s="1"/>
  <c r="AN283" i="57"/>
  <c r="X283" i="57" s="1"/>
  <c r="AN281" i="57"/>
  <c r="X281" i="57" s="1"/>
  <c r="AP316" i="57"/>
  <c r="Z316" i="57" s="1"/>
  <c r="AP314" i="57"/>
  <c r="Z314" i="57" s="1"/>
  <c r="AL313" i="57"/>
  <c r="V313" i="57" s="1"/>
  <c r="AN311" i="57"/>
  <c r="X311" i="57" s="1"/>
  <c r="AN309" i="57"/>
  <c r="X309" i="57" s="1"/>
  <c r="AP307" i="57"/>
  <c r="Z307" i="57" s="1"/>
  <c r="AL306" i="57"/>
  <c r="V306" i="57" s="1"/>
  <c r="AL304" i="57"/>
  <c r="V304" i="57" s="1"/>
  <c r="AN302" i="57"/>
  <c r="X302" i="57" s="1"/>
  <c r="AP300" i="57"/>
  <c r="Z300" i="57" s="1"/>
  <c r="AP298" i="57"/>
  <c r="Z298" i="57" s="1"/>
  <c r="AL297" i="57"/>
  <c r="V297" i="57" s="1"/>
  <c r="AN295" i="57"/>
  <c r="X295" i="57" s="1"/>
  <c r="AN293" i="57"/>
  <c r="X293" i="57" s="1"/>
  <c r="AP291" i="57"/>
  <c r="Z291" i="57" s="1"/>
  <c r="AL290" i="57"/>
  <c r="V290" i="57" s="1"/>
  <c r="AL288" i="57"/>
  <c r="V288" i="57" s="1"/>
  <c r="AN286" i="57"/>
  <c r="X286" i="57" s="1"/>
  <c r="AP284" i="57"/>
  <c r="Z284" i="57" s="1"/>
  <c r="AP282" i="57"/>
  <c r="Z282" i="57" s="1"/>
  <c r="AL281" i="57"/>
  <c r="V281" i="57" s="1"/>
  <c r="AM96" i="57"/>
  <c r="W96" i="57" s="1"/>
  <c r="AO95" i="57"/>
  <c r="Y95" i="57" s="1"/>
  <c r="AK95" i="57"/>
  <c r="U95" i="57" s="1"/>
  <c r="AM94" i="57"/>
  <c r="W94" i="57" s="1"/>
  <c r="AO93" i="57"/>
  <c r="Y93" i="57" s="1"/>
  <c r="AK93" i="57"/>
  <c r="U93" i="57" s="1"/>
  <c r="AM92" i="57"/>
  <c r="W92" i="57" s="1"/>
  <c r="AO91" i="57"/>
  <c r="Y91" i="57" s="1"/>
  <c r="AK91" i="57"/>
  <c r="U91" i="57" s="1"/>
  <c r="AN140" i="57"/>
  <c r="X140" i="57" s="1"/>
  <c r="AL139" i="57"/>
  <c r="V139" i="57" s="1"/>
  <c r="AK138" i="57"/>
  <c r="U138" i="57" s="1"/>
  <c r="AP136" i="57"/>
  <c r="Z136" i="57" s="1"/>
  <c r="AN135" i="57"/>
  <c r="X135" i="57" s="1"/>
  <c r="AN134" i="57"/>
  <c r="X134" i="57" s="1"/>
  <c r="AM133" i="57"/>
  <c r="W133" i="57" s="1"/>
  <c r="AK132" i="57"/>
  <c r="U132" i="57" s="1"/>
  <c r="AP130" i="57"/>
  <c r="Z130" i="57" s="1"/>
  <c r="AL129" i="57"/>
  <c r="V129" i="57" s="1"/>
  <c r="AL127" i="57"/>
  <c r="V127" i="57" s="1"/>
  <c r="AN125" i="57"/>
  <c r="X125" i="57" s="1"/>
  <c r="AP123" i="57"/>
  <c r="Z123" i="57" s="1"/>
  <c r="AP121" i="57"/>
  <c r="Z121" i="57" s="1"/>
  <c r="AL120" i="57"/>
  <c r="V120" i="57" s="1"/>
  <c r="AN118" i="57"/>
  <c r="X118" i="57" s="1"/>
  <c r="AN116" i="57"/>
  <c r="X116" i="57" s="1"/>
  <c r="AP114" i="57"/>
  <c r="Z114" i="57" s="1"/>
  <c r="AL113" i="57"/>
  <c r="V113" i="57" s="1"/>
  <c r="AL111" i="57"/>
  <c r="V111" i="57" s="1"/>
  <c r="AN109" i="57"/>
  <c r="X109" i="57" s="1"/>
  <c r="AP107" i="57"/>
  <c r="Z107" i="57" s="1"/>
  <c r="AP105" i="57"/>
  <c r="Z105" i="57" s="1"/>
  <c r="AL104" i="57"/>
  <c r="V104" i="57" s="1"/>
  <c r="AP184" i="57"/>
  <c r="Z184" i="57" s="1"/>
  <c r="AK184" i="57"/>
  <c r="U184" i="57" s="1"/>
  <c r="AK183" i="57"/>
  <c r="U183" i="57" s="1"/>
  <c r="AL182" i="57"/>
  <c r="V182" i="57" s="1"/>
  <c r="AM181" i="57"/>
  <c r="W181" i="57" s="1"/>
  <c r="AM180" i="57"/>
  <c r="W180" i="57" s="1"/>
  <c r="AN179" i="57"/>
  <c r="X179" i="57" s="1"/>
  <c r="AO178" i="57"/>
  <c r="Y178" i="57" s="1"/>
  <c r="AO177" i="57"/>
  <c r="Y177" i="57" s="1"/>
  <c r="AP176" i="57"/>
  <c r="Z176" i="57" s="1"/>
  <c r="AK176" i="57"/>
  <c r="U176" i="57" s="1"/>
  <c r="AK175" i="57"/>
  <c r="U175" i="57" s="1"/>
  <c r="AL174" i="57"/>
  <c r="V174" i="57" s="1"/>
  <c r="AM173" i="57"/>
  <c r="W173" i="57" s="1"/>
  <c r="AM172" i="57"/>
  <c r="W172" i="57" s="1"/>
  <c r="AN171" i="57"/>
  <c r="X171" i="57" s="1"/>
  <c r="AO170" i="57"/>
  <c r="Y170" i="57" s="1"/>
  <c r="AO169" i="57"/>
  <c r="Y169" i="57" s="1"/>
  <c r="AP168" i="57"/>
  <c r="Z168" i="57" s="1"/>
  <c r="AK168" i="57"/>
  <c r="U168" i="57" s="1"/>
  <c r="AK167" i="57"/>
  <c r="U167" i="57" s="1"/>
  <c r="AL166" i="57"/>
  <c r="V166" i="57" s="1"/>
  <c r="AM165" i="57"/>
  <c r="W165" i="57" s="1"/>
  <c r="AM164" i="57"/>
  <c r="W164" i="57" s="1"/>
  <c r="AN163" i="57"/>
  <c r="X163" i="57" s="1"/>
  <c r="AO162" i="57"/>
  <c r="Y162" i="57" s="1"/>
  <c r="AO161" i="57"/>
  <c r="Y161" i="57" s="1"/>
  <c r="AP160" i="57"/>
  <c r="Z160" i="57" s="1"/>
  <c r="AK160" i="57"/>
  <c r="U160" i="57" s="1"/>
  <c r="AK159" i="57"/>
  <c r="U159" i="57" s="1"/>
  <c r="AL158" i="57"/>
  <c r="V158" i="57" s="1"/>
  <c r="AM157" i="57"/>
  <c r="W157" i="57" s="1"/>
  <c r="AM156" i="57"/>
  <c r="W156" i="57" s="1"/>
  <c r="AN155" i="57"/>
  <c r="X155" i="57" s="1"/>
  <c r="AO154" i="57"/>
  <c r="Y154" i="57" s="1"/>
  <c r="AO153" i="57"/>
  <c r="Y153" i="57" s="1"/>
  <c r="AP152" i="57"/>
  <c r="Z152" i="57" s="1"/>
  <c r="AK152" i="57"/>
  <c r="U152" i="57" s="1"/>
  <c r="AK151" i="57"/>
  <c r="U151" i="57" s="1"/>
  <c r="AL150" i="57"/>
  <c r="V150" i="57" s="1"/>
  <c r="AM149" i="57"/>
  <c r="W149" i="57" s="1"/>
  <c r="AM148" i="57"/>
  <c r="W148" i="57" s="1"/>
  <c r="AN147" i="57"/>
  <c r="X147" i="57" s="1"/>
  <c r="AM226" i="57"/>
  <c r="W226" i="57" s="1"/>
  <c r="AL212" i="57"/>
  <c r="V212" i="57" s="1"/>
  <c r="AK198" i="57"/>
  <c r="U198" i="57" s="1"/>
  <c r="AL316" i="57"/>
  <c r="V316" i="57" s="1"/>
  <c r="AN314" i="57"/>
  <c r="X314" i="57" s="1"/>
  <c r="AP312" i="57"/>
  <c r="Z312" i="57" s="1"/>
  <c r="AP310" i="57"/>
  <c r="Z310" i="57" s="1"/>
  <c r="AL309" i="57"/>
  <c r="V309" i="57" s="1"/>
  <c r="AN307" i="57"/>
  <c r="X307" i="57" s="1"/>
  <c r="AN305" i="57"/>
  <c r="X305" i="57" s="1"/>
  <c r="AP303" i="57"/>
  <c r="Z303" i="57" s="1"/>
  <c r="AL302" i="57"/>
  <c r="V302" i="57" s="1"/>
  <c r="AL300" i="57"/>
  <c r="V300" i="57" s="1"/>
  <c r="AN298" i="57"/>
  <c r="X298" i="57" s="1"/>
  <c r="AP296" i="57"/>
  <c r="Z296" i="57" s="1"/>
  <c r="AP294" i="57"/>
  <c r="Z294" i="57" s="1"/>
  <c r="AL293" i="57"/>
  <c r="V293" i="57" s="1"/>
  <c r="AN291" i="57"/>
  <c r="X291" i="57" s="1"/>
  <c r="AN289" i="57"/>
  <c r="X289" i="57" s="1"/>
  <c r="AP287" i="57"/>
  <c r="Z287" i="57" s="1"/>
  <c r="AL286" i="57"/>
  <c r="V286" i="57" s="1"/>
  <c r="AL284" i="57"/>
  <c r="V284" i="57" s="1"/>
  <c r="AN282" i="57"/>
  <c r="X282" i="57" s="1"/>
  <c r="AP280" i="57"/>
  <c r="Z280" i="57" s="1"/>
  <c r="AO140" i="57"/>
  <c r="Y140" i="57" s="1"/>
  <c r="AN139" i="57"/>
  <c r="X139" i="57" s="1"/>
  <c r="AL138" i="57"/>
  <c r="V138" i="57" s="1"/>
  <c r="AL137" i="57"/>
  <c r="V137" i="57" s="1"/>
  <c r="AK136" i="57"/>
  <c r="U136" i="57" s="1"/>
  <c r="AO134" i="57"/>
  <c r="Y134" i="57" s="1"/>
  <c r="AN133" i="57"/>
  <c r="X133" i="57" s="1"/>
  <c r="AN132" i="57"/>
  <c r="X132" i="57" s="1"/>
  <c r="AL131" i="57"/>
  <c r="V131" i="57" s="1"/>
  <c r="AN129" i="57"/>
  <c r="X129" i="57" s="1"/>
  <c r="AP127" i="57"/>
  <c r="Z127" i="57" s="1"/>
  <c r="AP48" i="57"/>
  <c r="Z48" i="57" s="1"/>
  <c r="AN47" i="57"/>
  <c r="X47" i="57" s="1"/>
  <c r="AM46" i="57"/>
  <c r="W46" i="57" s="1"/>
  <c r="AL45" i="57"/>
  <c r="V45" i="57" s="1"/>
  <c r="AM48" i="57"/>
  <c r="W48" i="57" s="1"/>
  <c r="AL47" i="57"/>
  <c r="V47" i="57" s="1"/>
  <c r="AL46" i="57"/>
  <c r="V46" i="57" s="1"/>
  <c r="AP44" i="57"/>
  <c r="Z44" i="57" s="1"/>
  <c r="AO43" i="57"/>
  <c r="Y43" i="57" s="1"/>
  <c r="AN42" i="57"/>
  <c r="X42" i="57" s="1"/>
  <c r="AL41" i="57"/>
  <c r="V41" i="57" s="1"/>
  <c r="AL40" i="57"/>
  <c r="V40" i="57" s="1"/>
  <c r="AK39" i="57"/>
  <c r="U39" i="57" s="1"/>
  <c r="AO37" i="57"/>
  <c r="Y37" i="57" s="1"/>
  <c r="AN36" i="57"/>
  <c r="X36" i="57" s="1"/>
  <c r="AN35" i="57"/>
  <c r="X35" i="57" s="1"/>
  <c r="AL34" i="57"/>
  <c r="V34" i="57" s="1"/>
  <c r="AK33" i="57"/>
  <c r="U33" i="57" s="1"/>
  <c r="AP31" i="57"/>
  <c r="Z31" i="57" s="1"/>
  <c r="AN30" i="57"/>
  <c r="X30" i="57" s="1"/>
  <c r="AN29" i="57"/>
  <c r="X29" i="57" s="1"/>
  <c r="AM28" i="57"/>
  <c r="W28" i="57" s="1"/>
  <c r="AK27" i="57"/>
  <c r="U27" i="57" s="1"/>
  <c r="AP25" i="57"/>
  <c r="Z25" i="57" s="1"/>
  <c r="AP24" i="57"/>
  <c r="Z24" i="57" s="1"/>
  <c r="AN23" i="57"/>
  <c r="X23" i="57" s="1"/>
  <c r="AM22" i="57"/>
  <c r="W22" i="57" s="1"/>
  <c r="AL21" i="57"/>
  <c r="V21" i="57" s="1"/>
  <c r="AP19" i="57"/>
  <c r="Z19" i="57" s="1"/>
  <c r="AP18" i="57"/>
  <c r="Z18" i="57" s="1"/>
  <c r="AO17" i="57"/>
  <c r="Y17" i="57" s="1"/>
  <c r="AM16" i="57"/>
  <c r="W16" i="57" s="1"/>
  <c r="AL15" i="57"/>
  <c r="V15" i="57" s="1"/>
  <c r="AL14" i="57"/>
  <c r="V14" i="57" s="1"/>
  <c r="AP12" i="57"/>
  <c r="Z12" i="57" s="1"/>
  <c r="AK140" i="57"/>
  <c r="U140" i="57" s="1"/>
  <c r="AP138" i="57"/>
  <c r="Z138" i="57" s="1"/>
  <c r="AP137" i="57"/>
  <c r="Z137" i="57" s="1"/>
  <c r="AN136" i="57"/>
  <c r="X136" i="57" s="1"/>
  <c r="AM135" i="57"/>
  <c r="W135" i="57" s="1"/>
  <c r="AL134" i="57"/>
  <c r="V134" i="57" s="1"/>
  <c r="AP132" i="57"/>
  <c r="Z132" i="57" s="1"/>
  <c r="AP131" i="57"/>
  <c r="Z131" i="57" s="1"/>
  <c r="AN130" i="57"/>
  <c r="X130" i="57" s="1"/>
  <c r="AN128" i="57"/>
  <c r="X128" i="57" s="1"/>
  <c r="AP126" i="57"/>
  <c r="Z126" i="57" s="1"/>
  <c r="AL125" i="57"/>
  <c r="V125" i="57" s="1"/>
  <c r="AL123" i="57"/>
  <c r="V123" i="57" s="1"/>
  <c r="AN121" i="57"/>
  <c r="X121" i="57" s="1"/>
  <c r="AP119" i="57"/>
  <c r="Z119" i="57" s="1"/>
  <c r="AP117" i="57"/>
  <c r="Z117" i="57" s="1"/>
  <c r="AL116" i="57"/>
  <c r="V116" i="57" s="1"/>
  <c r="AN114" i="57"/>
  <c r="X114" i="57" s="1"/>
  <c r="AN112" i="57"/>
  <c r="X112" i="57" s="1"/>
  <c r="AP110" i="57"/>
  <c r="Z110" i="57" s="1"/>
  <c r="AL109" i="57"/>
  <c r="V109" i="57" s="1"/>
  <c r="AL107" i="57"/>
  <c r="V107" i="57" s="1"/>
  <c r="AN105" i="57"/>
  <c r="X105" i="57" s="1"/>
  <c r="AO184" i="57"/>
  <c r="Y184" i="57" s="1"/>
  <c r="AO183" i="57"/>
  <c r="Y183" i="57" s="1"/>
  <c r="AP182" i="57"/>
  <c r="Z182" i="57" s="1"/>
  <c r="AK182" i="57"/>
  <c r="U182" i="57" s="1"/>
  <c r="AK181" i="57"/>
  <c r="U181" i="57" s="1"/>
  <c r="AL180" i="57"/>
  <c r="V180" i="57" s="1"/>
  <c r="AM179" i="57"/>
  <c r="W179" i="57" s="1"/>
  <c r="AM178" i="57"/>
  <c r="W178" i="57" s="1"/>
  <c r="AN177" i="57"/>
  <c r="X177" i="57" s="1"/>
  <c r="AO176" i="57"/>
  <c r="Y176" i="57" s="1"/>
  <c r="AO175" i="57"/>
  <c r="Y175" i="57" s="1"/>
  <c r="AP174" i="57"/>
  <c r="Z174" i="57" s="1"/>
  <c r="AK174" i="57"/>
  <c r="U174" i="57" s="1"/>
  <c r="AK173" i="57"/>
  <c r="U173" i="57" s="1"/>
  <c r="AL172" i="57"/>
  <c r="V172" i="57" s="1"/>
  <c r="AM171" i="57"/>
  <c r="W171" i="57" s="1"/>
  <c r="AM170" i="57"/>
  <c r="W170" i="57" s="1"/>
  <c r="AN169" i="57"/>
  <c r="X169" i="57" s="1"/>
  <c r="AO168" i="57"/>
  <c r="Y168" i="57" s="1"/>
  <c r="AO167" i="57"/>
  <c r="Y167" i="57" s="1"/>
  <c r="AP166" i="57"/>
  <c r="Z166" i="57" s="1"/>
  <c r="AK166" i="57"/>
  <c r="U166" i="57" s="1"/>
  <c r="AK165" i="57"/>
  <c r="U165" i="57" s="1"/>
  <c r="AL164" i="57"/>
  <c r="V164" i="57" s="1"/>
  <c r="AM163" i="57"/>
  <c r="W163" i="57" s="1"/>
  <c r="AM162" i="57"/>
  <c r="W162" i="57" s="1"/>
  <c r="AN161" i="57"/>
  <c r="X161" i="57" s="1"/>
  <c r="AO160" i="57"/>
  <c r="Y160" i="57" s="1"/>
  <c r="AO159" i="57"/>
  <c r="Y159" i="57" s="1"/>
  <c r="AP158" i="57"/>
  <c r="Z158" i="57" s="1"/>
  <c r="AK158" i="57"/>
  <c r="U158" i="57" s="1"/>
  <c r="AK157" i="57"/>
  <c r="U157" i="57" s="1"/>
  <c r="AL156" i="57"/>
  <c r="V156" i="57" s="1"/>
  <c r="AM155" i="57"/>
  <c r="W155" i="57" s="1"/>
  <c r="AM154" i="57"/>
  <c r="W154" i="57" s="1"/>
  <c r="AN153" i="57"/>
  <c r="X153" i="57" s="1"/>
  <c r="AO152" i="57"/>
  <c r="Y152" i="57" s="1"/>
  <c r="AO151" i="57"/>
  <c r="Y151" i="57" s="1"/>
  <c r="AP150" i="57"/>
  <c r="Z150" i="57" s="1"/>
  <c r="AK150" i="57"/>
  <c r="U150" i="57" s="1"/>
  <c r="AK149" i="57"/>
  <c r="U149" i="57" s="1"/>
  <c r="AL148" i="57"/>
  <c r="V148" i="57" s="1"/>
  <c r="AM147" i="57"/>
  <c r="W147" i="57" s="1"/>
  <c r="AP222" i="57"/>
  <c r="Z222" i="57" s="1"/>
  <c r="AO208" i="57"/>
  <c r="Y208" i="57" s="1"/>
  <c r="AO273" i="57"/>
  <c r="Y273" i="57" s="1"/>
  <c r="AK273" i="57"/>
  <c r="U273" i="57" s="1"/>
  <c r="AM272" i="57"/>
  <c r="W272" i="57" s="1"/>
  <c r="AO271" i="57"/>
  <c r="Y271" i="57" s="1"/>
  <c r="AK271" i="57"/>
  <c r="U271" i="57" s="1"/>
  <c r="AM270" i="57"/>
  <c r="W270" i="57" s="1"/>
  <c r="AO269" i="57"/>
  <c r="Y269" i="57" s="1"/>
  <c r="AK269" i="57"/>
  <c r="U269" i="57" s="1"/>
  <c r="AM268" i="57"/>
  <c r="W268" i="57" s="1"/>
  <c r="AO267" i="57"/>
  <c r="Y267" i="57" s="1"/>
  <c r="AK267" i="57"/>
  <c r="U267" i="57" s="1"/>
  <c r="AM266" i="57"/>
  <c r="W266" i="57" s="1"/>
  <c r="AO265" i="57"/>
  <c r="Y265" i="57" s="1"/>
  <c r="AK265" i="57"/>
  <c r="U265" i="57" s="1"/>
  <c r="AM264" i="57"/>
  <c r="W264" i="57" s="1"/>
  <c r="AO263" i="57"/>
  <c r="Y263" i="57" s="1"/>
  <c r="AK263" i="57"/>
  <c r="U263" i="57" s="1"/>
  <c r="AM262" i="57"/>
  <c r="W262" i="57" s="1"/>
  <c r="AO261" i="57"/>
  <c r="Y261" i="57" s="1"/>
  <c r="AK261" i="57"/>
  <c r="U261" i="57" s="1"/>
  <c r="AM260" i="57"/>
  <c r="W260" i="57" s="1"/>
  <c r="AO259" i="57"/>
  <c r="Y259" i="57" s="1"/>
  <c r="AK259" i="57"/>
  <c r="U259" i="57" s="1"/>
  <c r="AM258" i="57"/>
  <c r="W258" i="57" s="1"/>
  <c r="AO257" i="57"/>
  <c r="Y257" i="57" s="1"/>
  <c r="AK257" i="57"/>
  <c r="U257" i="57" s="1"/>
  <c r="AM256" i="57"/>
  <c r="W256" i="57" s="1"/>
  <c r="AO255" i="57"/>
  <c r="Y255" i="57" s="1"/>
  <c r="AK255" i="57"/>
  <c r="U255" i="57" s="1"/>
  <c r="AM254" i="57"/>
  <c r="W254" i="57" s="1"/>
  <c r="AM253" i="57"/>
  <c r="W253" i="57" s="1"/>
  <c r="AN252" i="57"/>
  <c r="X252" i="57" s="1"/>
  <c r="AO251" i="57"/>
  <c r="Y251" i="57" s="1"/>
  <c r="AO250" i="57"/>
  <c r="Y250" i="57" s="1"/>
  <c r="AP249" i="57"/>
  <c r="Z249" i="57" s="1"/>
  <c r="AK249" i="57"/>
  <c r="U249" i="57" s="1"/>
  <c r="AK248" i="57"/>
  <c r="U248" i="57" s="1"/>
  <c r="AL247" i="57"/>
  <c r="V247" i="57" s="1"/>
  <c r="AM246" i="57"/>
  <c r="W246" i="57" s="1"/>
  <c r="AM245" i="57"/>
  <c r="W245" i="57" s="1"/>
  <c r="AN244" i="57"/>
  <c r="X244" i="57" s="1"/>
  <c r="AO243" i="57"/>
  <c r="Y243" i="57" s="1"/>
  <c r="AO242" i="57"/>
  <c r="Y242" i="57" s="1"/>
  <c r="AP241" i="57"/>
  <c r="Z241" i="57" s="1"/>
  <c r="AK241" i="57"/>
  <c r="U241" i="57" s="1"/>
  <c r="AK240" i="57"/>
  <c r="U240" i="57" s="1"/>
  <c r="AL239" i="57"/>
  <c r="V239" i="57" s="1"/>
  <c r="AM238" i="57"/>
  <c r="W238" i="57" s="1"/>
  <c r="AM237" i="57"/>
  <c r="W237" i="57" s="1"/>
  <c r="AN236" i="57"/>
  <c r="X236" i="57" s="1"/>
  <c r="AN317" i="57"/>
  <c r="X317" i="57" s="1"/>
  <c r="AP315" i="57"/>
  <c r="Z315" i="57" s="1"/>
  <c r="AL314" i="57"/>
  <c r="V314" i="57" s="1"/>
  <c r="AL312" i="57"/>
  <c r="V312" i="57" s="1"/>
  <c r="AN310" i="57"/>
  <c r="X310" i="57" s="1"/>
  <c r="AP308" i="57"/>
  <c r="Z308" i="57" s="1"/>
  <c r="AP306" i="57"/>
  <c r="Z306" i="57" s="1"/>
  <c r="AL305" i="57"/>
  <c r="V305" i="57" s="1"/>
  <c r="AN303" i="57"/>
  <c r="X303" i="57" s="1"/>
  <c r="AN301" i="57"/>
  <c r="X301" i="57" s="1"/>
  <c r="AP299" i="57"/>
  <c r="Z299" i="57" s="1"/>
  <c r="AL298" i="57"/>
  <c r="V298" i="57" s="1"/>
  <c r="AL296" i="57"/>
  <c r="V296" i="57" s="1"/>
  <c r="AN294" i="57"/>
  <c r="X294" i="57" s="1"/>
  <c r="AP292" i="57"/>
  <c r="Z292" i="57" s="1"/>
  <c r="AP290" i="57"/>
  <c r="Z290" i="57" s="1"/>
  <c r="AL289" i="57"/>
  <c r="V289" i="57" s="1"/>
  <c r="AN287" i="57"/>
  <c r="X287" i="57" s="1"/>
  <c r="AN285" i="57"/>
  <c r="X285" i="57" s="1"/>
  <c r="AP283" i="57"/>
  <c r="Z283" i="57" s="1"/>
  <c r="AL282" i="57"/>
  <c r="V282" i="57" s="1"/>
  <c r="AL280" i="57"/>
  <c r="V280" i="57" s="1"/>
  <c r="AL191" i="57"/>
  <c r="V191" i="57" s="1"/>
  <c r="AP191" i="57"/>
  <c r="Z191" i="57" s="1"/>
  <c r="AN192" i="57"/>
  <c r="X192" i="57" s="1"/>
  <c r="AL193" i="57"/>
  <c r="V193" i="57" s="1"/>
  <c r="AP193" i="57"/>
  <c r="Z193" i="57" s="1"/>
  <c r="AN194" i="57"/>
  <c r="X194" i="57" s="1"/>
  <c r="AL195" i="57"/>
  <c r="V195" i="57" s="1"/>
  <c r="AP195" i="57"/>
  <c r="Z195" i="57" s="1"/>
  <c r="AN196" i="57"/>
  <c r="X196" i="57" s="1"/>
  <c r="AL197" i="57"/>
  <c r="V197" i="57" s="1"/>
  <c r="AP197" i="57"/>
  <c r="Z197" i="57" s="1"/>
  <c r="AN198" i="57"/>
  <c r="X198" i="57" s="1"/>
  <c r="AL199" i="57"/>
  <c r="V199" i="57" s="1"/>
  <c r="AP199" i="57"/>
  <c r="Z199" i="57" s="1"/>
  <c r="AN200" i="57"/>
  <c r="X200" i="57" s="1"/>
  <c r="AL201" i="57"/>
  <c r="V201" i="57" s="1"/>
  <c r="AP201" i="57"/>
  <c r="Z201" i="57" s="1"/>
  <c r="AN202" i="57"/>
  <c r="X202" i="57" s="1"/>
  <c r="AL203" i="57"/>
  <c r="V203" i="57" s="1"/>
  <c r="AP203" i="57"/>
  <c r="Z203" i="57" s="1"/>
  <c r="AN204" i="57"/>
  <c r="X204" i="57" s="1"/>
  <c r="AL205" i="57"/>
  <c r="V205" i="57" s="1"/>
  <c r="AP205" i="57"/>
  <c r="Z205" i="57" s="1"/>
  <c r="AN206" i="57"/>
  <c r="X206" i="57" s="1"/>
  <c r="AL207" i="57"/>
  <c r="V207" i="57" s="1"/>
  <c r="AP207" i="57"/>
  <c r="Z207" i="57" s="1"/>
  <c r="AN208" i="57"/>
  <c r="X208" i="57" s="1"/>
  <c r="AL209" i="57"/>
  <c r="V209" i="57" s="1"/>
  <c r="AP209" i="57"/>
  <c r="Z209" i="57" s="1"/>
  <c r="AN210" i="57"/>
  <c r="X210" i="57" s="1"/>
  <c r="AL211" i="57"/>
  <c r="V211" i="57" s="1"/>
  <c r="AP211" i="57"/>
  <c r="Z211" i="57" s="1"/>
  <c r="AN212" i="57"/>
  <c r="X212" i="57" s="1"/>
  <c r="AL213" i="57"/>
  <c r="V213" i="57" s="1"/>
  <c r="AP213" i="57"/>
  <c r="Z213" i="57" s="1"/>
  <c r="AN214" i="57"/>
  <c r="X214" i="57" s="1"/>
  <c r="AL215" i="57"/>
  <c r="V215" i="57" s="1"/>
  <c r="AP215" i="57"/>
  <c r="Z215" i="57" s="1"/>
  <c r="AN216" i="57"/>
  <c r="X216" i="57" s="1"/>
  <c r="AL217" i="57"/>
  <c r="V217" i="57" s="1"/>
  <c r="AP217" i="57"/>
  <c r="Z217" i="57" s="1"/>
  <c r="AN218" i="57"/>
  <c r="X218" i="57" s="1"/>
  <c r="AL219" i="57"/>
  <c r="V219" i="57" s="1"/>
  <c r="AP219" i="57"/>
  <c r="Z219" i="57" s="1"/>
  <c r="AN220" i="57"/>
  <c r="X220" i="57" s="1"/>
  <c r="AL221" i="57"/>
  <c r="V221" i="57" s="1"/>
  <c r="AP221" i="57"/>
  <c r="Z221" i="57" s="1"/>
  <c r="AN222" i="57"/>
  <c r="X222" i="57" s="1"/>
  <c r="AL223" i="57"/>
  <c r="V223" i="57" s="1"/>
  <c r="AP223" i="57"/>
  <c r="Z223" i="57" s="1"/>
  <c r="AN224" i="57"/>
  <c r="X224" i="57" s="1"/>
  <c r="AL225" i="57"/>
  <c r="V225" i="57" s="1"/>
  <c r="AP225" i="57"/>
  <c r="Z225" i="57" s="1"/>
  <c r="AN226" i="57"/>
  <c r="X226" i="57" s="1"/>
  <c r="AL227" i="57"/>
  <c r="V227" i="57" s="1"/>
  <c r="AP227" i="57"/>
  <c r="Z227" i="57" s="1"/>
  <c r="AK191" i="57"/>
  <c r="U191" i="57" s="1"/>
  <c r="AK192" i="57"/>
  <c r="U192" i="57" s="1"/>
  <c r="AP192" i="57"/>
  <c r="Z192" i="57" s="1"/>
  <c r="AO193" i="57"/>
  <c r="Y193" i="57" s="1"/>
  <c r="AO194" i="57"/>
  <c r="Y194" i="57" s="1"/>
  <c r="AN195" i="57"/>
  <c r="X195" i="57" s="1"/>
  <c r="AM196" i="57"/>
  <c r="W196" i="57" s="1"/>
  <c r="AM197" i="57"/>
  <c r="W197" i="57" s="1"/>
  <c r="AL198" i="57"/>
  <c r="V198" i="57" s="1"/>
  <c r="AK199" i="57"/>
  <c r="U199" i="57" s="1"/>
  <c r="AK200" i="57"/>
  <c r="U200" i="57" s="1"/>
  <c r="AP200" i="57"/>
  <c r="Z200" i="57" s="1"/>
  <c r="AO201" i="57"/>
  <c r="Y201" i="57" s="1"/>
  <c r="AO202" i="57"/>
  <c r="Y202" i="57" s="1"/>
  <c r="AN203" i="57"/>
  <c r="X203" i="57" s="1"/>
  <c r="AM204" i="57"/>
  <c r="W204" i="57" s="1"/>
  <c r="AM205" i="57"/>
  <c r="W205" i="57" s="1"/>
  <c r="AL206" i="57"/>
  <c r="V206" i="57" s="1"/>
  <c r="AK207" i="57"/>
  <c r="U207" i="57" s="1"/>
  <c r="AK208" i="57"/>
  <c r="U208" i="57" s="1"/>
  <c r="AP208" i="57"/>
  <c r="Z208" i="57" s="1"/>
  <c r="AO209" i="57"/>
  <c r="Y209" i="57" s="1"/>
  <c r="AO210" i="57"/>
  <c r="Y210" i="57" s="1"/>
  <c r="AN211" i="57"/>
  <c r="X211" i="57" s="1"/>
  <c r="AM212" i="57"/>
  <c r="W212" i="57" s="1"/>
  <c r="AM213" i="57"/>
  <c r="W213" i="57" s="1"/>
  <c r="AL214" i="57"/>
  <c r="V214" i="57" s="1"/>
  <c r="AK215" i="57"/>
  <c r="U215" i="57" s="1"/>
  <c r="AK216" i="57"/>
  <c r="U216" i="57" s="1"/>
  <c r="AP216" i="57"/>
  <c r="Z216" i="57" s="1"/>
  <c r="AO217" i="57"/>
  <c r="Y217" i="57" s="1"/>
  <c r="AO218" i="57"/>
  <c r="Y218" i="57" s="1"/>
  <c r="AN219" i="57"/>
  <c r="X219" i="57" s="1"/>
  <c r="AM220" i="57"/>
  <c r="W220" i="57" s="1"/>
  <c r="AM221" i="57"/>
  <c r="W221" i="57" s="1"/>
  <c r="AL222" i="57"/>
  <c r="V222" i="57" s="1"/>
  <c r="AK223" i="57"/>
  <c r="U223" i="57" s="1"/>
  <c r="AK224" i="57"/>
  <c r="U224" i="57" s="1"/>
  <c r="AP224" i="57"/>
  <c r="Z224" i="57" s="1"/>
  <c r="AO225" i="57"/>
  <c r="Y225" i="57" s="1"/>
  <c r="AO226" i="57"/>
  <c r="Y226" i="57" s="1"/>
  <c r="AN227" i="57"/>
  <c r="X227" i="57" s="1"/>
  <c r="AM228" i="57"/>
  <c r="W228" i="57" s="1"/>
  <c r="AN191" i="57"/>
  <c r="X191" i="57" s="1"/>
  <c r="AM192" i="57"/>
  <c r="W192" i="57" s="1"/>
  <c r="AM193" i="57"/>
  <c r="W193" i="57" s="1"/>
  <c r="AL194" i="57"/>
  <c r="V194" i="57" s="1"/>
  <c r="AK195" i="57"/>
  <c r="U195" i="57" s="1"/>
  <c r="AK196" i="57"/>
  <c r="U196" i="57" s="1"/>
  <c r="AP196" i="57"/>
  <c r="Z196" i="57" s="1"/>
  <c r="AO197" i="57"/>
  <c r="Y197" i="57" s="1"/>
  <c r="AO198" i="57"/>
  <c r="Y198" i="57" s="1"/>
  <c r="AN199" i="57"/>
  <c r="X199" i="57" s="1"/>
  <c r="AM200" i="57"/>
  <c r="W200" i="57" s="1"/>
  <c r="AM201" i="57"/>
  <c r="W201" i="57" s="1"/>
  <c r="AL202" i="57"/>
  <c r="V202" i="57" s="1"/>
  <c r="AK203" i="57"/>
  <c r="U203" i="57" s="1"/>
  <c r="AK204" i="57"/>
  <c r="U204" i="57" s="1"/>
  <c r="AP204" i="57"/>
  <c r="Z204" i="57" s="1"/>
  <c r="AO205" i="57"/>
  <c r="Y205" i="57" s="1"/>
  <c r="AO206" i="57"/>
  <c r="Y206" i="57" s="1"/>
  <c r="AN207" i="57"/>
  <c r="X207" i="57" s="1"/>
  <c r="AM208" i="57"/>
  <c r="W208" i="57" s="1"/>
  <c r="AM209" i="57"/>
  <c r="W209" i="57" s="1"/>
  <c r="AL210" i="57"/>
  <c r="V210" i="57" s="1"/>
  <c r="AK211" i="57"/>
  <c r="U211" i="57" s="1"/>
  <c r="AK212" i="57"/>
  <c r="U212" i="57" s="1"/>
  <c r="AP212" i="57"/>
  <c r="Z212" i="57" s="1"/>
  <c r="AO213" i="57"/>
  <c r="Y213" i="57" s="1"/>
  <c r="AO214" i="57"/>
  <c r="Y214" i="57" s="1"/>
  <c r="AN215" i="57"/>
  <c r="X215" i="57" s="1"/>
  <c r="AM216" i="57"/>
  <c r="W216" i="57" s="1"/>
  <c r="AM217" i="57"/>
  <c r="W217" i="57" s="1"/>
  <c r="AL218" i="57"/>
  <c r="V218" i="57" s="1"/>
  <c r="AK219" i="57"/>
  <c r="U219" i="57" s="1"/>
  <c r="AK220" i="57"/>
  <c r="U220" i="57" s="1"/>
  <c r="AP220" i="57"/>
  <c r="Z220" i="57" s="1"/>
  <c r="AO221" i="57"/>
  <c r="Y221" i="57" s="1"/>
  <c r="AO222" i="57"/>
  <c r="Y222" i="57" s="1"/>
  <c r="AN223" i="57"/>
  <c r="X223" i="57" s="1"/>
  <c r="AM224" i="57"/>
  <c r="W224" i="57" s="1"/>
  <c r="AM225" i="57"/>
  <c r="W225" i="57" s="1"/>
  <c r="AL226" i="57"/>
  <c r="V226" i="57" s="1"/>
  <c r="AK227" i="57"/>
  <c r="U227" i="57" s="1"/>
  <c r="AK228" i="57"/>
  <c r="U228" i="57" s="1"/>
  <c r="AO228" i="57"/>
  <c r="Y228" i="57" s="1"/>
  <c r="AM191" i="57"/>
  <c r="W191" i="57" s="1"/>
  <c r="AK193" i="57"/>
  <c r="U193" i="57" s="1"/>
  <c r="AP194" i="57"/>
  <c r="Z194" i="57" s="1"/>
  <c r="AO196" i="57"/>
  <c r="Y196" i="57" s="1"/>
  <c r="AM198" i="57"/>
  <c r="W198" i="57" s="1"/>
  <c r="AL200" i="57"/>
  <c r="V200" i="57" s="1"/>
  <c r="AK202" i="57"/>
  <c r="U202" i="57" s="1"/>
  <c r="AO203" i="57"/>
  <c r="Y203" i="57" s="1"/>
  <c r="AN205" i="57"/>
  <c r="X205" i="57" s="1"/>
  <c r="AM207" i="57"/>
  <c r="W207" i="57" s="1"/>
  <c r="AK209" i="57"/>
  <c r="U209" i="57" s="1"/>
  <c r="AP210" i="57"/>
  <c r="Z210" i="57" s="1"/>
  <c r="AO212" i="57"/>
  <c r="Y212" i="57" s="1"/>
  <c r="AM214" i="57"/>
  <c r="W214" i="57" s="1"/>
  <c r="AL216" i="57"/>
  <c r="V216" i="57" s="1"/>
  <c r="AK218" i="57"/>
  <c r="U218" i="57" s="1"/>
  <c r="AO219" i="57"/>
  <c r="Y219" i="57" s="1"/>
  <c r="AN221" i="57"/>
  <c r="X221" i="57" s="1"/>
  <c r="AM223" i="57"/>
  <c r="W223" i="57" s="1"/>
  <c r="AK225" i="57"/>
  <c r="U225" i="57" s="1"/>
  <c r="AP226" i="57"/>
  <c r="Z226" i="57" s="1"/>
  <c r="AN228" i="57"/>
  <c r="X228" i="57" s="1"/>
  <c r="AL192" i="57"/>
  <c r="V192" i="57" s="1"/>
  <c r="AK194" i="57"/>
  <c r="U194" i="57" s="1"/>
  <c r="AO195" i="57"/>
  <c r="Y195" i="57" s="1"/>
  <c r="AN197" i="57"/>
  <c r="X197" i="57" s="1"/>
  <c r="AM199" i="57"/>
  <c r="W199" i="57" s="1"/>
  <c r="AK201" i="57"/>
  <c r="U201" i="57" s="1"/>
  <c r="AP202" i="57"/>
  <c r="Z202" i="57" s="1"/>
  <c r="AO204" i="57"/>
  <c r="Y204" i="57" s="1"/>
  <c r="AM206" i="57"/>
  <c r="W206" i="57" s="1"/>
  <c r="AL208" i="57"/>
  <c r="V208" i="57" s="1"/>
  <c r="AK210" i="57"/>
  <c r="U210" i="57" s="1"/>
  <c r="AO211" i="57"/>
  <c r="Y211" i="57" s="1"/>
  <c r="AN213" i="57"/>
  <c r="X213" i="57" s="1"/>
  <c r="AM215" i="57"/>
  <c r="W215" i="57" s="1"/>
  <c r="AK217" i="57"/>
  <c r="U217" i="57" s="1"/>
  <c r="AP218" i="57"/>
  <c r="Z218" i="57" s="1"/>
  <c r="AO220" i="57"/>
  <c r="Y220" i="57" s="1"/>
  <c r="AM222" i="57"/>
  <c r="W222" i="57" s="1"/>
  <c r="AL224" i="57"/>
  <c r="V224" i="57" s="1"/>
  <c r="AK226" i="57"/>
  <c r="U226" i="57" s="1"/>
  <c r="AO227" i="57"/>
  <c r="Y227" i="57" s="1"/>
  <c r="D45" i="49"/>
  <c r="D29" i="49"/>
  <c r="E254" i="49"/>
  <c r="E238" i="49"/>
  <c r="AM11" i="57"/>
  <c r="W11" i="57" s="1"/>
  <c r="AK12" i="57"/>
  <c r="U12" i="57" s="1"/>
  <c r="AO12" i="57"/>
  <c r="Y12" i="57" s="1"/>
  <c r="AM13" i="57"/>
  <c r="W13" i="57" s="1"/>
  <c r="AK14" i="57"/>
  <c r="U14" i="57" s="1"/>
  <c r="AO14" i="57"/>
  <c r="Y14" i="57" s="1"/>
  <c r="AM15" i="57"/>
  <c r="W15" i="57" s="1"/>
  <c r="AK16" i="57"/>
  <c r="U16" i="57" s="1"/>
  <c r="AO16" i="57"/>
  <c r="Y16" i="57" s="1"/>
  <c r="AM17" i="57"/>
  <c r="W17" i="57" s="1"/>
  <c r="AK18" i="57"/>
  <c r="U18" i="57" s="1"/>
  <c r="AO18" i="57"/>
  <c r="Y18" i="57" s="1"/>
  <c r="AM19" i="57"/>
  <c r="W19" i="57" s="1"/>
  <c r="AK20" i="57"/>
  <c r="U20" i="57" s="1"/>
  <c r="AO20" i="57"/>
  <c r="Y20" i="57" s="1"/>
  <c r="AM21" i="57"/>
  <c r="W21" i="57" s="1"/>
  <c r="AK22" i="57"/>
  <c r="U22" i="57" s="1"/>
  <c r="AO22" i="57"/>
  <c r="Y22" i="57" s="1"/>
  <c r="AM23" i="57"/>
  <c r="W23" i="57" s="1"/>
  <c r="AK24" i="57"/>
  <c r="U24" i="57" s="1"/>
  <c r="AO24" i="57"/>
  <c r="Y24" i="57" s="1"/>
  <c r="AM25" i="57"/>
  <c r="W25" i="57" s="1"/>
  <c r="AK26" i="57"/>
  <c r="U26" i="57" s="1"/>
  <c r="AO26" i="57"/>
  <c r="Y26" i="57" s="1"/>
  <c r="AM27" i="57"/>
  <c r="W27" i="57" s="1"/>
  <c r="AK28" i="57"/>
  <c r="U28" i="57" s="1"/>
  <c r="AO28" i="57"/>
  <c r="Y28" i="57" s="1"/>
  <c r="AM29" i="57"/>
  <c r="W29" i="57" s="1"/>
  <c r="AK30" i="57"/>
  <c r="U30" i="57" s="1"/>
  <c r="AO30" i="57"/>
  <c r="Y30" i="57" s="1"/>
  <c r="AM31" i="57"/>
  <c r="W31" i="57" s="1"/>
  <c r="AK32" i="57"/>
  <c r="U32" i="57" s="1"/>
  <c r="AO32" i="57"/>
  <c r="Y32" i="57" s="1"/>
  <c r="AM33" i="57"/>
  <c r="W33" i="57" s="1"/>
  <c r="AK34" i="57"/>
  <c r="U34" i="57" s="1"/>
  <c r="AO34" i="57"/>
  <c r="Y34" i="57" s="1"/>
  <c r="AM35" i="57"/>
  <c r="W35" i="57" s="1"/>
  <c r="AK36" i="57"/>
  <c r="U36" i="57" s="1"/>
  <c r="AO36" i="57"/>
  <c r="Y36" i="57" s="1"/>
  <c r="AM37" i="57"/>
  <c r="W37" i="57" s="1"/>
  <c r="AK38" i="57"/>
  <c r="U38" i="57" s="1"/>
  <c r="AO38" i="57"/>
  <c r="Y38" i="57" s="1"/>
  <c r="AM39" i="57"/>
  <c r="W39" i="57" s="1"/>
  <c r="AK40" i="57"/>
  <c r="U40" i="57" s="1"/>
  <c r="AO40" i="57"/>
  <c r="Y40" i="57" s="1"/>
  <c r="AM41" i="57"/>
  <c r="W41" i="57" s="1"/>
  <c r="AK42" i="57"/>
  <c r="U42" i="57" s="1"/>
  <c r="AO42" i="57"/>
  <c r="Y42" i="57" s="1"/>
  <c r="AM43" i="57"/>
  <c r="W43" i="57" s="1"/>
  <c r="AK44" i="57"/>
  <c r="U44" i="57" s="1"/>
  <c r="AO44" i="57"/>
  <c r="Y44" i="57" s="1"/>
  <c r="AM45" i="57"/>
  <c r="W45" i="57" s="1"/>
  <c r="AK46" i="57"/>
  <c r="U46" i="57" s="1"/>
  <c r="AO46" i="57"/>
  <c r="Y46" i="57" s="1"/>
  <c r="AM47" i="57"/>
  <c r="W47" i="57" s="1"/>
  <c r="AK48" i="57"/>
  <c r="U48" i="57" s="1"/>
  <c r="AO48" i="57"/>
  <c r="Y48" i="57" s="1"/>
  <c r="AP228" i="57"/>
  <c r="Z228" i="57" s="1"/>
  <c r="AN225" i="57"/>
  <c r="X225" i="57" s="1"/>
  <c r="AK222" i="57"/>
  <c r="U222" i="57" s="1"/>
  <c r="AM218" i="57"/>
  <c r="W218" i="57" s="1"/>
  <c r="AP214" i="57"/>
  <c r="Z214" i="57" s="1"/>
  <c r="AM211" i="57"/>
  <c r="W211" i="57" s="1"/>
  <c r="AO207" i="57"/>
  <c r="Y207" i="57" s="1"/>
  <c r="AL204" i="57"/>
  <c r="V204" i="57" s="1"/>
  <c r="AO200" i="57"/>
  <c r="Y200" i="57" s="1"/>
  <c r="AK197" i="57"/>
  <c r="U197" i="57" s="1"/>
  <c r="AN193" i="57"/>
  <c r="X193" i="57" s="1"/>
  <c r="AL228" i="57"/>
  <c r="V228" i="57" s="1"/>
  <c r="AO224" i="57"/>
  <c r="Y224" i="57" s="1"/>
  <c r="AK221" i="57"/>
  <c r="U221" i="57" s="1"/>
  <c r="AN217" i="57"/>
  <c r="X217" i="57" s="1"/>
  <c r="AK214" i="57"/>
  <c r="U214" i="57" s="1"/>
  <c r="AM210" i="57"/>
  <c r="W210" i="57" s="1"/>
  <c r="AP206" i="57"/>
  <c r="Z206" i="57" s="1"/>
  <c r="AM203" i="57"/>
  <c r="W203" i="57" s="1"/>
  <c r="AO199" i="57"/>
  <c r="Y199" i="57" s="1"/>
  <c r="AL196" i="57"/>
  <c r="V196" i="57" s="1"/>
  <c r="E292" i="49"/>
  <c r="E244" i="49"/>
  <c r="AN48" i="57"/>
  <c r="X48" i="57" s="1"/>
  <c r="AO47" i="57"/>
  <c r="Y47" i="57" s="1"/>
  <c r="AP46" i="57"/>
  <c r="Z46" i="57" s="1"/>
  <c r="AP45" i="57"/>
  <c r="Z45" i="57" s="1"/>
  <c r="AK45" i="57"/>
  <c r="U45" i="57" s="1"/>
  <c r="AL44" i="57"/>
  <c r="V44" i="57" s="1"/>
  <c r="AL43" i="57"/>
  <c r="V43" i="57" s="1"/>
  <c r="AM42" i="57"/>
  <c r="W42" i="57" s="1"/>
  <c r="AN41" i="57"/>
  <c r="X41" i="57" s="1"/>
  <c r="AN40" i="57"/>
  <c r="X40" i="57" s="1"/>
  <c r="AO39" i="57"/>
  <c r="Y39" i="57" s="1"/>
  <c r="AP38" i="57"/>
  <c r="Z38" i="57" s="1"/>
  <c r="AP37" i="57"/>
  <c r="Z37" i="57" s="1"/>
  <c r="AK37" i="57"/>
  <c r="U37" i="57" s="1"/>
  <c r="AL36" i="57"/>
  <c r="V36" i="57" s="1"/>
  <c r="AL35" i="57"/>
  <c r="V35" i="57" s="1"/>
  <c r="AM34" i="57"/>
  <c r="W34" i="57" s="1"/>
  <c r="AN33" i="57"/>
  <c r="X33" i="57" s="1"/>
  <c r="AN32" i="57"/>
  <c r="X32" i="57" s="1"/>
  <c r="AO31" i="57"/>
  <c r="Y31" i="57" s="1"/>
  <c r="AP30" i="57"/>
  <c r="Z30" i="57" s="1"/>
  <c r="AP29" i="57"/>
  <c r="Z29" i="57" s="1"/>
  <c r="AK29" i="57"/>
  <c r="U29" i="57" s="1"/>
  <c r="AL28" i="57"/>
  <c r="V28" i="57" s="1"/>
  <c r="AL27" i="57"/>
  <c r="V27" i="57" s="1"/>
  <c r="AM26" i="57"/>
  <c r="W26" i="57" s="1"/>
  <c r="AN25" i="57"/>
  <c r="X25" i="57" s="1"/>
  <c r="AN24" i="57"/>
  <c r="X24" i="57" s="1"/>
  <c r="AO23" i="57"/>
  <c r="Y23" i="57" s="1"/>
  <c r="AP22" i="57"/>
  <c r="Z22" i="57" s="1"/>
  <c r="AP21" i="57"/>
  <c r="Z21" i="57" s="1"/>
  <c r="AK21" i="57"/>
  <c r="U21" i="57" s="1"/>
  <c r="AL20" i="57"/>
  <c r="V20" i="57" s="1"/>
  <c r="AL19" i="57"/>
  <c r="V19" i="57" s="1"/>
  <c r="AM18" i="57"/>
  <c r="W18" i="57" s="1"/>
  <c r="AN17" i="57"/>
  <c r="X17" i="57" s="1"/>
  <c r="AN16" i="57"/>
  <c r="X16" i="57" s="1"/>
  <c r="AO15" i="57"/>
  <c r="Y15" i="57" s="1"/>
  <c r="AP14" i="57"/>
  <c r="Z14" i="57" s="1"/>
  <c r="AP13" i="57"/>
  <c r="Z13" i="57" s="1"/>
  <c r="AK13" i="57"/>
  <c r="U13" i="57" s="1"/>
  <c r="AL12" i="57"/>
  <c r="V12" i="57" s="1"/>
  <c r="AL11" i="57"/>
  <c r="V11" i="57" s="1"/>
  <c r="AM227" i="57"/>
  <c r="W227" i="57" s="1"/>
  <c r="AO223" i="57"/>
  <c r="Y223" i="57" s="1"/>
  <c r="AL220" i="57"/>
  <c r="V220" i="57" s="1"/>
  <c r="AO216" i="57"/>
  <c r="Y216" i="57" s="1"/>
  <c r="AK213" i="57"/>
  <c r="U213" i="57" s="1"/>
  <c r="AN209" i="57"/>
  <c r="X209" i="57" s="1"/>
  <c r="AK206" i="57"/>
  <c r="U206" i="57" s="1"/>
  <c r="AM202" i="57"/>
  <c r="W202" i="57" s="1"/>
  <c r="AP198" i="57"/>
  <c r="Z198" i="57" s="1"/>
  <c r="AM195" i="57"/>
  <c r="W195" i="57" s="1"/>
  <c r="AO191" i="57"/>
  <c r="Y191" i="57" s="1"/>
  <c r="AM103" i="57"/>
  <c r="W103" i="57" s="1"/>
  <c r="AK104" i="57"/>
  <c r="U104" i="57" s="1"/>
  <c r="AO104" i="57"/>
  <c r="Y104" i="57" s="1"/>
  <c r="AM105" i="57"/>
  <c r="W105" i="57" s="1"/>
  <c r="AK106" i="57"/>
  <c r="U106" i="57" s="1"/>
  <c r="AO106" i="57"/>
  <c r="Y106" i="57" s="1"/>
  <c r="AM107" i="57"/>
  <c r="W107" i="57" s="1"/>
  <c r="AK108" i="57"/>
  <c r="U108" i="57" s="1"/>
  <c r="AO108" i="57"/>
  <c r="Y108" i="57" s="1"/>
  <c r="AM109" i="57"/>
  <c r="W109" i="57" s="1"/>
  <c r="AK110" i="57"/>
  <c r="U110" i="57" s="1"/>
  <c r="AO110" i="57"/>
  <c r="Y110" i="57" s="1"/>
  <c r="AM111" i="57"/>
  <c r="W111" i="57" s="1"/>
  <c r="AK112" i="57"/>
  <c r="U112" i="57" s="1"/>
  <c r="AO112" i="57"/>
  <c r="Y112" i="57" s="1"/>
  <c r="AM113" i="57"/>
  <c r="W113" i="57" s="1"/>
  <c r="AK114" i="57"/>
  <c r="U114" i="57" s="1"/>
  <c r="AO114" i="57"/>
  <c r="Y114" i="57" s="1"/>
  <c r="AM115" i="57"/>
  <c r="W115" i="57" s="1"/>
  <c r="AK116" i="57"/>
  <c r="U116" i="57" s="1"/>
  <c r="AO116" i="57"/>
  <c r="Y116" i="57" s="1"/>
  <c r="AM117" i="57"/>
  <c r="W117" i="57" s="1"/>
  <c r="AK118" i="57"/>
  <c r="U118" i="57" s="1"/>
  <c r="AO118" i="57"/>
  <c r="Y118" i="57" s="1"/>
  <c r="AM119" i="57"/>
  <c r="W119" i="57" s="1"/>
  <c r="AK120" i="57"/>
  <c r="U120" i="57" s="1"/>
  <c r="AO120" i="57"/>
  <c r="Y120" i="57" s="1"/>
  <c r="AM121" i="57"/>
  <c r="W121" i="57" s="1"/>
  <c r="AK122" i="57"/>
  <c r="U122" i="57" s="1"/>
  <c r="AO122" i="57"/>
  <c r="Y122" i="57" s="1"/>
  <c r="AM123" i="57"/>
  <c r="W123" i="57" s="1"/>
  <c r="AK124" i="57"/>
  <c r="U124" i="57" s="1"/>
  <c r="AO124" i="57"/>
  <c r="Y124" i="57" s="1"/>
  <c r="AM125" i="57"/>
  <c r="W125" i="57" s="1"/>
  <c r="AK126" i="57"/>
  <c r="U126" i="57" s="1"/>
  <c r="AO126" i="57"/>
  <c r="Y126" i="57" s="1"/>
  <c r="AM127" i="57"/>
  <c r="W127" i="57" s="1"/>
  <c r="AK128" i="57"/>
  <c r="U128" i="57" s="1"/>
  <c r="AO128" i="57"/>
  <c r="Y128" i="57" s="1"/>
  <c r="AM129" i="57"/>
  <c r="W129" i="57" s="1"/>
  <c r="AK130" i="57"/>
  <c r="U130" i="57" s="1"/>
  <c r="AO130" i="57"/>
  <c r="Y130" i="57" s="1"/>
  <c r="AK103" i="57"/>
  <c r="U103" i="57" s="1"/>
  <c r="AO103" i="57"/>
  <c r="Y103" i="57" s="1"/>
  <c r="AM104" i="57"/>
  <c r="W104" i="57" s="1"/>
  <c r="AK105" i="57"/>
  <c r="U105" i="57" s="1"/>
  <c r="AO105" i="57"/>
  <c r="Y105" i="57" s="1"/>
  <c r="AM106" i="57"/>
  <c r="W106" i="57" s="1"/>
  <c r="AK107" i="57"/>
  <c r="U107" i="57" s="1"/>
  <c r="AO107" i="57"/>
  <c r="Y107" i="57" s="1"/>
  <c r="AM108" i="57"/>
  <c r="W108" i="57" s="1"/>
  <c r="AK109" i="57"/>
  <c r="U109" i="57" s="1"/>
  <c r="AO109" i="57"/>
  <c r="Y109" i="57" s="1"/>
  <c r="AM110" i="57"/>
  <c r="W110" i="57" s="1"/>
  <c r="AK111" i="57"/>
  <c r="U111" i="57" s="1"/>
  <c r="AO111" i="57"/>
  <c r="Y111" i="57" s="1"/>
  <c r="AM112" i="57"/>
  <c r="W112" i="57" s="1"/>
  <c r="AK113" i="57"/>
  <c r="U113" i="57" s="1"/>
  <c r="AO113" i="57"/>
  <c r="Y113" i="57" s="1"/>
  <c r="AM114" i="57"/>
  <c r="W114" i="57" s="1"/>
  <c r="AK115" i="57"/>
  <c r="U115" i="57" s="1"/>
  <c r="AO115" i="57"/>
  <c r="Y115" i="57" s="1"/>
  <c r="AM116" i="57"/>
  <c r="W116" i="57" s="1"/>
  <c r="AK117" i="57"/>
  <c r="U117" i="57" s="1"/>
  <c r="AO117" i="57"/>
  <c r="Y117" i="57" s="1"/>
  <c r="AM118" i="57"/>
  <c r="W118" i="57" s="1"/>
  <c r="AK119" i="57"/>
  <c r="U119" i="57" s="1"/>
  <c r="AO119" i="57"/>
  <c r="Y119" i="57" s="1"/>
  <c r="AM120" i="57"/>
  <c r="W120" i="57" s="1"/>
  <c r="AK121" i="57"/>
  <c r="U121" i="57" s="1"/>
  <c r="AO121" i="57"/>
  <c r="Y121" i="57" s="1"/>
  <c r="AM122" i="57"/>
  <c r="W122" i="57" s="1"/>
  <c r="AK123" i="57"/>
  <c r="U123" i="57" s="1"/>
  <c r="AO123" i="57"/>
  <c r="Y123" i="57" s="1"/>
  <c r="AM124" i="57"/>
  <c r="W124" i="57" s="1"/>
  <c r="AK125" i="57"/>
  <c r="U125" i="57" s="1"/>
  <c r="AO125" i="57"/>
  <c r="Y125" i="57" s="1"/>
  <c r="AM126" i="57"/>
  <c r="W126" i="57" s="1"/>
  <c r="AK127" i="57"/>
  <c r="U127" i="57" s="1"/>
  <c r="AO127" i="57"/>
  <c r="Y127" i="57" s="1"/>
  <c r="AM128" i="57"/>
  <c r="W128" i="57" s="1"/>
  <c r="AK129" i="57"/>
  <c r="U129" i="57" s="1"/>
  <c r="AO129" i="57"/>
  <c r="Y129" i="57" s="1"/>
  <c r="AM130" i="57"/>
  <c r="W130" i="57" s="1"/>
  <c r="AK131" i="57"/>
  <c r="U131" i="57" s="1"/>
  <c r="AO131" i="57"/>
  <c r="Y131" i="57" s="1"/>
  <c r="AM132" i="57"/>
  <c r="W132" i="57" s="1"/>
  <c r="AK133" i="57"/>
  <c r="U133" i="57" s="1"/>
  <c r="AO133" i="57"/>
  <c r="Y133" i="57" s="1"/>
  <c r="AM134" i="57"/>
  <c r="W134" i="57" s="1"/>
  <c r="AK135" i="57"/>
  <c r="U135" i="57" s="1"/>
  <c r="AO135" i="57"/>
  <c r="Y135" i="57" s="1"/>
  <c r="AM136" i="57"/>
  <c r="W136" i="57" s="1"/>
  <c r="AK137" i="57"/>
  <c r="U137" i="57" s="1"/>
  <c r="AO137" i="57"/>
  <c r="Y137" i="57" s="1"/>
  <c r="AM138" i="57"/>
  <c r="W138" i="57" s="1"/>
  <c r="AK139" i="57"/>
  <c r="U139" i="57" s="1"/>
  <c r="AO139" i="57"/>
  <c r="Y139" i="57" s="1"/>
  <c r="AM140" i="57"/>
  <c r="W140" i="57" s="1"/>
  <c r="AL140" i="57"/>
  <c r="V140" i="57" s="1"/>
  <c r="AM139" i="57"/>
  <c r="W139" i="57" s="1"/>
  <c r="AN138" i="57"/>
  <c r="X138" i="57" s="1"/>
  <c r="AN137" i="57"/>
  <c r="X137" i="57" s="1"/>
  <c r="AO136" i="57"/>
  <c r="Y136" i="57" s="1"/>
  <c r="AP135" i="57"/>
  <c r="Z135" i="57" s="1"/>
  <c r="AP134" i="57"/>
  <c r="Z134" i="57" s="1"/>
  <c r="AK134" i="57"/>
  <c r="U134" i="57" s="1"/>
  <c r="AL133" i="57"/>
  <c r="V133" i="57" s="1"/>
  <c r="AL132" i="57"/>
  <c r="V132" i="57" s="1"/>
  <c r="AM131" i="57"/>
  <c r="W131" i="57" s="1"/>
  <c r="AL130" i="57"/>
  <c r="V130" i="57" s="1"/>
  <c r="AP128" i="57"/>
  <c r="Z128" i="57" s="1"/>
  <c r="AN127" i="57"/>
  <c r="X127" i="57" s="1"/>
  <c r="AL126" i="57"/>
  <c r="V126" i="57" s="1"/>
  <c r="AP124" i="57"/>
  <c r="Z124" i="57" s="1"/>
  <c r="AN123" i="57"/>
  <c r="X123" i="57" s="1"/>
  <c r="AL122" i="57"/>
  <c r="V122" i="57" s="1"/>
  <c r="AP120" i="57"/>
  <c r="Z120" i="57" s="1"/>
  <c r="AN119" i="57"/>
  <c r="X119" i="57" s="1"/>
  <c r="AL118" i="57"/>
  <c r="V118" i="57" s="1"/>
  <c r="AP116" i="57"/>
  <c r="Z116" i="57" s="1"/>
  <c r="AN115" i="57"/>
  <c r="X115" i="57" s="1"/>
  <c r="AL114" i="57"/>
  <c r="V114" i="57" s="1"/>
  <c r="AP112" i="57"/>
  <c r="Z112" i="57" s="1"/>
  <c r="AN111" i="57"/>
  <c r="X111" i="57" s="1"/>
  <c r="AL110" i="57"/>
  <c r="V110" i="57" s="1"/>
  <c r="AP108" i="57"/>
  <c r="Z108" i="57" s="1"/>
  <c r="AN107" i="57"/>
  <c r="X107" i="57" s="1"/>
  <c r="AL106" i="57"/>
  <c r="V106" i="57" s="1"/>
  <c r="AP104" i="57"/>
  <c r="Z104" i="57" s="1"/>
  <c r="AN103" i="57"/>
  <c r="X103" i="57" s="1"/>
  <c r="AN184" i="57"/>
  <c r="X184" i="57" s="1"/>
  <c r="AP183" i="57"/>
  <c r="Z183" i="57" s="1"/>
  <c r="AL183" i="57"/>
  <c r="V183" i="57" s="1"/>
  <c r="AN182" i="57"/>
  <c r="X182" i="57" s="1"/>
  <c r="AP181" i="57"/>
  <c r="Z181" i="57" s="1"/>
  <c r="AL181" i="57"/>
  <c r="V181" i="57" s="1"/>
  <c r="AN180" i="57"/>
  <c r="X180" i="57" s="1"/>
  <c r="AP179" i="57"/>
  <c r="Z179" i="57" s="1"/>
  <c r="AL179" i="57"/>
  <c r="V179" i="57" s="1"/>
  <c r="AN178" i="57"/>
  <c r="X178" i="57" s="1"/>
  <c r="AP177" i="57"/>
  <c r="Z177" i="57" s="1"/>
  <c r="AL177" i="57"/>
  <c r="V177" i="57" s="1"/>
  <c r="AN176" i="57"/>
  <c r="X176" i="57" s="1"/>
  <c r="AP175" i="57"/>
  <c r="Z175" i="57" s="1"/>
  <c r="AL175" i="57"/>
  <c r="V175" i="57" s="1"/>
  <c r="AN174" i="57"/>
  <c r="X174" i="57" s="1"/>
  <c r="AP173" i="57"/>
  <c r="Z173" i="57" s="1"/>
  <c r="AL173" i="57"/>
  <c r="V173" i="57" s="1"/>
  <c r="AN172" i="57"/>
  <c r="X172" i="57" s="1"/>
  <c r="AP171" i="57"/>
  <c r="Z171" i="57" s="1"/>
  <c r="AL171" i="57"/>
  <c r="V171" i="57" s="1"/>
  <c r="AN170" i="57"/>
  <c r="X170" i="57" s="1"/>
  <c r="AP169" i="57"/>
  <c r="Z169" i="57" s="1"/>
  <c r="AL169" i="57"/>
  <c r="V169" i="57" s="1"/>
  <c r="AN168" i="57"/>
  <c r="X168" i="57" s="1"/>
  <c r="AP167" i="57"/>
  <c r="Z167" i="57" s="1"/>
  <c r="AL167" i="57"/>
  <c r="V167" i="57" s="1"/>
  <c r="AN166" i="57"/>
  <c r="X166" i="57" s="1"/>
  <c r="AP165" i="57"/>
  <c r="Z165" i="57" s="1"/>
  <c r="AL165" i="57"/>
  <c r="V165" i="57" s="1"/>
  <c r="AN164" i="57"/>
  <c r="X164" i="57" s="1"/>
  <c r="AP163" i="57"/>
  <c r="Z163" i="57" s="1"/>
  <c r="AL163" i="57"/>
  <c r="V163" i="57" s="1"/>
  <c r="AN162" i="57"/>
  <c r="X162" i="57" s="1"/>
  <c r="AP161" i="57"/>
  <c r="Z161" i="57" s="1"/>
  <c r="AL161" i="57"/>
  <c r="V161" i="57" s="1"/>
  <c r="AN160" i="57"/>
  <c r="X160" i="57" s="1"/>
  <c r="AP159" i="57"/>
  <c r="Z159" i="57" s="1"/>
  <c r="AL159" i="57"/>
  <c r="V159" i="57" s="1"/>
  <c r="AN158" i="57"/>
  <c r="X158" i="57" s="1"/>
  <c r="AP157" i="57"/>
  <c r="Z157" i="57" s="1"/>
  <c r="AL157" i="57"/>
  <c r="V157" i="57" s="1"/>
  <c r="AN156" i="57"/>
  <c r="X156" i="57" s="1"/>
  <c r="AP155" i="57"/>
  <c r="Z155" i="57" s="1"/>
  <c r="AL155" i="57"/>
  <c r="V155" i="57" s="1"/>
  <c r="AN154" i="57"/>
  <c r="X154" i="57" s="1"/>
  <c r="AP153" i="57"/>
  <c r="Z153" i="57" s="1"/>
  <c r="AL153" i="57"/>
  <c r="V153" i="57" s="1"/>
  <c r="AN152" i="57"/>
  <c r="X152" i="57" s="1"/>
  <c r="AP151" i="57"/>
  <c r="Z151" i="57" s="1"/>
  <c r="AL151" i="57"/>
  <c r="V151" i="57" s="1"/>
  <c r="AN150" i="57"/>
  <c r="X150" i="57" s="1"/>
  <c r="AP149" i="57"/>
  <c r="Z149" i="57" s="1"/>
  <c r="AL149" i="57"/>
  <c r="V149" i="57" s="1"/>
  <c r="AN148" i="57"/>
  <c r="X148" i="57" s="1"/>
  <c r="AP147" i="57"/>
  <c r="Z147" i="57" s="1"/>
  <c r="AP317" i="57"/>
  <c r="Z317" i="57" s="1"/>
  <c r="AN316" i="57"/>
  <c r="X316" i="57" s="1"/>
  <c r="AL315" i="57"/>
  <c r="V315" i="57" s="1"/>
  <c r="AP313" i="57"/>
  <c r="Z313" i="57" s="1"/>
  <c r="AN312" i="57"/>
  <c r="X312" i="57" s="1"/>
  <c r="AL311" i="57"/>
  <c r="V311" i="57" s="1"/>
  <c r="AP309" i="57"/>
  <c r="Z309" i="57" s="1"/>
  <c r="AN308" i="57"/>
  <c r="X308" i="57" s="1"/>
  <c r="AL307" i="57"/>
  <c r="V307" i="57" s="1"/>
  <c r="AP305" i="57"/>
  <c r="Z305" i="57" s="1"/>
  <c r="AN304" i="57"/>
  <c r="X304" i="57" s="1"/>
  <c r="AL303" i="57"/>
  <c r="V303" i="57" s="1"/>
  <c r="AP301" i="57"/>
  <c r="Z301" i="57" s="1"/>
  <c r="AN300" i="57"/>
  <c r="X300" i="57" s="1"/>
  <c r="AL299" i="57"/>
  <c r="V299" i="57" s="1"/>
  <c r="AP297" i="57"/>
  <c r="Z297" i="57" s="1"/>
  <c r="AN296" i="57"/>
  <c r="X296" i="57" s="1"/>
  <c r="AL295" i="57"/>
  <c r="V295" i="57" s="1"/>
  <c r="AP293" i="57"/>
  <c r="Z293" i="57" s="1"/>
  <c r="AN292" i="57"/>
  <c r="X292" i="57" s="1"/>
  <c r="AL291" i="57"/>
  <c r="V291" i="57" s="1"/>
  <c r="AP289" i="57"/>
  <c r="Z289" i="57" s="1"/>
  <c r="AN288" i="57"/>
  <c r="X288" i="57" s="1"/>
  <c r="AL287" i="57"/>
  <c r="V287" i="57" s="1"/>
  <c r="AP285" i="57"/>
  <c r="Z285" i="57" s="1"/>
  <c r="AN284" i="57"/>
  <c r="X284" i="57" s="1"/>
  <c r="AL283" i="57"/>
  <c r="V283" i="57" s="1"/>
  <c r="AP281" i="57"/>
  <c r="Z281" i="57" s="1"/>
  <c r="AK280" i="57"/>
  <c r="U280" i="57" s="1"/>
  <c r="AO280" i="57"/>
  <c r="Y280" i="57" s="1"/>
  <c r="AM281" i="57"/>
  <c r="W281" i="57" s="1"/>
  <c r="AK282" i="57"/>
  <c r="U282" i="57" s="1"/>
  <c r="AO282" i="57"/>
  <c r="Y282" i="57" s="1"/>
  <c r="AM283" i="57"/>
  <c r="W283" i="57" s="1"/>
  <c r="AK284" i="57"/>
  <c r="U284" i="57" s="1"/>
  <c r="AO284" i="57"/>
  <c r="Y284" i="57" s="1"/>
  <c r="AM285" i="57"/>
  <c r="W285" i="57" s="1"/>
  <c r="AK286" i="57"/>
  <c r="U286" i="57" s="1"/>
  <c r="AO286" i="57"/>
  <c r="Y286" i="57" s="1"/>
  <c r="AM287" i="57"/>
  <c r="W287" i="57" s="1"/>
  <c r="AK288" i="57"/>
  <c r="U288" i="57" s="1"/>
  <c r="AO288" i="57"/>
  <c r="Y288" i="57" s="1"/>
  <c r="AM289" i="57"/>
  <c r="W289" i="57" s="1"/>
  <c r="AK290" i="57"/>
  <c r="U290" i="57" s="1"/>
  <c r="AO290" i="57"/>
  <c r="Y290" i="57" s="1"/>
  <c r="AM291" i="57"/>
  <c r="W291" i="57" s="1"/>
  <c r="AK292" i="57"/>
  <c r="U292" i="57" s="1"/>
  <c r="AO292" i="57"/>
  <c r="Y292" i="57" s="1"/>
  <c r="AM293" i="57"/>
  <c r="W293" i="57" s="1"/>
  <c r="AK294" i="57"/>
  <c r="U294" i="57" s="1"/>
  <c r="AO294" i="57"/>
  <c r="Y294" i="57" s="1"/>
  <c r="AM295" i="57"/>
  <c r="W295" i="57" s="1"/>
  <c r="AK296" i="57"/>
  <c r="U296" i="57" s="1"/>
  <c r="AO296" i="57"/>
  <c r="Y296" i="57" s="1"/>
  <c r="AM297" i="57"/>
  <c r="W297" i="57" s="1"/>
  <c r="AK298" i="57"/>
  <c r="U298" i="57" s="1"/>
  <c r="AO298" i="57"/>
  <c r="Y298" i="57" s="1"/>
  <c r="AM299" i="57"/>
  <c r="W299" i="57" s="1"/>
  <c r="AK300" i="57"/>
  <c r="U300" i="57" s="1"/>
  <c r="AO300" i="57"/>
  <c r="Y300" i="57" s="1"/>
  <c r="AM301" i="57"/>
  <c r="W301" i="57" s="1"/>
  <c r="AK302" i="57"/>
  <c r="U302" i="57" s="1"/>
  <c r="AO302" i="57"/>
  <c r="Y302" i="57" s="1"/>
  <c r="AM303" i="57"/>
  <c r="W303" i="57" s="1"/>
  <c r="AK304" i="57"/>
  <c r="U304" i="57" s="1"/>
  <c r="AO304" i="57"/>
  <c r="Y304" i="57" s="1"/>
  <c r="AM305" i="57"/>
  <c r="W305" i="57" s="1"/>
  <c r="AK306" i="57"/>
  <c r="U306" i="57" s="1"/>
  <c r="AO306" i="57"/>
  <c r="Y306" i="57" s="1"/>
  <c r="AM307" i="57"/>
  <c r="W307" i="57" s="1"/>
  <c r="AK308" i="57"/>
  <c r="U308" i="57" s="1"/>
  <c r="AO308" i="57"/>
  <c r="Y308" i="57" s="1"/>
  <c r="AM309" i="57"/>
  <c r="W309" i="57" s="1"/>
  <c r="AK310" i="57"/>
  <c r="U310" i="57" s="1"/>
  <c r="AO310" i="57"/>
  <c r="Y310" i="57" s="1"/>
  <c r="AM311" i="57"/>
  <c r="W311" i="57" s="1"/>
  <c r="AK312" i="57"/>
  <c r="U312" i="57" s="1"/>
  <c r="AO312" i="57"/>
  <c r="Y312" i="57" s="1"/>
  <c r="AM313" i="57"/>
  <c r="W313" i="57" s="1"/>
  <c r="AK314" i="57"/>
  <c r="U314" i="57" s="1"/>
  <c r="AO314" i="57"/>
  <c r="Y314" i="57" s="1"/>
  <c r="AM315" i="57"/>
  <c r="W315" i="57" s="1"/>
  <c r="AK316" i="57"/>
  <c r="U316" i="57" s="1"/>
  <c r="AO316" i="57"/>
  <c r="Y316" i="57" s="1"/>
  <c r="AM317" i="57"/>
  <c r="W317" i="57" s="1"/>
  <c r="AM280" i="57"/>
  <c r="W280" i="57" s="1"/>
  <c r="AK281" i="57"/>
  <c r="U281" i="57" s="1"/>
  <c r="AO281" i="57"/>
  <c r="Y281" i="57" s="1"/>
  <c r="AM282" i="57"/>
  <c r="W282" i="57" s="1"/>
  <c r="AK283" i="57"/>
  <c r="U283" i="57" s="1"/>
  <c r="AO283" i="57"/>
  <c r="Y283" i="57" s="1"/>
  <c r="AM284" i="57"/>
  <c r="W284" i="57" s="1"/>
  <c r="AK285" i="57"/>
  <c r="U285" i="57" s="1"/>
  <c r="AO285" i="57"/>
  <c r="Y285" i="57" s="1"/>
  <c r="AM286" i="57"/>
  <c r="W286" i="57" s="1"/>
  <c r="AK287" i="57"/>
  <c r="U287" i="57" s="1"/>
  <c r="AO287" i="57"/>
  <c r="Y287" i="57" s="1"/>
  <c r="AM288" i="57"/>
  <c r="W288" i="57" s="1"/>
  <c r="AK289" i="57"/>
  <c r="U289" i="57" s="1"/>
  <c r="AO289" i="57"/>
  <c r="Y289" i="57" s="1"/>
  <c r="AM290" i="57"/>
  <c r="W290" i="57" s="1"/>
  <c r="AK291" i="57"/>
  <c r="U291" i="57" s="1"/>
  <c r="AO291" i="57"/>
  <c r="Y291" i="57" s="1"/>
  <c r="AM292" i="57"/>
  <c r="W292" i="57" s="1"/>
  <c r="AK293" i="57"/>
  <c r="U293" i="57" s="1"/>
  <c r="AO293" i="57"/>
  <c r="Y293" i="57" s="1"/>
  <c r="AM294" i="57"/>
  <c r="W294" i="57" s="1"/>
  <c r="AK295" i="57"/>
  <c r="U295" i="57" s="1"/>
  <c r="AO295" i="57"/>
  <c r="Y295" i="57" s="1"/>
  <c r="AM296" i="57"/>
  <c r="W296" i="57" s="1"/>
  <c r="AK297" i="57"/>
  <c r="U297" i="57" s="1"/>
  <c r="AO297" i="57"/>
  <c r="Y297" i="57" s="1"/>
  <c r="AM298" i="57"/>
  <c r="W298" i="57" s="1"/>
  <c r="AK299" i="57"/>
  <c r="U299" i="57" s="1"/>
  <c r="AO299" i="57"/>
  <c r="Y299" i="57" s="1"/>
  <c r="AM300" i="57"/>
  <c r="W300" i="57" s="1"/>
  <c r="AK301" i="57"/>
  <c r="U301" i="57" s="1"/>
  <c r="AO301" i="57"/>
  <c r="Y301" i="57" s="1"/>
  <c r="AM302" i="57"/>
  <c r="W302" i="57" s="1"/>
  <c r="AK303" i="57"/>
  <c r="U303" i="57" s="1"/>
  <c r="AO303" i="57"/>
  <c r="Y303" i="57" s="1"/>
  <c r="AM304" i="57"/>
  <c r="W304" i="57" s="1"/>
  <c r="AK305" i="57"/>
  <c r="U305" i="57" s="1"/>
  <c r="AO305" i="57"/>
  <c r="Y305" i="57" s="1"/>
  <c r="AM306" i="57"/>
  <c r="W306" i="57" s="1"/>
  <c r="AK307" i="57"/>
  <c r="U307" i="57" s="1"/>
  <c r="AO307" i="57"/>
  <c r="Y307" i="57" s="1"/>
  <c r="AM308" i="57"/>
  <c r="W308" i="57" s="1"/>
  <c r="AK309" i="57"/>
  <c r="U309" i="57" s="1"/>
  <c r="AO309" i="57"/>
  <c r="Y309" i="57" s="1"/>
  <c r="AM310" i="57"/>
  <c r="W310" i="57" s="1"/>
  <c r="AK311" i="57"/>
  <c r="U311" i="57" s="1"/>
  <c r="AO311" i="57"/>
  <c r="Y311" i="57" s="1"/>
  <c r="AM312" i="57"/>
  <c r="W312" i="57" s="1"/>
  <c r="AK313" i="57"/>
  <c r="U313" i="57" s="1"/>
  <c r="AO313" i="57"/>
  <c r="Y313" i="57" s="1"/>
  <c r="AM314" i="57"/>
  <c r="W314" i="57" s="1"/>
  <c r="AK315" i="57"/>
  <c r="U315" i="57" s="1"/>
  <c r="AO315" i="57"/>
  <c r="Y315" i="57" s="1"/>
  <c r="AM316" i="57"/>
  <c r="W316" i="57" s="1"/>
  <c r="AK317" i="57"/>
  <c r="U317" i="57" s="1"/>
  <c r="AO317" i="57"/>
  <c r="Y317" i="57" s="1"/>
  <c r="AL254" i="57"/>
  <c r="V254" i="57" s="1"/>
  <c r="AN253" i="57"/>
  <c r="X253" i="57" s="1"/>
  <c r="AP252" i="57"/>
  <c r="Z252" i="57" s="1"/>
  <c r="AL252" i="57"/>
  <c r="V252" i="57" s="1"/>
  <c r="AN251" i="57"/>
  <c r="X251" i="57" s="1"/>
  <c r="AP250" i="57"/>
  <c r="Z250" i="57" s="1"/>
  <c r="AL250" i="57"/>
  <c r="V250" i="57" s="1"/>
  <c r="AN249" i="57"/>
  <c r="X249" i="57" s="1"/>
  <c r="AP248" i="57"/>
  <c r="Z248" i="57" s="1"/>
  <c r="AL248" i="57"/>
  <c r="V248" i="57" s="1"/>
  <c r="AN247" i="57"/>
  <c r="X247" i="57" s="1"/>
  <c r="AP246" i="57"/>
  <c r="Z246" i="57" s="1"/>
  <c r="AL246" i="57"/>
  <c r="V246" i="57" s="1"/>
  <c r="AN245" i="57"/>
  <c r="X245" i="57" s="1"/>
  <c r="AP244" i="57"/>
  <c r="Z244" i="57" s="1"/>
  <c r="AL244" i="57"/>
  <c r="V244" i="57" s="1"/>
  <c r="AN243" i="57"/>
  <c r="X243" i="57" s="1"/>
  <c r="AP242" i="57"/>
  <c r="Z242" i="57" s="1"/>
  <c r="AL242" i="57"/>
  <c r="V242" i="57" s="1"/>
  <c r="AN241" i="57"/>
  <c r="X241" i="57" s="1"/>
  <c r="AP240" i="57"/>
  <c r="Z240" i="57" s="1"/>
  <c r="AL240" i="57"/>
  <c r="V240" i="57" s="1"/>
  <c r="AN239" i="57"/>
  <c r="X239" i="57" s="1"/>
  <c r="AP238" i="57"/>
  <c r="Z238" i="57" s="1"/>
  <c r="AL238" i="57"/>
  <c r="V238" i="57" s="1"/>
  <c r="AN237" i="57"/>
  <c r="X237" i="57" s="1"/>
  <c r="AP236" i="57"/>
  <c r="Z236" i="57" s="1"/>
  <c r="CB431" i="68"/>
  <c r="CA431" i="68"/>
  <c r="BZ431" i="68"/>
  <c r="BY431" i="68"/>
  <c r="BX431" i="68"/>
  <c r="BW431" i="68"/>
  <c r="BV431" i="68"/>
  <c r="BU431" i="68"/>
  <c r="BT431" i="68"/>
  <c r="BS431" i="68"/>
  <c r="BR431" i="68"/>
  <c r="BO431" i="68"/>
  <c r="BN431" i="68"/>
  <c r="BM431" i="68"/>
  <c r="BL431" i="68"/>
  <c r="BK431" i="68"/>
  <c r="BJ431" i="68"/>
  <c r="BI431" i="68"/>
  <c r="BH431" i="68"/>
  <c r="BG431" i="68"/>
  <c r="BF431" i="68"/>
  <c r="BE431" i="68"/>
  <c r="BB431" i="68"/>
  <c r="BA431" i="68"/>
  <c r="AZ431" i="68"/>
  <c r="AY431" i="68"/>
  <c r="AX431" i="68"/>
  <c r="AW431" i="68"/>
  <c r="AV431" i="68"/>
  <c r="AU431" i="68"/>
  <c r="AT431" i="68"/>
  <c r="AS431" i="68"/>
  <c r="AR431" i="68"/>
  <c r="AO431" i="68"/>
  <c r="AN431" i="68"/>
  <c r="AM431" i="68"/>
  <c r="AL431" i="68"/>
  <c r="AK431" i="68"/>
  <c r="AJ431" i="68"/>
  <c r="AI431" i="68"/>
  <c r="AH431" i="68"/>
  <c r="AG431" i="68"/>
  <c r="AF431" i="68"/>
  <c r="AE431" i="68"/>
  <c r="AB431" i="68"/>
  <c r="AA431" i="68"/>
  <c r="Z431" i="68"/>
  <c r="Y431" i="68"/>
  <c r="X431" i="68"/>
  <c r="W431" i="68"/>
  <c r="V431" i="68"/>
  <c r="U431" i="68"/>
  <c r="T431" i="68"/>
  <c r="S431" i="68"/>
  <c r="R431" i="68"/>
  <c r="O431" i="68"/>
  <c r="N431" i="68"/>
  <c r="M431" i="68"/>
  <c r="L431" i="68"/>
  <c r="K431" i="68"/>
  <c r="J431" i="68"/>
  <c r="I431" i="68"/>
  <c r="H431" i="68"/>
  <c r="G431" i="68"/>
  <c r="F431" i="68"/>
  <c r="E431" i="68"/>
  <c r="CB417" i="68"/>
  <c r="CA417" i="68"/>
  <c r="BZ417" i="68"/>
  <c r="BY417" i="68"/>
  <c r="BX417" i="68"/>
  <c r="BW417" i="68"/>
  <c r="BV417" i="68"/>
  <c r="BU417" i="68"/>
  <c r="BT417" i="68"/>
  <c r="BS417" i="68"/>
  <c r="BR417" i="68"/>
  <c r="BO417" i="68"/>
  <c r="BN417" i="68"/>
  <c r="BM417" i="68"/>
  <c r="BL417" i="68"/>
  <c r="BK417" i="68"/>
  <c r="BJ417" i="68"/>
  <c r="BI417" i="68"/>
  <c r="BH417" i="68"/>
  <c r="BG417" i="68"/>
  <c r="BF417" i="68"/>
  <c r="BE417" i="68"/>
  <c r="BB417" i="68"/>
  <c r="BA417" i="68"/>
  <c r="AZ417" i="68"/>
  <c r="AY417" i="68"/>
  <c r="AX417" i="68"/>
  <c r="AW417" i="68"/>
  <c r="AV417" i="68"/>
  <c r="AU417" i="68"/>
  <c r="AT417" i="68"/>
  <c r="AS417" i="68"/>
  <c r="AR417" i="68"/>
  <c r="AO417" i="68"/>
  <c r="AN417" i="68"/>
  <c r="AM417" i="68"/>
  <c r="AL417" i="68"/>
  <c r="AK417" i="68"/>
  <c r="AJ417" i="68"/>
  <c r="AI417" i="68"/>
  <c r="AH417" i="68"/>
  <c r="AG417" i="68"/>
  <c r="AF417" i="68"/>
  <c r="AE417" i="68"/>
  <c r="AB417" i="68"/>
  <c r="AA417" i="68"/>
  <c r="Z417" i="68"/>
  <c r="Y417" i="68"/>
  <c r="X417" i="68"/>
  <c r="W417" i="68"/>
  <c r="V417" i="68"/>
  <c r="U417" i="68"/>
  <c r="T417" i="68"/>
  <c r="S417" i="68"/>
  <c r="R417" i="68"/>
  <c r="O417" i="68"/>
  <c r="N417" i="68"/>
  <c r="M417" i="68"/>
  <c r="L417" i="68"/>
  <c r="K417" i="68"/>
  <c r="J417" i="68"/>
  <c r="I417" i="68"/>
  <c r="H417" i="68"/>
  <c r="G417" i="68"/>
  <c r="F417" i="68"/>
  <c r="E417" i="68"/>
  <c r="D482" i="49" a="1"/>
  <c r="D502" i="49" s="1"/>
  <c r="D310" i="49" a="1"/>
  <c r="D325" i="49" s="1"/>
  <c r="D138" i="49" a="1"/>
  <c r="D149" i="49" s="1"/>
  <c r="D12" i="49" a="1"/>
  <c r="D13" i="49" s="1"/>
  <c r="H230" i="49" a="1"/>
  <c r="G230" i="49" a="1"/>
  <c r="G297" i="49" s="1"/>
  <c r="F230" i="49" a="1"/>
  <c r="F304" i="49" s="1"/>
  <c r="E230" i="49" a="1"/>
  <c r="E232" i="49" s="1"/>
  <c r="H58" i="49" a="1"/>
  <c r="H65" i="49" s="1"/>
  <c r="G58" i="49" a="1"/>
  <c r="G59" i="49" s="1"/>
  <c r="F58" i="49" a="1"/>
  <c r="E58" i="49" a="1"/>
  <c r="E105" i="49" s="1"/>
  <c r="D327" i="49" l="1"/>
  <c r="D329" i="49"/>
  <c r="E260" i="49"/>
  <c r="D321" i="49"/>
  <c r="E270" i="49"/>
  <c r="D311" i="49"/>
  <c r="E276" i="49"/>
  <c r="D343" i="49"/>
  <c r="D342" i="49"/>
  <c r="E286" i="49"/>
  <c r="F58" i="49"/>
  <c r="F61" i="49"/>
  <c r="F81" i="49"/>
  <c r="F109" i="49"/>
  <c r="F65" i="49"/>
  <c r="F89" i="49"/>
  <c r="F113" i="49"/>
  <c r="F73" i="49"/>
  <c r="F93" i="49"/>
  <c r="F77" i="49"/>
  <c r="F97" i="49"/>
  <c r="H234" i="49"/>
  <c r="H230" i="49"/>
  <c r="H245" i="49"/>
  <c r="H259" i="49"/>
  <c r="H273" i="49"/>
  <c r="H287" i="49"/>
  <c r="H302" i="49"/>
  <c r="H233" i="49"/>
  <c r="H246" i="49"/>
  <c r="H261" i="49"/>
  <c r="H275" i="49"/>
  <c r="H289" i="49"/>
  <c r="H303" i="49"/>
  <c r="H238" i="49"/>
  <c r="H251" i="49"/>
  <c r="H266" i="49"/>
  <c r="H281" i="49"/>
  <c r="H294" i="49"/>
  <c r="H239" i="49"/>
  <c r="H254" i="49"/>
  <c r="H267" i="49"/>
  <c r="H282" i="49"/>
  <c r="H297" i="49"/>
  <c r="D489" i="49"/>
  <c r="D510" i="49"/>
  <c r="H231" i="49"/>
  <c r="H253" i="49"/>
  <c r="H274" i="49"/>
  <c r="H295" i="49"/>
  <c r="D143" i="49"/>
  <c r="D159" i="49"/>
  <c r="D175" i="49"/>
  <c r="H76" i="49"/>
  <c r="H92" i="49"/>
  <c r="H108" i="49"/>
  <c r="H124" i="49"/>
  <c r="G67" i="49"/>
  <c r="G83" i="49"/>
  <c r="G99" i="49"/>
  <c r="G115" i="49"/>
  <c r="G131" i="49"/>
  <c r="F74" i="49"/>
  <c r="F90" i="49"/>
  <c r="F106" i="49"/>
  <c r="F122" i="49"/>
  <c r="F71" i="49"/>
  <c r="F87" i="49"/>
  <c r="F103" i="49"/>
  <c r="F119" i="49"/>
  <c r="F125" i="49"/>
  <c r="D515" i="49"/>
  <c r="D499" i="49"/>
  <c r="D483" i="49"/>
  <c r="H292" i="49"/>
  <c r="H276" i="49"/>
  <c r="H260" i="49"/>
  <c r="H244" i="49"/>
  <c r="F299" i="49"/>
  <c r="E302" i="49"/>
  <c r="H70" i="49"/>
  <c r="H86" i="49"/>
  <c r="H102" i="49"/>
  <c r="H118" i="49"/>
  <c r="F60" i="49"/>
  <c r="F76" i="49"/>
  <c r="F92" i="49"/>
  <c r="F108" i="49"/>
  <c r="F124" i="49"/>
  <c r="H131" i="49"/>
  <c r="D493" i="49"/>
  <c r="H241" i="49"/>
  <c r="H270" i="49"/>
  <c r="H298" i="49"/>
  <c r="G241" i="49"/>
  <c r="G257" i="49"/>
  <c r="G273" i="49"/>
  <c r="G289" i="49"/>
  <c r="G305" i="49"/>
  <c r="F244" i="49"/>
  <c r="F260" i="49"/>
  <c r="F276" i="49"/>
  <c r="F292" i="49"/>
  <c r="F85" i="49"/>
  <c r="D496" i="49"/>
  <c r="F105" i="49"/>
  <c r="H250" i="49"/>
  <c r="H278" i="49"/>
  <c r="F233" i="49"/>
  <c r="F249" i="49"/>
  <c r="F265" i="49"/>
  <c r="F281" i="49"/>
  <c r="F298" i="49"/>
  <c r="D173" i="49"/>
  <c r="D152" i="49"/>
  <c r="D166" i="49"/>
  <c r="D145" i="49"/>
  <c r="H79" i="49"/>
  <c r="G66" i="49"/>
  <c r="G109" i="49"/>
  <c r="E70" i="49"/>
  <c r="E102" i="49"/>
  <c r="D27" i="49"/>
  <c r="G132" i="49"/>
  <c r="E120" i="49"/>
  <c r="E104" i="49"/>
  <c r="E88" i="49"/>
  <c r="E72" i="49"/>
  <c r="E131" i="49"/>
  <c r="E115" i="49"/>
  <c r="E99" i="49"/>
  <c r="E83" i="49"/>
  <c r="E67" i="49"/>
  <c r="D32" i="49"/>
  <c r="H117" i="49"/>
  <c r="H85" i="49"/>
  <c r="H125" i="49"/>
  <c r="H91" i="49"/>
  <c r="H59" i="49"/>
  <c r="D341" i="49"/>
  <c r="E281" i="49"/>
  <c r="E249" i="49"/>
  <c r="E295" i="49"/>
  <c r="E263" i="49"/>
  <c r="E231" i="49"/>
  <c r="D170" i="49"/>
  <c r="G129" i="49"/>
  <c r="G108" i="49"/>
  <c r="G86" i="49"/>
  <c r="G65" i="49"/>
  <c r="G122" i="49"/>
  <c r="G101" i="49"/>
  <c r="G80" i="49"/>
  <c r="G58" i="49"/>
  <c r="E89" i="49"/>
  <c r="E121" i="49"/>
  <c r="D42" i="49"/>
  <c r="H87" i="49"/>
  <c r="D40" i="49"/>
  <c r="D19" i="49"/>
  <c r="D34" i="49"/>
  <c r="D12" i="49"/>
  <c r="D317" i="49"/>
  <c r="D314" i="49"/>
  <c r="H105" i="49"/>
  <c r="I432" i="68"/>
  <c r="I437" i="68" s="1"/>
  <c r="D494" i="49"/>
  <c r="D516" i="49"/>
  <c r="D313" i="49"/>
  <c r="D334" i="49"/>
  <c r="H237" i="49"/>
  <c r="H258" i="49"/>
  <c r="H279" i="49"/>
  <c r="H301" i="49"/>
  <c r="E248" i="49"/>
  <c r="E264" i="49"/>
  <c r="E280" i="49"/>
  <c r="E296" i="49"/>
  <c r="D147" i="49"/>
  <c r="D163" i="49"/>
  <c r="H64" i="49"/>
  <c r="H80" i="49"/>
  <c r="H96" i="49"/>
  <c r="H112" i="49"/>
  <c r="H128" i="49"/>
  <c r="G71" i="49"/>
  <c r="G87" i="49"/>
  <c r="G103" i="49"/>
  <c r="G119" i="49"/>
  <c r="F62" i="49"/>
  <c r="F78" i="49"/>
  <c r="F94" i="49"/>
  <c r="F110" i="49"/>
  <c r="F126" i="49"/>
  <c r="D339" i="49"/>
  <c r="D323" i="49"/>
  <c r="F59" i="49"/>
  <c r="F75" i="49"/>
  <c r="F91" i="49"/>
  <c r="F107" i="49"/>
  <c r="F123" i="49"/>
  <c r="F129" i="49"/>
  <c r="D511" i="49"/>
  <c r="D495" i="49"/>
  <c r="D326" i="49"/>
  <c r="H304" i="49"/>
  <c r="H288" i="49"/>
  <c r="H272" i="49"/>
  <c r="H256" i="49"/>
  <c r="H240" i="49"/>
  <c r="F303" i="49"/>
  <c r="E242" i="49"/>
  <c r="E258" i="49"/>
  <c r="E274" i="49"/>
  <c r="E290" i="49"/>
  <c r="H58" i="49"/>
  <c r="H74" i="49"/>
  <c r="H90" i="49"/>
  <c r="H106" i="49"/>
  <c r="H122" i="49"/>
  <c r="F64" i="49"/>
  <c r="F80" i="49"/>
  <c r="F96" i="49"/>
  <c r="F112" i="49"/>
  <c r="F128" i="49"/>
  <c r="D17" i="49"/>
  <c r="D33" i="49"/>
  <c r="D49" i="49"/>
  <c r="D501" i="49"/>
  <c r="H249" i="49"/>
  <c r="H277" i="49"/>
  <c r="H305" i="49"/>
  <c r="G245" i="49"/>
  <c r="G261" i="49"/>
  <c r="G277" i="49"/>
  <c r="G293" i="49"/>
  <c r="F232" i="49"/>
  <c r="F248" i="49"/>
  <c r="F264" i="49"/>
  <c r="F280" i="49"/>
  <c r="F297" i="49"/>
  <c r="F101" i="49"/>
  <c r="F121" i="49"/>
  <c r="H257" i="49"/>
  <c r="H286" i="49"/>
  <c r="F237" i="49"/>
  <c r="F253" i="49"/>
  <c r="F269" i="49"/>
  <c r="F285" i="49"/>
  <c r="D168" i="49"/>
  <c r="D146" i="49"/>
  <c r="D161" i="49"/>
  <c r="D140" i="49"/>
  <c r="H95" i="49"/>
  <c r="G77" i="49"/>
  <c r="G120" i="49"/>
  <c r="E78" i="49"/>
  <c r="E110" i="49"/>
  <c r="D38" i="49"/>
  <c r="E132" i="49"/>
  <c r="E116" i="49"/>
  <c r="E100" i="49"/>
  <c r="E84" i="49"/>
  <c r="E68" i="49"/>
  <c r="E127" i="49"/>
  <c r="E111" i="49"/>
  <c r="E95" i="49"/>
  <c r="E79" i="49"/>
  <c r="E63" i="49"/>
  <c r="D43" i="49"/>
  <c r="H109" i="49"/>
  <c r="H77" i="49"/>
  <c r="H115" i="49"/>
  <c r="H83" i="49"/>
  <c r="H60" i="49"/>
  <c r="E305" i="49"/>
  <c r="E273" i="49"/>
  <c r="E241" i="49"/>
  <c r="E287" i="49"/>
  <c r="E255" i="49"/>
  <c r="H81" i="49"/>
  <c r="G124" i="49"/>
  <c r="G102" i="49"/>
  <c r="G81" i="49"/>
  <c r="G60" i="49"/>
  <c r="G117" i="49"/>
  <c r="G96" i="49"/>
  <c r="G74" i="49"/>
  <c r="E97" i="49"/>
  <c r="E129" i="49"/>
  <c r="D322" i="49"/>
  <c r="H103" i="49"/>
  <c r="D35" i="49"/>
  <c r="D14" i="49"/>
  <c r="D28" i="49"/>
  <c r="D346" i="49"/>
  <c r="D310" i="49"/>
  <c r="H121" i="49"/>
  <c r="F295" i="49"/>
  <c r="F230" i="49"/>
  <c r="F238" i="49"/>
  <c r="F246" i="49"/>
  <c r="F254" i="49"/>
  <c r="F262" i="49"/>
  <c r="F270" i="49"/>
  <c r="F286" i="49"/>
  <c r="F294" i="49"/>
  <c r="F305" i="49"/>
  <c r="F231" i="49"/>
  <c r="F239" i="49"/>
  <c r="F247" i="49"/>
  <c r="F255" i="49"/>
  <c r="F263" i="49"/>
  <c r="F271" i="49"/>
  <c r="F279" i="49"/>
  <c r="F287" i="49"/>
  <c r="F296" i="49"/>
  <c r="F234" i="49"/>
  <c r="F242" i="49"/>
  <c r="F250" i="49"/>
  <c r="F258" i="49"/>
  <c r="F266" i="49"/>
  <c r="F274" i="49"/>
  <c r="F282" i="49"/>
  <c r="F290" i="49"/>
  <c r="F300" i="49"/>
  <c r="F235" i="49"/>
  <c r="F243" i="49"/>
  <c r="F251" i="49"/>
  <c r="F259" i="49"/>
  <c r="F267" i="49"/>
  <c r="F275" i="49"/>
  <c r="F283" i="49"/>
  <c r="F291" i="49"/>
  <c r="F301" i="49"/>
  <c r="F278" i="49"/>
  <c r="D486" i="49"/>
  <c r="D490" i="49"/>
  <c r="D504" i="49"/>
  <c r="D518" i="49"/>
  <c r="D492" i="49"/>
  <c r="D506" i="49"/>
  <c r="D482" i="49"/>
  <c r="D497" i="49"/>
  <c r="D512" i="49"/>
  <c r="D485" i="49"/>
  <c r="D498" i="49"/>
  <c r="D513" i="49"/>
  <c r="E12" i="49" a="1"/>
  <c r="G61" i="49"/>
  <c r="G73" i="49"/>
  <c r="G89" i="49"/>
  <c r="G104" i="49"/>
  <c r="G116" i="49"/>
  <c r="G62" i="49"/>
  <c r="G78" i="49"/>
  <c r="G93" i="49"/>
  <c r="G105" i="49"/>
  <c r="G125" i="49"/>
  <c r="G68" i="49"/>
  <c r="G82" i="49"/>
  <c r="G94" i="49"/>
  <c r="G110" i="49"/>
  <c r="G126" i="49"/>
  <c r="G72" i="49"/>
  <c r="G84" i="49"/>
  <c r="G100" i="49"/>
  <c r="G114" i="49"/>
  <c r="E259" i="49"/>
  <c r="E245" i="49"/>
  <c r="E261" i="49"/>
  <c r="E277" i="49"/>
  <c r="E293" i="49"/>
  <c r="E235" i="49"/>
  <c r="E251" i="49"/>
  <c r="E267" i="49"/>
  <c r="E283" i="49"/>
  <c r="E299" i="49"/>
  <c r="E237" i="49"/>
  <c r="E253" i="49"/>
  <c r="E269" i="49"/>
  <c r="E285" i="49"/>
  <c r="E301" i="49"/>
  <c r="E243" i="49"/>
  <c r="E275" i="49"/>
  <c r="E291" i="49"/>
  <c r="E402" i="49" a="1"/>
  <c r="D26" i="49"/>
  <c r="D36" i="49"/>
  <c r="D47" i="49"/>
  <c r="D15" i="49"/>
  <c r="D500" i="49"/>
  <c r="D318" i="49"/>
  <c r="D340" i="49"/>
  <c r="H242" i="49"/>
  <c r="H263" i="49"/>
  <c r="H285" i="49"/>
  <c r="E236" i="49"/>
  <c r="E252" i="49"/>
  <c r="E268" i="49"/>
  <c r="E284" i="49"/>
  <c r="E300" i="49"/>
  <c r="D151" i="49"/>
  <c r="D167" i="49"/>
  <c r="H68" i="49"/>
  <c r="H84" i="49"/>
  <c r="H100" i="49"/>
  <c r="H116" i="49"/>
  <c r="H132" i="49"/>
  <c r="G75" i="49"/>
  <c r="G91" i="49"/>
  <c r="G107" i="49"/>
  <c r="G123" i="49"/>
  <c r="F66" i="49"/>
  <c r="F82" i="49"/>
  <c r="F98" i="49"/>
  <c r="F114" i="49"/>
  <c r="F130" i="49"/>
  <c r="D335" i="49"/>
  <c r="D319" i="49"/>
  <c r="F63" i="49"/>
  <c r="F79" i="49"/>
  <c r="F95" i="49"/>
  <c r="F111" i="49"/>
  <c r="F127" i="49"/>
  <c r="F133" i="49"/>
  <c r="D507" i="49"/>
  <c r="D491" i="49"/>
  <c r="D332" i="49"/>
  <c r="H300" i="49"/>
  <c r="H284" i="49"/>
  <c r="H268" i="49"/>
  <c r="H252" i="49"/>
  <c r="H236" i="49"/>
  <c r="E230" i="49"/>
  <c r="E246" i="49"/>
  <c r="E262" i="49"/>
  <c r="E278" i="49"/>
  <c r="E294" i="49"/>
  <c r="H62" i="49"/>
  <c r="H78" i="49"/>
  <c r="H94" i="49"/>
  <c r="H110" i="49"/>
  <c r="H126" i="49"/>
  <c r="F68" i="49"/>
  <c r="F84" i="49"/>
  <c r="F100" i="49"/>
  <c r="F116" i="49"/>
  <c r="F132" i="49"/>
  <c r="D21" i="49"/>
  <c r="D37" i="49"/>
  <c r="H123" i="49"/>
  <c r="E59" i="57" a="1"/>
  <c r="I96" i="57" s="1"/>
  <c r="V59" i="57"/>
  <c r="D508" i="49"/>
  <c r="H255" i="49"/>
  <c r="H283" i="49"/>
  <c r="G233" i="49"/>
  <c r="G249" i="49"/>
  <c r="G265" i="49"/>
  <c r="G281" i="49"/>
  <c r="F236" i="49"/>
  <c r="F252" i="49"/>
  <c r="F268" i="49"/>
  <c r="F284" i="49"/>
  <c r="F302" i="49"/>
  <c r="F117" i="49"/>
  <c r="D509" i="49"/>
  <c r="H235" i="49"/>
  <c r="H265" i="49"/>
  <c r="H293" i="49"/>
  <c r="F241" i="49"/>
  <c r="F257" i="49"/>
  <c r="F273" i="49"/>
  <c r="F289" i="49"/>
  <c r="D312" i="49"/>
  <c r="D162" i="49"/>
  <c r="D141" i="49"/>
  <c r="D156" i="49"/>
  <c r="D139" i="49"/>
  <c r="H111" i="49"/>
  <c r="G88" i="49"/>
  <c r="G130" i="49"/>
  <c r="E86" i="49"/>
  <c r="E118" i="49"/>
  <c r="D48" i="49"/>
  <c r="E128" i="49"/>
  <c r="E112" i="49"/>
  <c r="E96" i="49"/>
  <c r="E80" i="49"/>
  <c r="E64" i="49"/>
  <c r="E123" i="49"/>
  <c r="E107" i="49"/>
  <c r="E91" i="49"/>
  <c r="E75" i="49"/>
  <c r="E59" i="49"/>
  <c r="D330" i="49"/>
  <c r="H101" i="49"/>
  <c r="H69" i="49"/>
  <c r="H107" i="49"/>
  <c r="H75" i="49"/>
  <c r="E297" i="49"/>
  <c r="E265" i="49"/>
  <c r="E233" i="49"/>
  <c r="E279" i="49"/>
  <c r="E247" i="49"/>
  <c r="H97" i="49"/>
  <c r="G118" i="49"/>
  <c r="G97" i="49"/>
  <c r="G76" i="49"/>
  <c r="G133" i="49"/>
  <c r="G112" i="49"/>
  <c r="G90" i="49"/>
  <c r="G69" i="49"/>
  <c r="E73" i="49"/>
  <c r="D20" i="49"/>
  <c r="D344" i="49"/>
  <c r="H119" i="49"/>
  <c r="D30" i="49"/>
  <c r="D44" i="49"/>
  <c r="D23" i="49"/>
  <c r="D338" i="49"/>
  <c r="D336" i="49"/>
  <c r="H73" i="49"/>
  <c r="D138" i="49"/>
  <c r="D153" i="49"/>
  <c r="D165" i="49"/>
  <c r="D142" i="49"/>
  <c r="D154" i="49"/>
  <c r="D169" i="49"/>
  <c r="D144" i="49"/>
  <c r="D158" i="49"/>
  <c r="D174" i="49"/>
  <c r="D148" i="49"/>
  <c r="D164" i="49"/>
  <c r="E65" i="49"/>
  <c r="E61" i="49"/>
  <c r="E77" i="49"/>
  <c r="E93" i="49"/>
  <c r="E109" i="49"/>
  <c r="E125" i="49"/>
  <c r="E66" i="49"/>
  <c r="E82" i="49"/>
  <c r="E98" i="49"/>
  <c r="E114" i="49"/>
  <c r="E130" i="49"/>
  <c r="E69" i="49"/>
  <c r="E85" i="49"/>
  <c r="E101" i="49"/>
  <c r="E117" i="49"/>
  <c r="E133" i="49"/>
  <c r="E58" i="49"/>
  <c r="E74" i="49"/>
  <c r="E90" i="49"/>
  <c r="E106" i="49"/>
  <c r="E122" i="49"/>
  <c r="G231" i="49"/>
  <c r="G232" i="49"/>
  <c r="G238" i="49"/>
  <c r="G243" i="49"/>
  <c r="G248" i="49"/>
  <c r="G254" i="49"/>
  <c r="G259" i="49"/>
  <c r="G264" i="49"/>
  <c r="G270" i="49"/>
  <c r="G275" i="49"/>
  <c r="G280" i="49"/>
  <c r="G286" i="49"/>
  <c r="G296" i="49"/>
  <c r="G302" i="49"/>
  <c r="G234" i="49"/>
  <c r="G239" i="49"/>
  <c r="G244" i="49"/>
  <c r="G250" i="49"/>
  <c r="G255" i="49"/>
  <c r="G260" i="49"/>
  <c r="G266" i="49"/>
  <c r="G271" i="49"/>
  <c r="G276" i="49"/>
  <c r="G282" i="49"/>
  <c r="G287" i="49"/>
  <c r="G292" i="49"/>
  <c r="G298" i="49"/>
  <c r="G303" i="49"/>
  <c r="G235" i="49"/>
  <c r="G240" i="49"/>
  <c r="G246" i="49"/>
  <c r="G251" i="49"/>
  <c r="G256" i="49"/>
  <c r="G262" i="49"/>
  <c r="G267" i="49"/>
  <c r="G272" i="49"/>
  <c r="G278" i="49"/>
  <c r="G283" i="49"/>
  <c r="G288" i="49"/>
  <c r="G294" i="49"/>
  <c r="G299" i="49"/>
  <c r="G304" i="49"/>
  <c r="G230" i="49"/>
  <c r="G236" i="49"/>
  <c r="G242" i="49"/>
  <c r="G247" i="49"/>
  <c r="G252" i="49"/>
  <c r="G258" i="49"/>
  <c r="G263" i="49"/>
  <c r="G268" i="49"/>
  <c r="G274" i="49"/>
  <c r="G279" i="49"/>
  <c r="G284" i="49"/>
  <c r="G290" i="49"/>
  <c r="G295" i="49"/>
  <c r="G300" i="49"/>
  <c r="G291" i="49"/>
  <c r="D484" i="49"/>
  <c r="D505" i="49"/>
  <c r="D324" i="49"/>
  <c r="D345" i="49"/>
  <c r="H247" i="49"/>
  <c r="H269" i="49"/>
  <c r="H290" i="49"/>
  <c r="E240" i="49"/>
  <c r="E256" i="49"/>
  <c r="E272" i="49"/>
  <c r="E288" i="49"/>
  <c r="E304" i="49"/>
  <c r="D155" i="49"/>
  <c r="D171" i="49"/>
  <c r="H72" i="49"/>
  <c r="H88" i="49"/>
  <c r="H104" i="49"/>
  <c r="H120" i="49"/>
  <c r="G63" i="49"/>
  <c r="G79" i="49"/>
  <c r="G95" i="49"/>
  <c r="G111" i="49"/>
  <c r="G127" i="49"/>
  <c r="F70" i="49"/>
  <c r="F86" i="49"/>
  <c r="F102" i="49"/>
  <c r="F118" i="49"/>
  <c r="D347" i="49"/>
  <c r="D331" i="49"/>
  <c r="D315" i="49"/>
  <c r="F67" i="49"/>
  <c r="F83" i="49"/>
  <c r="F99" i="49"/>
  <c r="F115" i="49"/>
  <c r="F131" i="49"/>
  <c r="D519" i="49"/>
  <c r="D503" i="49"/>
  <c r="D487" i="49"/>
  <c r="D316" i="49"/>
  <c r="D337" i="49"/>
  <c r="H296" i="49"/>
  <c r="H280" i="49"/>
  <c r="H264" i="49"/>
  <c r="H248" i="49"/>
  <c r="H232" i="49"/>
  <c r="E234" i="49"/>
  <c r="E250" i="49"/>
  <c r="E266" i="49"/>
  <c r="E282" i="49"/>
  <c r="E298" i="49"/>
  <c r="H66" i="49"/>
  <c r="H82" i="49"/>
  <c r="H98" i="49"/>
  <c r="H114" i="49"/>
  <c r="H130" i="49"/>
  <c r="F72" i="49"/>
  <c r="F88" i="49"/>
  <c r="F104" i="49"/>
  <c r="F120" i="49"/>
  <c r="D25" i="49"/>
  <c r="D41" i="49"/>
  <c r="H127" i="49"/>
  <c r="D514" i="49"/>
  <c r="H262" i="49"/>
  <c r="H291" i="49"/>
  <c r="G237" i="49"/>
  <c r="G253" i="49"/>
  <c r="G269" i="49"/>
  <c r="G285" i="49"/>
  <c r="G301" i="49"/>
  <c r="F240" i="49"/>
  <c r="F256" i="49"/>
  <c r="F272" i="49"/>
  <c r="F288" i="49"/>
  <c r="F69" i="49"/>
  <c r="D488" i="49"/>
  <c r="D517" i="49"/>
  <c r="H243" i="49"/>
  <c r="H271" i="49"/>
  <c r="H299" i="49"/>
  <c r="F245" i="49"/>
  <c r="F261" i="49"/>
  <c r="F277" i="49"/>
  <c r="F293" i="49"/>
  <c r="D333" i="49"/>
  <c r="D157" i="49"/>
  <c r="D172" i="49"/>
  <c r="D150" i="49"/>
  <c r="H63" i="49"/>
  <c r="H133" i="49"/>
  <c r="G98" i="49"/>
  <c r="E62" i="49"/>
  <c r="E94" i="49"/>
  <c r="E126" i="49"/>
  <c r="D16" i="49"/>
  <c r="G121" i="49"/>
  <c r="E124" i="49"/>
  <c r="E108" i="49"/>
  <c r="E92" i="49"/>
  <c r="E76" i="49"/>
  <c r="E60" i="49"/>
  <c r="E119" i="49"/>
  <c r="E103" i="49"/>
  <c r="E87" i="49"/>
  <c r="E71" i="49"/>
  <c r="D22" i="49"/>
  <c r="H129" i="49"/>
  <c r="H93" i="49"/>
  <c r="H61" i="49"/>
  <c r="H99" i="49"/>
  <c r="H67" i="49"/>
  <c r="D320" i="49"/>
  <c r="E289" i="49"/>
  <c r="E257" i="49"/>
  <c r="E303" i="49"/>
  <c r="E271" i="49"/>
  <c r="E239" i="49"/>
  <c r="D160" i="49"/>
  <c r="H113" i="49"/>
  <c r="G113" i="49"/>
  <c r="G92" i="49"/>
  <c r="G70" i="49"/>
  <c r="G128" i="49"/>
  <c r="G106" i="49"/>
  <c r="G85" i="49"/>
  <c r="G64" i="49"/>
  <c r="E81" i="49"/>
  <c r="E113" i="49"/>
  <c r="D31" i="49"/>
  <c r="H71" i="49"/>
  <c r="D46" i="49"/>
  <c r="D24" i="49"/>
  <c r="D39" i="49"/>
  <c r="D18" i="49"/>
  <c r="D328" i="49"/>
  <c r="H89" i="49"/>
  <c r="G91" i="57"/>
  <c r="I88" i="57"/>
  <c r="E91" i="57"/>
  <c r="H87" i="57"/>
  <c r="J78" i="57"/>
  <c r="F76" i="57"/>
  <c r="F68" i="57"/>
  <c r="H65" i="57"/>
  <c r="H92" i="57"/>
  <c r="E89" i="57"/>
  <c r="E80" i="57"/>
  <c r="G77" i="57"/>
  <c r="G69" i="57"/>
  <c r="I66" i="57"/>
  <c r="I95" i="57"/>
  <c r="H88" i="57"/>
  <c r="I71" i="57"/>
  <c r="G66" i="57"/>
  <c r="I87" i="57"/>
  <c r="I81" i="57"/>
  <c r="I65" i="57"/>
  <c r="G60" i="57"/>
  <c r="J79" i="57"/>
  <c r="H74" i="57"/>
  <c r="H91" i="57"/>
  <c r="H84" i="57"/>
  <c r="H68" i="57"/>
  <c r="F63" i="57"/>
  <c r="F89" i="57"/>
  <c r="F80" i="57"/>
  <c r="G94" i="57"/>
  <c r="E84" i="57"/>
  <c r="E68" i="57"/>
  <c r="I62" i="57"/>
  <c r="F91" i="57"/>
  <c r="I73" i="57"/>
  <c r="E95" i="57"/>
  <c r="J81" i="57"/>
  <c r="G93" i="57"/>
  <c r="I90" i="57"/>
  <c r="I93" i="57"/>
  <c r="F90" i="57"/>
  <c r="J80" i="57"/>
  <c r="F78" i="57"/>
  <c r="F70" i="57"/>
  <c r="H67" i="57"/>
  <c r="F95" i="57"/>
  <c r="I91" i="57"/>
  <c r="E82" i="57"/>
  <c r="G79" i="57"/>
  <c r="G71" i="57"/>
  <c r="I68" i="57"/>
  <c r="I60" i="57"/>
  <c r="J93" i="57"/>
  <c r="I75" i="57"/>
  <c r="G70" i="57"/>
  <c r="E93" i="57"/>
  <c r="J85" i="57"/>
  <c r="I69" i="57"/>
  <c r="G64" i="57"/>
  <c r="J83" i="57"/>
  <c r="H78" i="57"/>
  <c r="H62" i="57"/>
  <c r="J96" i="57"/>
  <c r="J77" i="57"/>
  <c r="H72" i="57"/>
  <c r="G95" i="57"/>
  <c r="I92" i="57"/>
  <c r="I85" i="57"/>
  <c r="J82" i="57"/>
  <c r="H69" i="57"/>
  <c r="F64" i="57"/>
  <c r="F87" i="57"/>
  <c r="G81" i="57"/>
  <c r="G65" i="57"/>
  <c r="E60" i="57"/>
  <c r="G74" i="57"/>
  <c r="I63" i="57"/>
  <c r="E79" i="57"/>
  <c r="G68" i="57"/>
  <c r="H82" i="57"/>
  <c r="F77" i="57"/>
  <c r="J87" i="57"/>
  <c r="H76" i="57"/>
  <c r="G67" i="57"/>
  <c r="I94" i="57"/>
  <c r="H71" i="57"/>
  <c r="J60" i="57"/>
  <c r="E62" i="57"/>
  <c r="G78" i="57"/>
  <c r="E87" i="57"/>
  <c r="F65" i="57"/>
  <c r="E92" i="57"/>
  <c r="J91" i="57"/>
  <c r="H93" i="57"/>
  <c r="I80" i="57"/>
  <c r="E70" i="57"/>
  <c r="E73" i="57"/>
  <c r="H89" i="57"/>
  <c r="E67" i="57"/>
  <c r="F60" i="57"/>
  <c r="F75" i="57"/>
  <c r="G89" i="57"/>
  <c r="J76" i="57"/>
  <c r="F66" i="57"/>
  <c r="J89" i="57"/>
  <c r="G90" i="57"/>
  <c r="I67" i="57"/>
  <c r="E83" i="57"/>
  <c r="J75" i="57"/>
  <c r="F93" i="57"/>
  <c r="J69" i="57"/>
  <c r="J84" i="57"/>
  <c r="F74" i="57"/>
  <c r="H63" i="57"/>
  <c r="G75" i="57"/>
  <c r="I64" i="57"/>
  <c r="I83" i="57"/>
  <c r="I77" i="57"/>
  <c r="F94" i="57"/>
  <c r="H70" i="57"/>
  <c r="H64" i="57"/>
  <c r="E103" i="57" a="1"/>
  <c r="E11" i="57" a="1"/>
  <c r="E236" i="57" a="1"/>
  <c r="E147" i="57" a="1"/>
  <c r="E280" i="57" a="1"/>
  <c r="E191" i="57" a="1"/>
  <c r="AK518" i="51" a="1"/>
  <c r="AK555" i="51" s="1"/>
  <c r="T540" i="51"/>
  <c r="T524" i="51"/>
  <c r="T518" i="51" a="1"/>
  <c r="T555" i="51" s="1"/>
  <c r="C518" i="51" a="1"/>
  <c r="C536" i="51" s="1"/>
  <c r="AK698" i="51" a="1"/>
  <c r="AK733" i="51" s="1"/>
  <c r="AK654" i="51" a="1"/>
  <c r="AK691" i="51" s="1"/>
  <c r="AK606" i="51" a="1"/>
  <c r="AK562" i="51" a="1"/>
  <c r="AK588" i="51" s="1"/>
  <c r="AK470" i="51" a="1"/>
  <c r="AK426" i="51" a="1"/>
  <c r="AK449" i="51" s="1"/>
  <c r="AK382" i="51" a="1"/>
  <c r="AK398" i="51" s="1"/>
  <c r="AK335" i="51" a="1"/>
  <c r="AK370" i="51" s="1"/>
  <c r="AK291" i="51" a="1"/>
  <c r="AK244" i="51" a="1"/>
  <c r="AK271" i="51" s="1"/>
  <c r="AK200" i="51" a="1"/>
  <c r="AK153" i="51" a="1"/>
  <c r="AK176" i="51" s="1"/>
  <c r="AK109" i="51" a="1"/>
  <c r="AK86" i="51"/>
  <c r="AK58" i="51" a="1"/>
  <c r="AK93" i="51" s="1"/>
  <c r="AK51" i="51"/>
  <c r="AK30" i="51"/>
  <c r="AK14" i="51" a="1"/>
  <c r="AK40" i="51" s="1"/>
  <c r="T698" i="51" a="1"/>
  <c r="T657" i="51"/>
  <c r="T654" i="51" a="1"/>
  <c r="T688" i="51" s="1"/>
  <c r="T625" i="51"/>
  <c r="T606" i="51" a="1"/>
  <c r="T606" i="51" s="1"/>
  <c r="T562" i="51" a="1"/>
  <c r="T470" i="51" a="1"/>
  <c r="T481" i="51" s="1"/>
  <c r="T426" i="51" a="1"/>
  <c r="T463" i="51" s="1"/>
  <c r="T382" i="51" a="1"/>
  <c r="T401" i="51" s="1"/>
  <c r="T335" i="51" a="1"/>
  <c r="T371" i="51" s="1"/>
  <c r="T291" i="51" a="1"/>
  <c r="T321" i="51" s="1"/>
  <c r="T266" i="51"/>
  <c r="T245" i="51"/>
  <c r="T244" i="51" a="1"/>
  <c r="T281" i="51" s="1"/>
  <c r="T200" i="51" a="1"/>
  <c r="T237" i="51" s="1"/>
  <c r="T153" i="51" a="1"/>
  <c r="T188" i="51" s="1"/>
  <c r="T109" i="51" a="1"/>
  <c r="T119" i="51" s="1"/>
  <c r="T58" i="51" a="1"/>
  <c r="T88" i="51" s="1"/>
  <c r="T14" i="51" a="1"/>
  <c r="T51" i="51" s="1"/>
  <c r="AI280" i="57" a="1"/>
  <c r="AI302" i="57" s="1"/>
  <c r="AI236" i="57" a="1"/>
  <c r="AI266" i="57" s="1"/>
  <c r="AI191" i="57" a="1"/>
  <c r="AI228" i="57" s="1"/>
  <c r="AI147" i="57" a="1"/>
  <c r="AI182" i="57" s="1"/>
  <c r="AI103" i="57" a="1"/>
  <c r="AI114" i="57" s="1"/>
  <c r="AI59" i="57" a="1"/>
  <c r="AI94" i="57" s="1"/>
  <c r="AI11" i="57" a="1"/>
  <c r="AI48" i="57" s="1"/>
  <c r="AK359" i="51" l="1"/>
  <c r="T676" i="51"/>
  <c r="T254" i="51"/>
  <c r="T654" i="51"/>
  <c r="T681" i="51"/>
  <c r="F86" i="57"/>
  <c r="G62" i="57"/>
  <c r="G86" i="57"/>
  <c r="I86" i="57"/>
  <c r="I61" i="57"/>
  <c r="E78" i="57"/>
  <c r="G88" i="57"/>
  <c r="F81" i="57"/>
  <c r="G59" i="57"/>
  <c r="J68" i="57"/>
  <c r="I59" i="57"/>
  <c r="G72" i="57"/>
  <c r="I72" i="57"/>
  <c r="F82" i="57"/>
  <c r="H60" i="57"/>
  <c r="F61" i="57"/>
  <c r="J95" i="57"/>
  <c r="G84" i="57"/>
  <c r="I79" i="57"/>
  <c r="I70" i="57"/>
  <c r="J90" i="57"/>
  <c r="F72" i="57"/>
  <c r="J92" i="57"/>
  <c r="J61" i="57"/>
  <c r="F83" i="57"/>
  <c r="J67" i="57"/>
  <c r="H90" i="57"/>
  <c r="E75" i="57"/>
  <c r="J59" i="57"/>
  <c r="E81" i="57"/>
  <c r="G63" i="57"/>
  <c r="E74" i="57"/>
  <c r="I84" i="57"/>
  <c r="F62" i="57"/>
  <c r="J72" i="57"/>
  <c r="H83" i="57"/>
  <c r="G85" i="57"/>
  <c r="E96" i="57"/>
  <c r="H66" i="57"/>
  <c r="E69" i="57"/>
  <c r="G73" i="57"/>
  <c r="J66" i="57"/>
  <c r="G96" i="57"/>
  <c r="J73" i="57"/>
  <c r="J63" i="57"/>
  <c r="F85" i="57"/>
  <c r="E71" i="57"/>
  <c r="J94" i="57"/>
  <c r="E77" i="57"/>
  <c r="G61" i="57"/>
  <c r="E72" i="57"/>
  <c r="I82" i="57"/>
  <c r="F96" i="57"/>
  <c r="J70" i="57"/>
  <c r="H81" i="57"/>
  <c r="H94" i="57"/>
  <c r="E94" i="57"/>
  <c r="H79" i="57"/>
  <c r="H80" i="57"/>
  <c r="H96" i="57"/>
  <c r="G83" i="57"/>
  <c r="H95" i="57"/>
  <c r="F71" i="57"/>
  <c r="J71" i="57"/>
  <c r="E63" i="57"/>
  <c r="E59" i="57"/>
  <c r="F92" i="57"/>
  <c r="E76" i="57"/>
  <c r="H61" i="57"/>
  <c r="H77" i="57"/>
  <c r="G87" i="57"/>
  <c r="F67" i="57"/>
  <c r="I89" i="57"/>
  <c r="F73" i="57"/>
  <c r="H59" i="57"/>
  <c r="G80" i="57"/>
  <c r="E65" i="57"/>
  <c r="J86" i="57"/>
  <c r="E66" i="57"/>
  <c r="I76" i="57"/>
  <c r="F88" i="57"/>
  <c r="J64" i="57"/>
  <c r="H75" i="57"/>
  <c r="H86" i="57"/>
  <c r="E88" i="57"/>
  <c r="J65" i="57"/>
  <c r="J88" i="57"/>
  <c r="E85" i="57"/>
  <c r="I78" i="57"/>
  <c r="J74" i="57"/>
  <c r="E90" i="57"/>
  <c r="F79" i="57"/>
  <c r="F69" i="57"/>
  <c r="G92" i="57"/>
  <c r="G76" i="57"/>
  <c r="E61" i="57"/>
  <c r="G82" i="57"/>
  <c r="E64" i="57"/>
  <c r="I74" i="57"/>
  <c r="H85" i="57"/>
  <c r="J62" i="57"/>
  <c r="H73" i="57"/>
  <c r="F84" i="57"/>
  <c r="E86" i="57"/>
  <c r="F59" i="57"/>
  <c r="T445" i="51"/>
  <c r="T660" i="51"/>
  <c r="AK337" i="51"/>
  <c r="AK384" i="51"/>
  <c r="E27" i="49"/>
  <c r="E43" i="49"/>
  <c r="E17" i="49"/>
  <c r="E33" i="49"/>
  <c r="E49" i="49"/>
  <c r="E19" i="49"/>
  <c r="E35" i="49"/>
  <c r="E25" i="49"/>
  <c r="E41" i="49"/>
  <c r="E29" i="49"/>
  <c r="E23" i="49"/>
  <c r="E44" i="49"/>
  <c r="E28" i="49"/>
  <c r="E12" i="49"/>
  <c r="E34" i="49"/>
  <c r="E18" i="49"/>
  <c r="E14" i="49"/>
  <c r="E37" i="49"/>
  <c r="E31" i="49"/>
  <c r="E40" i="49"/>
  <c r="E24" i="49"/>
  <c r="E46" i="49"/>
  <c r="E30" i="49"/>
  <c r="E13" i="49"/>
  <c r="E45" i="49"/>
  <c r="E39" i="49"/>
  <c r="E36" i="49"/>
  <c r="E20" i="49"/>
  <c r="E42" i="49"/>
  <c r="E26" i="49"/>
  <c r="E21" i="49"/>
  <c r="E15" i="49"/>
  <c r="E47" i="49"/>
  <c r="E48" i="49"/>
  <c r="E32" i="49"/>
  <c r="E16" i="49"/>
  <c r="E38" i="49"/>
  <c r="E22" i="49"/>
  <c r="E417" i="49"/>
  <c r="E443" i="49"/>
  <c r="E465" i="49"/>
  <c r="E422" i="49"/>
  <c r="E438" i="49"/>
  <c r="E449" i="49"/>
  <c r="E454" i="49"/>
  <c r="E412" i="49"/>
  <c r="E428" i="49"/>
  <c r="E444" i="49"/>
  <c r="E460" i="49"/>
  <c r="E476" i="49"/>
  <c r="E458" i="49"/>
  <c r="E437" i="49"/>
  <c r="E415" i="49"/>
  <c r="E457" i="49"/>
  <c r="E435" i="49"/>
  <c r="E414" i="49"/>
  <c r="E471" i="49"/>
  <c r="E450" i="49"/>
  <c r="E429" i="49"/>
  <c r="E407" i="49"/>
  <c r="E459" i="49"/>
  <c r="E470" i="49"/>
  <c r="E475" i="49"/>
  <c r="E416" i="49"/>
  <c r="E432" i="49"/>
  <c r="E448" i="49"/>
  <c r="E464" i="49"/>
  <c r="E474" i="49"/>
  <c r="E453" i="49"/>
  <c r="E431" i="49"/>
  <c r="E410" i="49"/>
  <c r="E473" i="49"/>
  <c r="E451" i="49"/>
  <c r="E430" i="49"/>
  <c r="E409" i="49"/>
  <c r="E466" i="49"/>
  <c r="E445" i="49"/>
  <c r="E423" i="49"/>
  <c r="E402" i="49"/>
  <c r="E406" i="49"/>
  <c r="E411" i="49"/>
  <c r="E404" i="49"/>
  <c r="E420" i="49"/>
  <c r="E436" i="49"/>
  <c r="E452" i="49"/>
  <c r="E468" i="49"/>
  <c r="E469" i="49"/>
  <c r="E447" i="49"/>
  <c r="E426" i="49"/>
  <c r="E405" i="49"/>
  <c r="E467" i="49"/>
  <c r="E446" i="49"/>
  <c r="E425" i="49"/>
  <c r="E403" i="49"/>
  <c r="E461" i="49"/>
  <c r="E439" i="49"/>
  <c r="E418" i="49"/>
  <c r="E427" i="49"/>
  <c r="E433" i="49"/>
  <c r="E408" i="49"/>
  <c r="E424" i="49"/>
  <c r="E440" i="49"/>
  <c r="E456" i="49"/>
  <c r="E472" i="49"/>
  <c r="E463" i="49"/>
  <c r="E442" i="49"/>
  <c r="E421" i="49"/>
  <c r="E462" i="49"/>
  <c r="E441" i="49"/>
  <c r="E419" i="49"/>
  <c r="E477" i="49"/>
  <c r="E455" i="49"/>
  <c r="E434" i="49"/>
  <c r="E413" i="49"/>
  <c r="T183" i="51"/>
  <c r="AK245" i="51"/>
  <c r="AK263" i="51"/>
  <c r="T163" i="51"/>
  <c r="T278" i="51"/>
  <c r="T689" i="51"/>
  <c r="AK246" i="51"/>
  <c r="AK269" i="51"/>
  <c r="AK258" i="51"/>
  <c r="T24" i="51"/>
  <c r="T154" i="51"/>
  <c r="T299" i="51"/>
  <c r="T174" i="51"/>
  <c r="T670" i="51"/>
  <c r="AK19" i="51"/>
  <c r="AK247" i="51"/>
  <c r="AK277" i="51"/>
  <c r="AK520" i="51"/>
  <c r="G183" i="57"/>
  <c r="I180" i="57"/>
  <c r="E178" i="57"/>
  <c r="G175" i="57"/>
  <c r="G184" i="57"/>
  <c r="J180" i="57"/>
  <c r="F177" i="57"/>
  <c r="I173" i="57"/>
  <c r="J170" i="57"/>
  <c r="F168" i="57"/>
  <c r="H165" i="57"/>
  <c r="J162" i="57"/>
  <c r="F160" i="57"/>
  <c r="H157" i="57"/>
  <c r="J154" i="57"/>
  <c r="F152" i="57"/>
  <c r="G182" i="57"/>
  <c r="J178" i="57"/>
  <c r="F175" i="57"/>
  <c r="E172" i="57"/>
  <c r="G169" i="57"/>
  <c r="I166" i="57"/>
  <c r="E164" i="57"/>
  <c r="G161" i="57"/>
  <c r="I158" i="57"/>
  <c r="E156" i="57"/>
  <c r="G153" i="57"/>
  <c r="I150" i="57"/>
  <c r="E148" i="57"/>
  <c r="F180" i="57"/>
  <c r="E173" i="57"/>
  <c r="I167" i="57"/>
  <c r="G162" i="57"/>
  <c r="E157" i="57"/>
  <c r="I151" i="57"/>
  <c r="J147" i="57"/>
  <c r="F179" i="57"/>
  <c r="E171" i="57"/>
  <c r="G160" i="57"/>
  <c r="F150" i="57"/>
  <c r="E183" i="57"/>
  <c r="J175" i="57"/>
  <c r="J169" i="57"/>
  <c r="H164" i="57"/>
  <c r="F159" i="57"/>
  <c r="J153" i="57"/>
  <c r="H149" i="57"/>
  <c r="G172" i="57"/>
  <c r="I161" i="57"/>
  <c r="E151" i="57"/>
  <c r="F182" i="57"/>
  <c r="E175" i="57"/>
  <c r="F169" i="57"/>
  <c r="H162" i="57"/>
  <c r="F157" i="57"/>
  <c r="J151" i="57"/>
  <c r="F148" i="57"/>
  <c r="I182" i="57"/>
  <c r="E180" i="57"/>
  <c r="G177" i="57"/>
  <c r="I174" i="57"/>
  <c r="H183" i="57"/>
  <c r="J179" i="57"/>
  <c r="G176" i="57"/>
  <c r="J172" i="57"/>
  <c r="F170" i="57"/>
  <c r="H167" i="57"/>
  <c r="J164" i="57"/>
  <c r="F162" i="57"/>
  <c r="H159" i="57"/>
  <c r="J156" i="57"/>
  <c r="F154" i="57"/>
  <c r="H151" i="57"/>
  <c r="H181" i="57"/>
  <c r="J177" i="57"/>
  <c r="G174" i="57"/>
  <c r="G171" i="57"/>
  <c r="I168" i="57"/>
  <c r="E166" i="57"/>
  <c r="G163" i="57"/>
  <c r="I160" i="57"/>
  <c r="E158" i="57"/>
  <c r="G155" i="57"/>
  <c r="I152" i="57"/>
  <c r="E150" i="57"/>
  <c r="G147" i="57"/>
  <c r="G178" i="57"/>
  <c r="I171" i="57"/>
  <c r="G166" i="57"/>
  <c r="E161" i="57"/>
  <c r="I155" i="57"/>
  <c r="H150" i="57"/>
  <c r="E147" i="57"/>
  <c r="H177" i="57"/>
  <c r="G168" i="57"/>
  <c r="I157" i="57"/>
  <c r="G148" i="57"/>
  <c r="F181" i="57"/>
  <c r="F174" i="57"/>
  <c r="H168" i="57"/>
  <c r="F163" i="57"/>
  <c r="J157" i="57"/>
  <c r="H152" i="57"/>
  <c r="H148" i="57"/>
  <c r="I169" i="57"/>
  <c r="E159" i="57"/>
  <c r="F149" i="57"/>
  <c r="G180" i="57"/>
  <c r="F173" i="57"/>
  <c r="J167" i="57"/>
  <c r="F161" i="57"/>
  <c r="J155" i="57"/>
  <c r="J150" i="57"/>
  <c r="F147" i="57"/>
  <c r="E182" i="57"/>
  <c r="I176" i="57"/>
  <c r="H182" i="57"/>
  <c r="H175" i="57"/>
  <c r="G181" i="57"/>
  <c r="E176" i="57"/>
  <c r="I181" i="57"/>
  <c r="H174" i="57"/>
  <c r="J168" i="57"/>
  <c r="H163" i="57"/>
  <c r="F158" i="57"/>
  <c r="J152" i="57"/>
  <c r="I179" i="57"/>
  <c r="I172" i="57"/>
  <c r="G167" i="57"/>
  <c r="E162" i="57"/>
  <c r="I156" i="57"/>
  <c r="G151" i="57"/>
  <c r="J181" i="57"/>
  <c r="E169" i="57"/>
  <c r="G158" i="57"/>
  <c r="J148" i="57"/>
  <c r="J173" i="57"/>
  <c r="G152" i="57"/>
  <c r="I177" i="57"/>
  <c r="J165" i="57"/>
  <c r="F155" i="57"/>
  <c r="J182" i="57"/>
  <c r="I153" i="57"/>
  <c r="J176" i="57"/>
  <c r="J163" i="57"/>
  <c r="F153" i="57"/>
  <c r="I184" i="57"/>
  <c r="G179" i="57"/>
  <c r="E174" i="57"/>
  <c r="E179" i="57"/>
  <c r="F172" i="57"/>
  <c r="J166" i="57"/>
  <c r="H161" i="57"/>
  <c r="F156" i="57"/>
  <c r="F184" i="57"/>
  <c r="E177" i="57"/>
  <c r="I170" i="57"/>
  <c r="G165" i="57"/>
  <c r="E160" i="57"/>
  <c r="I154" i="57"/>
  <c r="G149" i="57"/>
  <c r="H176" i="57"/>
  <c r="E165" i="57"/>
  <c r="G154" i="57"/>
  <c r="H184" i="57"/>
  <c r="I165" i="57"/>
  <c r="F165" i="57"/>
  <c r="H172" i="57"/>
  <c r="J161" i="57"/>
  <c r="F151" i="57"/>
  <c r="E167" i="57"/>
  <c r="H147" i="57"/>
  <c r="J171" i="57"/>
  <c r="J159" i="57"/>
  <c r="J149" i="57"/>
  <c r="I148" i="57"/>
  <c r="I178" i="57"/>
  <c r="H169" i="57"/>
  <c r="J158" i="57"/>
  <c r="H180" i="57"/>
  <c r="E168" i="57"/>
  <c r="G157" i="57"/>
  <c r="I183" i="57"/>
  <c r="I159" i="57"/>
  <c r="I175" i="57"/>
  <c r="H179" i="57"/>
  <c r="H156" i="57"/>
  <c r="G156" i="57"/>
  <c r="H166" i="57"/>
  <c r="G173" i="57"/>
  <c r="F166" i="57"/>
  <c r="H155" i="57"/>
  <c r="F176" i="57"/>
  <c r="I164" i="57"/>
  <c r="E154" i="57"/>
  <c r="J174" i="57"/>
  <c r="E153" i="57"/>
  <c r="E163" i="57"/>
  <c r="F171" i="57"/>
  <c r="G150" i="57"/>
  <c r="J183" i="57"/>
  <c r="H158" i="57"/>
  <c r="F178" i="57"/>
  <c r="F164" i="57"/>
  <c r="H153" i="57"/>
  <c r="H173" i="57"/>
  <c r="I162" i="57"/>
  <c r="E152" i="57"/>
  <c r="G170" i="57"/>
  <c r="I149" i="57"/>
  <c r="E155" i="57"/>
  <c r="F167" i="57"/>
  <c r="I147" i="57"/>
  <c r="H178" i="57"/>
  <c r="H154" i="57"/>
  <c r="E184" i="57"/>
  <c r="H171" i="57"/>
  <c r="J160" i="57"/>
  <c r="F183" i="57"/>
  <c r="E170" i="57"/>
  <c r="G159" i="57"/>
  <c r="I163" i="57"/>
  <c r="E181" i="57"/>
  <c r="J184" i="57"/>
  <c r="H160" i="57"/>
  <c r="G164" i="57"/>
  <c r="H170" i="57"/>
  <c r="E149" i="57"/>
  <c r="H273" i="57"/>
  <c r="J270" i="57"/>
  <c r="F268" i="57"/>
  <c r="H265" i="57"/>
  <c r="J262" i="57"/>
  <c r="J271" i="57"/>
  <c r="G268" i="57"/>
  <c r="I264" i="57"/>
  <c r="G261" i="57"/>
  <c r="I258" i="57"/>
  <c r="E256" i="57"/>
  <c r="G253" i="57"/>
  <c r="I250" i="57"/>
  <c r="E248" i="57"/>
  <c r="G245" i="57"/>
  <c r="I242" i="57"/>
  <c r="E240" i="57"/>
  <c r="G237" i="57"/>
  <c r="H272" i="57"/>
  <c r="E269" i="57"/>
  <c r="G265" i="57"/>
  <c r="J261" i="57"/>
  <c r="F259" i="57"/>
  <c r="H268" i="57"/>
  <c r="H261" i="57"/>
  <c r="E257" i="57"/>
  <c r="H253" i="57"/>
  <c r="J249" i="57"/>
  <c r="G246" i="57"/>
  <c r="J242" i="57"/>
  <c r="F239" i="57"/>
  <c r="F273" i="57"/>
  <c r="E266" i="57"/>
  <c r="I259" i="57"/>
  <c r="J255" i="57"/>
  <c r="G252" i="57"/>
  <c r="J248" i="57"/>
  <c r="F245" i="57"/>
  <c r="I241" i="57"/>
  <c r="F238" i="57"/>
  <c r="F271" i="57"/>
  <c r="E264" i="57"/>
  <c r="G258" i="57"/>
  <c r="J254" i="57"/>
  <c r="F251" i="57"/>
  <c r="I247" i="57"/>
  <c r="F244" i="57"/>
  <c r="H240" i="57"/>
  <c r="E237" i="57"/>
  <c r="I268" i="57"/>
  <c r="I261" i="57"/>
  <c r="F257" i="57"/>
  <c r="I253" i="57"/>
  <c r="F250" i="57"/>
  <c r="H246" i="57"/>
  <c r="E243" i="57"/>
  <c r="H239" i="57"/>
  <c r="H269" i="57"/>
  <c r="I269" i="57"/>
  <c r="J239" i="57"/>
  <c r="H256" i="57"/>
  <c r="J245" i="57"/>
  <c r="J238" i="57"/>
  <c r="F265" i="57"/>
  <c r="H255" i="57"/>
  <c r="G248" i="57"/>
  <c r="I237" i="57"/>
  <c r="J268" i="57"/>
  <c r="G270" i="57"/>
  <c r="F247" i="57"/>
  <c r="H236" i="57"/>
  <c r="J256" i="57"/>
  <c r="F246" i="57"/>
  <c r="E273" i="57"/>
  <c r="I255" i="57"/>
  <c r="H248" i="57"/>
  <c r="H241" i="57"/>
  <c r="G263" i="57"/>
  <c r="H254" i="57"/>
  <c r="H247" i="57"/>
  <c r="J236" i="57"/>
  <c r="J272" i="57"/>
  <c r="F270" i="57"/>
  <c r="H267" i="57"/>
  <c r="J264" i="57"/>
  <c r="F262" i="57"/>
  <c r="E271" i="57"/>
  <c r="G267" i="57"/>
  <c r="J263" i="57"/>
  <c r="I260" i="57"/>
  <c r="E258" i="57"/>
  <c r="G255" i="57"/>
  <c r="I252" i="57"/>
  <c r="E250" i="57"/>
  <c r="G247" i="57"/>
  <c r="I244" i="57"/>
  <c r="E242" i="57"/>
  <c r="G239" i="57"/>
  <c r="I236" i="57"/>
  <c r="I271" i="57"/>
  <c r="E268" i="57"/>
  <c r="H264" i="57"/>
  <c r="F261" i="57"/>
  <c r="J273" i="57"/>
  <c r="I266" i="57"/>
  <c r="F260" i="57"/>
  <c r="F256" i="57"/>
  <c r="H252" i="57"/>
  <c r="E249" i="57"/>
  <c r="H245" i="57"/>
  <c r="J241" i="57"/>
  <c r="G238" i="57"/>
  <c r="G271" i="57"/>
  <c r="G264" i="57"/>
  <c r="H258" i="57"/>
  <c r="E255" i="57"/>
  <c r="H251" i="57"/>
  <c r="J247" i="57"/>
  <c r="G244" i="57"/>
  <c r="J240" i="57"/>
  <c r="F237" i="57"/>
  <c r="G269" i="57"/>
  <c r="G262" i="57"/>
  <c r="H257" i="57"/>
  <c r="J253" i="57"/>
  <c r="G250" i="57"/>
  <c r="J246" i="57"/>
  <c r="F243" i="57"/>
  <c r="I239" i="57"/>
  <c r="F236" i="57"/>
  <c r="E267" i="57"/>
  <c r="G260" i="57"/>
  <c r="G256" i="57"/>
  <c r="J252" i="57"/>
  <c r="F249" i="57"/>
  <c r="I245" i="57"/>
  <c r="F242" i="57"/>
  <c r="H238" i="57"/>
  <c r="F272" i="57"/>
  <c r="J266" i="57"/>
  <c r="F264" i="57"/>
  <c r="I273" i="57"/>
  <c r="E270" i="57"/>
  <c r="H266" i="57"/>
  <c r="E263" i="57"/>
  <c r="E260" i="57"/>
  <c r="G257" i="57"/>
  <c r="I254" i="57"/>
  <c r="E252" i="57"/>
  <c r="G249" i="57"/>
  <c r="I246" i="57"/>
  <c r="E244" i="57"/>
  <c r="G241" i="57"/>
  <c r="I238" i="57"/>
  <c r="E236" i="57"/>
  <c r="I270" i="57"/>
  <c r="F267" i="57"/>
  <c r="I263" i="57"/>
  <c r="H260" i="57"/>
  <c r="E272" i="57"/>
  <c r="E265" i="57"/>
  <c r="J258" i="57"/>
  <c r="F255" i="57"/>
  <c r="I251" i="57"/>
  <c r="F248" i="57"/>
  <c r="H244" i="57"/>
  <c r="E241" i="57"/>
  <c r="H237" i="57"/>
  <c r="H262" i="57"/>
  <c r="I257" i="57"/>
  <c r="F254" i="57"/>
  <c r="H250" i="57"/>
  <c r="E247" i="57"/>
  <c r="H243" i="57"/>
  <c r="G236" i="57"/>
  <c r="I267" i="57"/>
  <c r="J260" i="57"/>
  <c r="E253" i="57"/>
  <c r="H249" i="57"/>
  <c r="G242" i="57"/>
  <c r="G272" i="57"/>
  <c r="E259" i="57"/>
  <c r="J251" i="57"/>
  <c r="J244" i="57"/>
  <c r="F241" i="57"/>
  <c r="H271" i="57"/>
  <c r="F266" i="57"/>
  <c r="H263" i="57"/>
  <c r="I272" i="57"/>
  <c r="F269" i="57"/>
  <c r="I265" i="57"/>
  <c r="E262" i="57"/>
  <c r="G259" i="57"/>
  <c r="I256" i="57"/>
  <c r="E254" i="57"/>
  <c r="G251" i="57"/>
  <c r="I248" i="57"/>
  <c r="E246" i="57"/>
  <c r="G243" i="57"/>
  <c r="I240" i="57"/>
  <c r="E238" i="57"/>
  <c r="G273" i="57"/>
  <c r="J269" i="57"/>
  <c r="G266" i="57"/>
  <c r="I262" i="57"/>
  <c r="J259" i="57"/>
  <c r="F263" i="57"/>
  <c r="J257" i="57"/>
  <c r="G254" i="57"/>
  <c r="J250" i="57"/>
  <c r="I243" i="57"/>
  <c r="F240" i="57"/>
  <c r="J267" i="57"/>
  <c r="E261" i="57"/>
  <c r="F253" i="57"/>
  <c r="I249" i="57"/>
  <c r="H242" i="57"/>
  <c r="E239" i="57"/>
  <c r="J265" i="57"/>
  <c r="H259" i="57"/>
  <c r="F252" i="57"/>
  <c r="E245" i="57"/>
  <c r="J237" i="57"/>
  <c r="H270" i="57"/>
  <c r="F258" i="57"/>
  <c r="E251" i="57"/>
  <c r="J243" i="57"/>
  <c r="G240" i="57"/>
  <c r="AI238" i="57"/>
  <c r="H228" i="57"/>
  <c r="J225" i="57"/>
  <c r="F223" i="57"/>
  <c r="H220" i="57"/>
  <c r="J217" i="57"/>
  <c r="G226" i="57"/>
  <c r="J222" i="57"/>
  <c r="G219" i="57"/>
  <c r="E216" i="57"/>
  <c r="G213" i="57"/>
  <c r="I210" i="57"/>
  <c r="E208" i="57"/>
  <c r="G205" i="57"/>
  <c r="I202" i="57"/>
  <c r="E226" i="57"/>
  <c r="G222" i="57"/>
  <c r="J218" i="57"/>
  <c r="I215" i="57"/>
  <c r="E213" i="57"/>
  <c r="G210" i="57"/>
  <c r="I207" i="57"/>
  <c r="E205" i="57"/>
  <c r="G202" i="57"/>
  <c r="I199" i="57"/>
  <c r="E197" i="57"/>
  <c r="G194" i="57"/>
  <c r="I191" i="57"/>
  <c r="J224" i="57"/>
  <c r="I217" i="57"/>
  <c r="F212" i="57"/>
  <c r="J206" i="57"/>
  <c r="J201" i="57"/>
  <c r="F198" i="57"/>
  <c r="I194" i="57"/>
  <c r="F191" i="57"/>
  <c r="F222" i="57"/>
  <c r="H215" i="57"/>
  <c r="F210" i="57"/>
  <c r="J204" i="57"/>
  <c r="H200" i="57"/>
  <c r="J196" i="57"/>
  <c r="G193" i="57"/>
  <c r="F200" i="57"/>
  <c r="E228" i="57"/>
  <c r="J220" i="57"/>
  <c r="H214" i="57"/>
  <c r="F209" i="57"/>
  <c r="J203" i="57"/>
  <c r="J199" i="57"/>
  <c r="F196" i="57"/>
  <c r="I192" i="57"/>
  <c r="G225" i="57"/>
  <c r="F218" i="57"/>
  <c r="H212" i="57"/>
  <c r="J205" i="57"/>
  <c r="F201" i="57"/>
  <c r="J195" i="57"/>
  <c r="H224" i="57"/>
  <c r="F219" i="57"/>
  <c r="I224" i="57"/>
  <c r="I214" i="57"/>
  <c r="I206" i="57"/>
  <c r="F224" i="57"/>
  <c r="G214" i="57"/>
  <c r="G206" i="57"/>
  <c r="E201" i="57"/>
  <c r="I195" i="57"/>
  <c r="G228" i="57"/>
  <c r="H209" i="57"/>
  <c r="E200" i="57"/>
  <c r="J192" i="57"/>
  <c r="I218" i="57"/>
  <c r="F202" i="57"/>
  <c r="F195" i="57"/>
  <c r="J194" i="57"/>
  <c r="G217" i="57"/>
  <c r="H201" i="57"/>
  <c r="H194" i="57"/>
  <c r="I221" i="57"/>
  <c r="H208" i="57"/>
  <c r="F193" i="57"/>
  <c r="J223" i="57"/>
  <c r="H218" i="57"/>
  <c r="G227" i="57"/>
  <c r="F220" i="57"/>
  <c r="E214" i="57"/>
  <c r="I208" i="57"/>
  <c r="G203" i="57"/>
  <c r="G223" i="57"/>
  <c r="G216" i="57"/>
  <c r="E211" i="57"/>
  <c r="I205" i="57"/>
  <c r="G200" i="57"/>
  <c r="J227" i="57"/>
  <c r="F225" i="57"/>
  <c r="H222" i="57"/>
  <c r="J219" i="57"/>
  <c r="F217" i="57"/>
  <c r="H225" i="57"/>
  <c r="E222" i="57"/>
  <c r="G218" i="57"/>
  <c r="G215" i="57"/>
  <c r="I212" i="57"/>
  <c r="E210" i="57"/>
  <c r="G207" i="57"/>
  <c r="I204" i="57"/>
  <c r="I228" i="57"/>
  <c r="E225" i="57"/>
  <c r="H221" i="57"/>
  <c r="E218" i="57"/>
  <c r="E215" i="57"/>
  <c r="G212" i="57"/>
  <c r="I209" i="57"/>
  <c r="E207" i="57"/>
  <c r="G204" i="57"/>
  <c r="I201" i="57"/>
  <c r="E199" i="57"/>
  <c r="G196" i="57"/>
  <c r="I193" i="57"/>
  <c r="E191" i="57"/>
  <c r="E223" i="57"/>
  <c r="F216" i="57"/>
  <c r="J210" i="57"/>
  <c r="H205" i="57"/>
  <c r="J200" i="57"/>
  <c r="G197" i="57"/>
  <c r="J193" i="57"/>
  <c r="H227" i="57"/>
  <c r="G220" i="57"/>
  <c r="F214" i="57"/>
  <c r="J208" i="57"/>
  <c r="H203" i="57"/>
  <c r="H199" i="57"/>
  <c r="E196" i="57"/>
  <c r="H192" i="57"/>
  <c r="I196" i="57"/>
  <c r="F226" i="57"/>
  <c r="E219" i="57"/>
  <c r="F213" i="57"/>
  <c r="J207" i="57"/>
  <c r="H202" i="57"/>
  <c r="J198" i="57"/>
  <c r="G195" i="57"/>
  <c r="J191" i="57"/>
  <c r="H223" i="57"/>
  <c r="H216" i="57"/>
  <c r="F211" i="57"/>
  <c r="H204" i="57"/>
  <c r="G199" i="57"/>
  <c r="E194" i="57"/>
  <c r="F227" i="57"/>
  <c r="J221" i="57"/>
  <c r="F228" i="57"/>
  <c r="E221" i="57"/>
  <c r="H217" i="57"/>
  <c r="E212" i="57"/>
  <c r="G209" i="57"/>
  <c r="E204" i="57"/>
  <c r="I227" i="57"/>
  <c r="I220" i="57"/>
  <c r="E217" i="57"/>
  <c r="I211" i="57"/>
  <c r="E209" i="57"/>
  <c r="I203" i="57"/>
  <c r="G198" i="57"/>
  <c r="E193" i="57"/>
  <c r="G221" i="57"/>
  <c r="J214" i="57"/>
  <c r="F204" i="57"/>
  <c r="H196" i="57"/>
  <c r="I225" i="57"/>
  <c r="J212" i="57"/>
  <c r="H207" i="57"/>
  <c r="I198" i="57"/>
  <c r="H191" i="57"/>
  <c r="G224" i="57"/>
  <c r="J211" i="57"/>
  <c r="H206" i="57"/>
  <c r="E198" i="57"/>
  <c r="J228" i="57"/>
  <c r="F215" i="57"/>
  <c r="F203" i="57"/>
  <c r="H198" i="57"/>
  <c r="H226" i="57"/>
  <c r="F221" i="57"/>
  <c r="I223" i="57"/>
  <c r="I216" i="57"/>
  <c r="G211" i="57"/>
  <c r="E206" i="57"/>
  <c r="J226" i="57"/>
  <c r="I219" i="57"/>
  <c r="I213" i="57"/>
  <c r="G208" i="57"/>
  <c r="E203" i="57"/>
  <c r="G192" i="57"/>
  <c r="F208" i="57"/>
  <c r="E192" i="57"/>
  <c r="F206" i="57"/>
  <c r="J209" i="57"/>
  <c r="H210" i="57"/>
  <c r="H193" i="57"/>
  <c r="F207" i="57"/>
  <c r="I226" i="57"/>
  <c r="J202" i="57"/>
  <c r="E224" i="57"/>
  <c r="G201" i="57"/>
  <c r="F192" i="57"/>
  <c r="F205" i="57"/>
  <c r="E227" i="57"/>
  <c r="E202" i="57"/>
  <c r="I197" i="57"/>
  <c r="H219" i="57"/>
  <c r="F199" i="57"/>
  <c r="J216" i="57"/>
  <c r="J197" i="57"/>
  <c r="I222" i="57"/>
  <c r="I200" i="57"/>
  <c r="E220" i="57"/>
  <c r="H197" i="57"/>
  <c r="E195" i="57"/>
  <c r="H213" i="57"/>
  <c r="H195" i="57"/>
  <c r="H211" i="57"/>
  <c r="F194" i="57"/>
  <c r="J215" i="57"/>
  <c r="F197" i="57"/>
  <c r="J213" i="57"/>
  <c r="G191" i="57"/>
  <c r="E13" i="57"/>
  <c r="J22" i="57"/>
  <c r="F32" i="57"/>
  <c r="E43" i="57"/>
  <c r="H21" i="57"/>
  <c r="J34" i="57"/>
  <c r="I11" i="57"/>
  <c r="G20" i="57"/>
  <c r="I30" i="57"/>
  <c r="E44" i="57"/>
  <c r="J26" i="57"/>
  <c r="E35" i="57"/>
  <c r="G24" i="57"/>
  <c r="I38" i="57"/>
  <c r="G40" i="57"/>
  <c r="I21" i="57"/>
  <c r="F48" i="57"/>
  <c r="I44" i="57"/>
  <c r="F40" i="57"/>
  <c r="E47" i="57"/>
  <c r="H43" i="57"/>
  <c r="E40" i="57"/>
  <c r="G36" i="57"/>
  <c r="J32" i="57"/>
  <c r="E29" i="57"/>
  <c r="I23" i="57"/>
  <c r="G18" i="57"/>
  <c r="J46" i="57"/>
  <c r="G43" i="57"/>
  <c r="J38" i="57"/>
  <c r="G35" i="57"/>
  <c r="I31" i="57"/>
  <c r="H27" i="57"/>
  <c r="F22" i="57"/>
  <c r="J16" i="57"/>
  <c r="H11" i="57"/>
  <c r="G27" i="57"/>
  <c r="I24" i="57"/>
  <c r="E22" i="57"/>
  <c r="G19" i="57"/>
  <c r="I16" i="57"/>
  <c r="E14" i="57"/>
  <c r="G11" i="57"/>
  <c r="H46" i="57"/>
  <c r="J43" i="57"/>
  <c r="F41" i="57"/>
  <c r="H38" i="57"/>
  <c r="J35" i="57"/>
  <c r="F33" i="57"/>
  <c r="H30" i="57"/>
  <c r="J27" i="57"/>
  <c r="F25" i="57"/>
  <c r="H22" i="57"/>
  <c r="J19" i="57"/>
  <c r="F17" i="57"/>
  <c r="H14" i="57"/>
  <c r="J11" i="57"/>
  <c r="J14" i="57"/>
  <c r="H25" i="57"/>
  <c r="E34" i="57"/>
  <c r="I46" i="57"/>
  <c r="F24" i="57"/>
  <c r="I36" i="57"/>
  <c r="H13" i="57"/>
  <c r="E23" i="57"/>
  <c r="F34" i="57"/>
  <c r="H47" i="57"/>
  <c r="G38" i="57"/>
  <c r="E27" i="57"/>
  <c r="J36" i="57"/>
  <c r="H31" i="57"/>
  <c r="H17" i="57"/>
  <c r="F28" i="57"/>
  <c r="H37" i="57"/>
  <c r="F12" i="57"/>
  <c r="H29" i="57"/>
  <c r="G41" i="57"/>
  <c r="E15" i="57"/>
  <c r="I25" i="57"/>
  <c r="E36" i="57"/>
  <c r="I13" i="57"/>
  <c r="J44" i="57"/>
  <c r="F42" i="57"/>
  <c r="I29" i="57"/>
  <c r="G12" i="57"/>
  <c r="G42" i="57"/>
  <c r="E33" i="57"/>
  <c r="I15" i="57"/>
  <c r="G46" i="57"/>
  <c r="J42" i="57"/>
  <c r="J48" i="57"/>
  <c r="G45" i="57"/>
  <c r="I41" i="57"/>
  <c r="F38" i="57"/>
  <c r="I34" i="57"/>
  <c r="E31" i="57"/>
  <c r="G26" i="57"/>
  <c r="E21" i="57"/>
  <c r="I48" i="57"/>
  <c r="E45" i="57"/>
  <c r="I40" i="57"/>
  <c r="E37" i="57"/>
  <c r="H33" i="57"/>
  <c r="E30" i="57"/>
  <c r="J24" i="57"/>
  <c r="H19" i="57"/>
  <c r="F14" i="57"/>
  <c r="I28" i="57"/>
  <c r="E26" i="57"/>
  <c r="G23" i="57"/>
  <c r="I20" i="57"/>
  <c r="E18" i="57"/>
  <c r="G15" i="57"/>
  <c r="I12" i="57"/>
  <c r="J47" i="57"/>
  <c r="F45" i="57"/>
  <c r="H42" i="57"/>
  <c r="J39" i="57"/>
  <c r="F37" i="57"/>
  <c r="H34" i="57"/>
  <c r="J31" i="57"/>
  <c r="F29" i="57"/>
  <c r="H26" i="57"/>
  <c r="J23" i="57"/>
  <c r="F21" i="57"/>
  <c r="H18" i="57"/>
  <c r="J15" i="57"/>
  <c r="F13" i="57"/>
  <c r="E11" i="57"/>
  <c r="F20" i="57"/>
  <c r="G30" i="57"/>
  <c r="H39" i="57"/>
  <c r="F16" i="57"/>
  <c r="G31" i="57"/>
  <c r="G48" i="57"/>
  <c r="I17" i="57"/>
  <c r="G28" i="57"/>
  <c r="I37" i="57"/>
  <c r="J18" i="57"/>
  <c r="I45" i="57"/>
  <c r="G33" i="57"/>
  <c r="E19" i="57"/>
  <c r="E41" i="57"/>
  <c r="G32" i="57"/>
  <c r="G14" i="57"/>
  <c r="H45" i="57"/>
  <c r="E42" i="57"/>
  <c r="E48" i="57"/>
  <c r="G44" i="57"/>
  <c r="J40" i="57"/>
  <c r="G37" i="57"/>
  <c r="I33" i="57"/>
  <c r="F30" i="57"/>
  <c r="E25" i="57"/>
  <c r="I19" i="57"/>
  <c r="G16" i="57"/>
  <c r="F46" i="57"/>
  <c r="E32" i="57"/>
  <c r="I47" i="57"/>
  <c r="I39" i="57"/>
  <c r="I32" i="57"/>
  <c r="H23" i="57"/>
  <c r="J12" i="57"/>
  <c r="G25" i="57"/>
  <c r="E20" i="57"/>
  <c r="I14" i="57"/>
  <c r="F47" i="57"/>
  <c r="J41" i="57"/>
  <c r="H36" i="57"/>
  <c r="F31" i="57"/>
  <c r="J25" i="57"/>
  <c r="H20" i="57"/>
  <c r="F15" i="57"/>
  <c r="I43" i="57"/>
  <c r="G22" i="57"/>
  <c r="F36" i="57"/>
  <c r="J28" i="57"/>
  <c r="E28" i="57"/>
  <c r="I22" i="57"/>
  <c r="G17" i="57"/>
  <c r="H44" i="57"/>
  <c r="F39" i="57"/>
  <c r="J33" i="57"/>
  <c r="F23" i="57"/>
  <c r="J17" i="57"/>
  <c r="G39" i="57"/>
  <c r="G34" i="57"/>
  <c r="I26" i="57"/>
  <c r="H48" i="57"/>
  <c r="F27" i="57"/>
  <c r="G47" i="57"/>
  <c r="I42" i="57"/>
  <c r="I27" i="57"/>
  <c r="E46" i="57"/>
  <c r="E38" i="57"/>
  <c r="J30" i="57"/>
  <c r="J20" i="57"/>
  <c r="G29" i="57"/>
  <c r="E24" i="57"/>
  <c r="I18" i="57"/>
  <c r="G13" i="57"/>
  <c r="J45" i="57"/>
  <c r="H40" i="57"/>
  <c r="F35" i="57"/>
  <c r="J29" i="57"/>
  <c r="H24" i="57"/>
  <c r="F19" i="57"/>
  <c r="J13" i="57"/>
  <c r="F11" i="57"/>
  <c r="E39" i="57"/>
  <c r="F44" i="57"/>
  <c r="F18" i="57"/>
  <c r="E12" i="57"/>
  <c r="H28" i="57"/>
  <c r="H12" i="57"/>
  <c r="I35" i="57"/>
  <c r="H35" i="57"/>
  <c r="E17" i="57"/>
  <c r="H41" i="57"/>
  <c r="F26" i="57"/>
  <c r="H15" i="57"/>
  <c r="G21" i="57"/>
  <c r="E16" i="57"/>
  <c r="F43" i="57"/>
  <c r="J37" i="57"/>
  <c r="H32" i="57"/>
  <c r="J21" i="57"/>
  <c r="H16" i="57"/>
  <c r="H317" i="57"/>
  <c r="J314" i="57"/>
  <c r="F312" i="57"/>
  <c r="H309" i="57"/>
  <c r="J306" i="57"/>
  <c r="E316" i="57"/>
  <c r="H312" i="57"/>
  <c r="E309" i="57"/>
  <c r="H305" i="57"/>
  <c r="J302" i="57"/>
  <c r="F300" i="57"/>
  <c r="H297" i="57"/>
  <c r="J294" i="57"/>
  <c r="F292" i="57"/>
  <c r="H289" i="57"/>
  <c r="J286" i="57"/>
  <c r="F284" i="57"/>
  <c r="H281" i="57"/>
  <c r="I316" i="57"/>
  <c r="F313" i="57"/>
  <c r="I309" i="57"/>
  <c r="E306" i="57"/>
  <c r="G303" i="57"/>
  <c r="I314" i="57"/>
  <c r="F311" i="57"/>
  <c r="I307" i="57"/>
  <c r="H304" i="57"/>
  <c r="J301" i="57"/>
  <c r="F299" i="57"/>
  <c r="H296" i="57"/>
  <c r="J293" i="57"/>
  <c r="F291" i="57"/>
  <c r="H288" i="57"/>
  <c r="J285" i="57"/>
  <c r="F283" i="57"/>
  <c r="H280" i="57"/>
  <c r="H306" i="57"/>
  <c r="G299" i="57"/>
  <c r="E294" i="57"/>
  <c r="I288" i="57"/>
  <c r="G283" i="57"/>
  <c r="J311" i="57"/>
  <c r="G301" i="57"/>
  <c r="E296" i="57"/>
  <c r="I290" i="57"/>
  <c r="G285" i="57"/>
  <c r="E280" i="57"/>
  <c r="G304" i="57"/>
  <c r="G298" i="57"/>
  <c r="E293" i="57"/>
  <c r="I287" i="57"/>
  <c r="G282" i="57"/>
  <c r="F309" i="57"/>
  <c r="G300" i="57"/>
  <c r="E295" i="57"/>
  <c r="I289" i="57"/>
  <c r="G284" i="57"/>
  <c r="J316" i="57"/>
  <c r="F314" i="57"/>
  <c r="H311" i="57"/>
  <c r="J308" i="57"/>
  <c r="F306" i="57"/>
  <c r="F315" i="57"/>
  <c r="I311" i="57"/>
  <c r="E308" i="57"/>
  <c r="J304" i="57"/>
  <c r="F302" i="57"/>
  <c r="H299" i="57"/>
  <c r="J296" i="57"/>
  <c r="F294" i="57"/>
  <c r="H291" i="57"/>
  <c r="J288" i="57"/>
  <c r="F286" i="57"/>
  <c r="H283" i="57"/>
  <c r="J280" i="57"/>
  <c r="J315" i="57"/>
  <c r="G312" i="57"/>
  <c r="I308" i="57"/>
  <c r="G305" i="57"/>
  <c r="G317" i="57"/>
  <c r="J313" i="57"/>
  <c r="G310" i="57"/>
  <c r="I306" i="57"/>
  <c r="J303" i="57"/>
  <c r="F301" i="57"/>
  <c r="H298" i="57"/>
  <c r="J295" i="57"/>
  <c r="F293" i="57"/>
  <c r="H290" i="57"/>
  <c r="J287" i="57"/>
  <c r="F285" i="57"/>
  <c r="H282" i="57"/>
  <c r="F317" i="57"/>
  <c r="I303" i="57"/>
  <c r="E298" i="57"/>
  <c r="I292" i="57"/>
  <c r="G287" i="57"/>
  <c r="E282" i="57"/>
  <c r="G308" i="57"/>
  <c r="E300" i="57"/>
  <c r="I294" i="57"/>
  <c r="G289" i="57"/>
  <c r="E284" i="57"/>
  <c r="H314" i="57"/>
  <c r="G302" i="57"/>
  <c r="E297" i="57"/>
  <c r="I291" i="57"/>
  <c r="G286" i="57"/>
  <c r="E281" i="57"/>
  <c r="I305" i="57"/>
  <c r="E299" i="57"/>
  <c r="I293" i="57"/>
  <c r="G288" i="57"/>
  <c r="E283" i="57"/>
  <c r="F316" i="57"/>
  <c r="J310" i="57"/>
  <c r="J317" i="57"/>
  <c r="I310" i="57"/>
  <c r="F304" i="57"/>
  <c r="J298" i="57"/>
  <c r="H293" i="57"/>
  <c r="F288" i="57"/>
  <c r="J282" i="57"/>
  <c r="E315" i="57"/>
  <c r="J307" i="57"/>
  <c r="H316" i="57"/>
  <c r="G309" i="57"/>
  <c r="F303" i="57"/>
  <c r="J297" i="57"/>
  <c r="H292" i="57"/>
  <c r="F287" i="57"/>
  <c r="J281" i="57"/>
  <c r="E302" i="57"/>
  <c r="G291" i="57"/>
  <c r="I280" i="57"/>
  <c r="I298" i="57"/>
  <c r="E288" i="57"/>
  <c r="E311" i="57"/>
  <c r="I295" i="57"/>
  <c r="E285" i="57"/>
  <c r="E303" i="57"/>
  <c r="G292" i="57"/>
  <c r="I281" i="57"/>
  <c r="H315" i="57"/>
  <c r="F310" i="57"/>
  <c r="E317" i="57"/>
  <c r="J309" i="57"/>
  <c r="H303" i="57"/>
  <c r="F298" i="57"/>
  <c r="J292" i="57"/>
  <c r="H287" i="57"/>
  <c r="F282" i="57"/>
  <c r="E314" i="57"/>
  <c r="E307" i="57"/>
  <c r="I315" i="57"/>
  <c r="H308" i="57"/>
  <c r="H302" i="57"/>
  <c r="F297" i="57"/>
  <c r="J291" i="57"/>
  <c r="H286" i="57"/>
  <c r="F281" i="57"/>
  <c r="I300" i="57"/>
  <c r="E290" i="57"/>
  <c r="G315" i="57"/>
  <c r="G297" i="57"/>
  <c r="I286" i="57"/>
  <c r="G307" i="57"/>
  <c r="G294" i="57"/>
  <c r="I283" i="57"/>
  <c r="I301" i="57"/>
  <c r="E291" i="57"/>
  <c r="G280" i="57"/>
  <c r="H313" i="57"/>
  <c r="F308" i="57"/>
  <c r="G314" i="57"/>
  <c r="F307" i="57"/>
  <c r="H301" i="57"/>
  <c r="F296" i="57"/>
  <c r="J290" i="57"/>
  <c r="H285" i="57"/>
  <c r="F280" i="57"/>
  <c r="G311" i="57"/>
  <c r="I304" i="57"/>
  <c r="E313" i="57"/>
  <c r="J305" i="57"/>
  <c r="H300" i="57"/>
  <c r="F295" i="57"/>
  <c r="J289" i="57"/>
  <c r="H284" i="57"/>
  <c r="I313" i="57"/>
  <c r="I296" i="57"/>
  <c r="E286" i="57"/>
  <c r="E305" i="57"/>
  <c r="G293" i="57"/>
  <c r="I282" i="57"/>
  <c r="E301" i="57"/>
  <c r="G290" i="57"/>
  <c r="G316" i="57"/>
  <c r="I297" i="57"/>
  <c r="E287" i="57"/>
  <c r="J312" i="57"/>
  <c r="I317" i="57"/>
  <c r="F305" i="57"/>
  <c r="E289" i="57"/>
  <c r="H307" i="57"/>
  <c r="H295" i="57"/>
  <c r="H310" i="57"/>
  <c r="J299" i="57"/>
  <c r="E310" i="57"/>
  <c r="E292" i="57"/>
  <c r="I312" i="57"/>
  <c r="G313" i="57"/>
  <c r="F290" i="57"/>
  <c r="E304" i="57"/>
  <c r="H294" i="57"/>
  <c r="G295" i="57"/>
  <c r="G281" i="57"/>
  <c r="G296" i="57"/>
  <c r="G306" i="57"/>
  <c r="J284" i="57"/>
  <c r="E312" i="57"/>
  <c r="F289" i="57"/>
  <c r="I284" i="57"/>
  <c r="I299" i="57"/>
  <c r="I285" i="57"/>
  <c r="J300" i="57"/>
  <c r="J283" i="57"/>
  <c r="I302" i="57"/>
  <c r="F139" i="57"/>
  <c r="H136" i="57"/>
  <c r="J133" i="57"/>
  <c r="F131" i="57"/>
  <c r="I140" i="57"/>
  <c r="E137" i="57"/>
  <c r="H133" i="57"/>
  <c r="E130" i="57"/>
  <c r="E127" i="57"/>
  <c r="G124" i="57"/>
  <c r="I121" i="57"/>
  <c r="E119" i="57"/>
  <c r="G116" i="57"/>
  <c r="I113" i="57"/>
  <c r="E111" i="57"/>
  <c r="G108" i="57"/>
  <c r="I105" i="57"/>
  <c r="E103" i="57"/>
  <c r="I137" i="57"/>
  <c r="F134" i="57"/>
  <c r="I130" i="57"/>
  <c r="H127" i="57"/>
  <c r="E139" i="57"/>
  <c r="E132" i="57"/>
  <c r="J125" i="57"/>
  <c r="F122" i="57"/>
  <c r="I118" i="57"/>
  <c r="F115" i="57"/>
  <c r="H111" i="57"/>
  <c r="E108" i="57"/>
  <c r="H104" i="57"/>
  <c r="I136" i="57"/>
  <c r="H129" i="57"/>
  <c r="I124" i="57"/>
  <c r="F121" i="57"/>
  <c r="H117" i="57"/>
  <c r="E114" i="57"/>
  <c r="H110" i="57"/>
  <c r="J106" i="57"/>
  <c r="G103" i="57"/>
  <c r="I134" i="57"/>
  <c r="J127" i="57"/>
  <c r="H123" i="57"/>
  <c r="E120" i="57"/>
  <c r="H116" i="57"/>
  <c r="J112" i="57"/>
  <c r="G109" i="57"/>
  <c r="J105" i="57"/>
  <c r="G139" i="57"/>
  <c r="F132" i="57"/>
  <c r="E126" i="57"/>
  <c r="H122" i="57"/>
  <c r="J118" i="57"/>
  <c r="G115" i="57"/>
  <c r="J111" i="57"/>
  <c r="H138" i="57"/>
  <c r="J135" i="57"/>
  <c r="F133" i="57"/>
  <c r="H130" i="57"/>
  <c r="I139" i="57"/>
  <c r="F136" i="57"/>
  <c r="I132" i="57"/>
  <c r="E129" i="57"/>
  <c r="G126" i="57"/>
  <c r="I123" i="57"/>
  <c r="E121" i="57"/>
  <c r="G118" i="57"/>
  <c r="I115" i="57"/>
  <c r="E113" i="57"/>
  <c r="G110" i="57"/>
  <c r="I107" i="57"/>
  <c r="E105" i="57"/>
  <c r="G140" i="57"/>
  <c r="J136" i="57"/>
  <c r="G133" i="57"/>
  <c r="I129" i="57"/>
  <c r="J126" i="57"/>
  <c r="G137" i="57"/>
  <c r="F130" i="57"/>
  <c r="J124" i="57"/>
  <c r="G121" i="57"/>
  <c r="J117" i="57"/>
  <c r="F114" i="57"/>
  <c r="I110" i="57"/>
  <c r="F107" i="57"/>
  <c r="H103" i="57"/>
  <c r="J134" i="57"/>
  <c r="E128" i="57"/>
  <c r="J123" i="57"/>
  <c r="F120" i="57"/>
  <c r="I116" i="57"/>
  <c r="F113" i="57"/>
  <c r="H109" i="57"/>
  <c r="E106" i="57"/>
  <c r="E140" i="57"/>
  <c r="J132" i="57"/>
  <c r="H126" i="57"/>
  <c r="I122" i="57"/>
  <c r="F119" i="57"/>
  <c r="H115" i="57"/>
  <c r="E112" i="57"/>
  <c r="H108" i="57"/>
  <c r="J104" i="57"/>
  <c r="H137" i="57"/>
  <c r="G130" i="57"/>
  <c r="F125" i="57"/>
  <c r="H121" i="57"/>
  <c r="E118" i="57"/>
  <c r="H114" i="57"/>
  <c r="J139" i="57"/>
  <c r="H134" i="57"/>
  <c r="F129" i="57"/>
  <c r="G134" i="57"/>
  <c r="I127" i="57"/>
  <c r="G122" i="57"/>
  <c r="E117" i="57"/>
  <c r="I111" i="57"/>
  <c r="G106" i="57"/>
  <c r="I138" i="57"/>
  <c r="H131" i="57"/>
  <c r="J140" i="57"/>
  <c r="F127" i="57"/>
  <c r="H119" i="57"/>
  <c r="H112" i="57"/>
  <c r="G105" i="57"/>
  <c r="G131" i="57"/>
  <c r="E122" i="57"/>
  <c r="J114" i="57"/>
  <c r="J107" i="57"/>
  <c r="G136" i="57"/>
  <c r="H124" i="57"/>
  <c r="G117" i="57"/>
  <c r="F110" i="57"/>
  <c r="F103" i="57"/>
  <c r="G127" i="57"/>
  <c r="J119" i="57"/>
  <c r="I112" i="57"/>
  <c r="F108" i="57"/>
  <c r="I104" i="57"/>
  <c r="J137" i="57"/>
  <c r="H132" i="57"/>
  <c r="J138" i="57"/>
  <c r="I131" i="57"/>
  <c r="I125" i="57"/>
  <c r="G120" i="57"/>
  <c r="E115" i="57"/>
  <c r="I109" i="57"/>
  <c r="G104" i="57"/>
  <c r="E136" i="57"/>
  <c r="J128" i="57"/>
  <c r="H135" i="57"/>
  <c r="E124" i="57"/>
  <c r="J116" i="57"/>
  <c r="J109" i="57"/>
  <c r="F140" i="57"/>
  <c r="I126" i="57"/>
  <c r="G119" i="57"/>
  <c r="F112" i="57"/>
  <c r="F105" i="57"/>
  <c r="E131" i="57"/>
  <c r="J121" i="57"/>
  <c r="I114" i="57"/>
  <c r="H107" i="57"/>
  <c r="I135" i="57"/>
  <c r="F124" i="57"/>
  <c r="I106" i="57"/>
  <c r="H140" i="57"/>
  <c r="J129" i="57"/>
  <c r="G128" i="57"/>
  <c r="I117" i="57"/>
  <c r="E107" i="57"/>
  <c r="G132" i="57"/>
  <c r="H128" i="57"/>
  <c r="G113" i="57"/>
  <c r="E133" i="57"/>
  <c r="J115" i="57"/>
  <c r="F138" i="57"/>
  <c r="F118" i="57"/>
  <c r="E104" i="57"/>
  <c r="I120" i="57"/>
  <c r="J110" i="57"/>
  <c r="H106" i="57"/>
  <c r="F137" i="57"/>
  <c r="E138" i="57"/>
  <c r="E125" i="57"/>
  <c r="G114" i="57"/>
  <c r="I103" i="57"/>
  <c r="F128" i="57"/>
  <c r="F123" i="57"/>
  <c r="J108" i="57"/>
  <c r="H125" i="57"/>
  <c r="G111" i="57"/>
  <c r="G129" i="57"/>
  <c r="J113" i="57"/>
  <c r="E134" i="57"/>
  <c r="F117" i="57"/>
  <c r="E110" i="57"/>
  <c r="H105" i="57"/>
  <c r="F135" i="57"/>
  <c r="G135" i="57"/>
  <c r="E123" i="57"/>
  <c r="G112" i="57"/>
  <c r="H139" i="57"/>
  <c r="F126" i="57"/>
  <c r="H120" i="57"/>
  <c r="F106" i="57"/>
  <c r="J122" i="57"/>
  <c r="I108" i="57"/>
  <c r="G125" i="57"/>
  <c r="F111" i="57"/>
  <c r="I128" i="57"/>
  <c r="F116" i="57"/>
  <c r="F109" i="57"/>
  <c r="J103" i="57"/>
  <c r="J131" i="57"/>
  <c r="J130" i="57"/>
  <c r="I119" i="57"/>
  <c r="E109" i="57"/>
  <c r="E135" i="57"/>
  <c r="I133" i="57"/>
  <c r="E116" i="57"/>
  <c r="G138" i="57"/>
  <c r="H118" i="57"/>
  <c r="F104" i="57"/>
  <c r="J120" i="57"/>
  <c r="G123" i="57"/>
  <c r="H113" i="57"/>
  <c r="G107" i="57"/>
  <c r="T121" i="51"/>
  <c r="T220" i="51"/>
  <c r="AK64" i="51"/>
  <c r="AK75" i="51"/>
  <c r="T155" i="51"/>
  <c r="T166" i="51"/>
  <c r="T175" i="51"/>
  <c r="T187" i="51"/>
  <c r="T202" i="51"/>
  <c r="T234" i="51"/>
  <c r="T246" i="51"/>
  <c r="T257" i="51"/>
  <c r="T268" i="51"/>
  <c r="AK42" i="51"/>
  <c r="AK58" i="51"/>
  <c r="AK66" i="51"/>
  <c r="AK79" i="51"/>
  <c r="AK347" i="51"/>
  <c r="AK368" i="51"/>
  <c r="AK706" i="51"/>
  <c r="T159" i="51"/>
  <c r="T169" i="51"/>
  <c r="T177" i="51"/>
  <c r="T204" i="51"/>
  <c r="T236" i="51"/>
  <c r="T250" i="51"/>
  <c r="T260" i="51"/>
  <c r="T270" i="51"/>
  <c r="AK59" i="51"/>
  <c r="AK68" i="51"/>
  <c r="AK348" i="51"/>
  <c r="AK369" i="51"/>
  <c r="AK722" i="51"/>
  <c r="T40" i="51"/>
  <c r="T153" i="51"/>
  <c r="T161" i="51"/>
  <c r="T170" i="51"/>
  <c r="T181" i="51"/>
  <c r="T218" i="51"/>
  <c r="T244" i="51"/>
  <c r="T252" i="51"/>
  <c r="T261" i="51"/>
  <c r="T276" i="51"/>
  <c r="T354" i="51"/>
  <c r="T668" i="51"/>
  <c r="T686" i="51"/>
  <c r="AK20" i="51"/>
  <c r="AK60" i="51"/>
  <c r="AK74" i="51"/>
  <c r="AK90" i="51"/>
  <c r="AK255" i="51"/>
  <c r="AK274" i="51"/>
  <c r="AK336" i="51"/>
  <c r="AK357" i="51"/>
  <c r="T528" i="51"/>
  <c r="AK536" i="51"/>
  <c r="AI239" i="57"/>
  <c r="AI72" i="57"/>
  <c r="AI164" i="57"/>
  <c r="AI61" i="57"/>
  <c r="AI85" i="57"/>
  <c r="AI149" i="57"/>
  <c r="AI181" i="57"/>
  <c r="AI207" i="57"/>
  <c r="AI64" i="57"/>
  <c r="AI93" i="57"/>
  <c r="AI126" i="57"/>
  <c r="AI153" i="57"/>
  <c r="AI255" i="57"/>
  <c r="AI84" i="57"/>
  <c r="AI169" i="57"/>
  <c r="AI196" i="57"/>
  <c r="AI21" i="57"/>
  <c r="AI112" i="57"/>
  <c r="AI159" i="57"/>
  <c r="AI171" i="57"/>
  <c r="AI291" i="57"/>
  <c r="AI37" i="57"/>
  <c r="AI76" i="57"/>
  <c r="AI148" i="57"/>
  <c r="AI160" i="57"/>
  <c r="AI180" i="57"/>
  <c r="AI262" i="57"/>
  <c r="AI307" i="57"/>
  <c r="T144" i="51"/>
  <c r="T127" i="51"/>
  <c r="T111" i="51"/>
  <c r="T135" i="51"/>
  <c r="T113" i="51"/>
  <c r="T641" i="51"/>
  <c r="T638" i="51"/>
  <c r="T609" i="51"/>
  <c r="T620" i="51"/>
  <c r="AK417" i="51"/>
  <c r="AK409" i="51"/>
  <c r="AK388" i="51"/>
  <c r="AK416" i="51"/>
  <c r="AK394" i="51"/>
  <c r="AK641" i="51"/>
  <c r="AK614" i="51"/>
  <c r="AK630" i="51"/>
  <c r="AK318" i="51"/>
  <c r="AK298" i="51"/>
  <c r="AK314" i="51"/>
  <c r="AI138" i="57"/>
  <c r="AI133" i="57"/>
  <c r="AI120" i="57"/>
  <c r="AI105" i="57"/>
  <c r="AI136" i="57"/>
  <c r="AI121" i="57"/>
  <c r="AI106" i="57"/>
  <c r="AI128" i="57"/>
  <c r="T143" i="51"/>
  <c r="T636" i="51"/>
  <c r="AK49" i="51"/>
  <c r="AK46" i="51"/>
  <c r="AK35" i="51"/>
  <c r="AK24" i="51"/>
  <c r="AK14" i="51"/>
  <c r="AK47" i="51"/>
  <c r="AK36" i="51"/>
  <c r="AK26" i="51"/>
  <c r="AK15" i="51"/>
  <c r="AK31" i="51"/>
  <c r="AK405" i="51"/>
  <c r="C555" i="51"/>
  <c r="C520" i="51"/>
  <c r="C552" i="51"/>
  <c r="C524" i="51"/>
  <c r="AI60" i="57"/>
  <c r="AI69" i="57"/>
  <c r="AI80" i="57"/>
  <c r="AI92" i="57"/>
  <c r="AI155" i="57"/>
  <c r="AI165" i="57"/>
  <c r="AI176" i="57"/>
  <c r="AI254" i="57"/>
  <c r="AI271" i="57"/>
  <c r="T212" i="51"/>
  <c r="T228" i="51"/>
  <c r="T665" i="51"/>
  <c r="T678" i="51"/>
  <c r="AK84" i="51"/>
  <c r="AK95" i="51"/>
  <c r="AK343" i="51"/>
  <c r="AK353" i="51"/>
  <c r="AK364" i="51"/>
  <c r="AI68" i="57"/>
  <c r="AI77" i="57"/>
  <c r="AI88" i="57"/>
  <c r="AI175" i="57"/>
  <c r="AI246" i="57"/>
  <c r="AI270" i="57"/>
  <c r="T158" i="51"/>
  <c r="T165" i="51"/>
  <c r="T171" i="51"/>
  <c r="T179" i="51"/>
  <c r="T189" i="51"/>
  <c r="T210" i="51"/>
  <c r="T226" i="51"/>
  <c r="T249" i="51"/>
  <c r="T256" i="51"/>
  <c r="T262" i="51"/>
  <c r="T274" i="51"/>
  <c r="AK63" i="51"/>
  <c r="AK70" i="51"/>
  <c r="AK80" i="51"/>
  <c r="AK91" i="51"/>
  <c r="AK253" i="51"/>
  <c r="AK266" i="51"/>
  <c r="AK279" i="51"/>
  <c r="AK341" i="51"/>
  <c r="AK352" i="51"/>
  <c r="AK363" i="51"/>
  <c r="T544" i="51"/>
  <c r="AK552" i="51"/>
  <c r="T585" i="51"/>
  <c r="T577" i="51"/>
  <c r="AK235" i="51"/>
  <c r="AK230" i="51"/>
  <c r="AK222" i="51"/>
  <c r="AK214" i="51"/>
  <c r="AK206" i="51"/>
  <c r="AK201" i="51"/>
  <c r="AK236" i="51"/>
  <c r="AK228" i="51"/>
  <c r="AK220" i="51"/>
  <c r="AK212" i="51"/>
  <c r="AK205" i="51"/>
  <c r="AK200" i="51"/>
  <c r="AK224" i="51"/>
  <c r="AK208" i="51"/>
  <c r="AK234" i="51"/>
  <c r="AK218" i="51"/>
  <c r="AK204" i="51"/>
  <c r="AK232" i="51"/>
  <c r="AK216" i="51"/>
  <c r="AK202" i="51"/>
  <c r="T504" i="51"/>
  <c r="T488" i="51"/>
  <c r="T476" i="51"/>
  <c r="T496" i="51"/>
  <c r="T479" i="51"/>
  <c r="T492" i="51"/>
  <c r="T473" i="51"/>
  <c r="T484" i="51"/>
  <c r="T471" i="51"/>
  <c r="T733" i="51"/>
  <c r="T734" i="51"/>
  <c r="T718" i="51"/>
  <c r="T702" i="51"/>
  <c r="T730" i="51"/>
  <c r="T710" i="51"/>
  <c r="T726" i="51"/>
  <c r="T706" i="51"/>
  <c r="T722" i="51"/>
  <c r="T698" i="51"/>
  <c r="T95" i="51"/>
  <c r="T84" i="51"/>
  <c r="T68" i="51"/>
  <c r="T80" i="51"/>
  <c r="T64" i="51"/>
  <c r="T92" i="51"/>
  <c r="T76" i="51"/>
  <c r="T60" i="51"/>
  <c r="T310" i="51"/>
  <c r="T714" i="51"/>
  <c r="T72" i="51"/>
  <c r="T416" i="51"/>
  <c r="T412" i="51"/>
  <c r="T396" i="51"/>
  <c r="T417" i="51"/>
  <c r="T391" i="51"/>
  <c r="T407" i="51"/>
  <c r="T385" i="51"/>
  <c r="T500" i="51"/>
  <c r="AK210" i="51"/>
  <c r="T325" i="51"/>
  <c r="T318" i="51"/>
  <c r="T307" i="51"/>
  <c r="T297" i="51"/>
  <c r="T326" i="51"/>
  <c r="T315" i="51"/>
  <c r="T305" i="51"/>
  <c r="T294" i="51"/>
  <c r="T323" i="51"/>
  <c r="T313" i="51"/>
  <c r="T302" i="51"/>
  <c r="T291" i="51"/>
  <c r="T459" i="51"/>
  <c r="T453" i="51"/>
  <c r="T437" i="51"/>
  <c r="T461" i="51"/>
  <c r="T439" i="51"/>
  <c r="T455" i="51"/>
  <c r="T431" i="51"/>
  <c r="T447" i="51"/>
  <c r="T429" i="51"/>
  <c r="AK226" i="51"/>
  <c r="AI25" i="57"/>
  <c r="AI41" i="57"/>
  <c r="AI294" i="57"/>
  <c r="AI310" i="57"/>
  <c r="T28" i="51"/>
  <c r="T44" i="51"/>
  <c r="T129" i="51"/>
  <c r="T137" i="51"/>
  <c r="T145" i="51"/>
  <c r="T362" i="51"/>
  <c r="AK592" i="51"/>
  <c r="AK597" i="51"/>
  <c r="AK581" i="51"/>
  <c r="AK565" i="51"/>
  <c r="AK596" i="51"/>
  <c r="AK580" i="51"/>
  <c r="AK564" i="51"/>
  <c r="AK589" i="51"/>
  <c r="AI13" i="57"/>
  <c r="AI29" i="57"/>
  <c r="AI45" i="57"/>
  <c r="AI109" i="57"/>
  <c r="AI116" i="57"/>
  <c r="AI122" i="57"/>
  <c r="AI130" i="57"/>
  <c r="AI137" i="57"/>
  <c r="AI151" i="57"/>
  <c r="AI156" i="57"/>
  <c r="AI161" i="57"/>
  <c r="AI167" i="57"/>
  <c r="AI172" i="57"/>
  <c r="AI177" i="57"/>
  <c r="AI183" i="57"/>
  <c r="AI218" i="57"/>
  <c r="AI283" i="57"/>
  <c r="AI299" i="57"/>
  <c r="AI315" i="57"/>
  <c r="T16" i="51"/>
  <c r="T32" i="51"/>
  <c r="T48" i="51"/>
  <c r="T115" i="51"/>
  <c r="T123" i="51"/>
  <c r="T131" i="51"/>
  <c r="T139" i="51"/>
  <c r="T206" i="51"/>
  <c r="T214" i="51"/>
  <c r="T222" i="51"/>
  <c r="T230" i="51"/>
  <c r="T248" i="51"/>
  <c r="T253" i="51"/>
  <c r="T258" i="51"/>
  <c r="T264" i="51"/>
  <c r="T272" i="51"/>
  <c r="T280" i="51"/>
  <c r="T338" i="51"/>
  <c r="T370" i="51"/>
  <c r="T614" i="51"/>
  <c r="T628" i="51"/>
  <c r="AK572" i="51"/>
  <c r="AI17" i="57"/>
  <c r="AI33" i="57"/>
  <c r="AI65" i="57"/>
  <c r="AI73" i="57"/>
  <c r="AI81" i="57"/>
  <c r="AI89" i="57"/>
  <c r="AI104" i="57"/>
  <c r="AI110" i="57"/>
  <c r="AI117" i="57"/>
  <c r="AI125" i="57"/>
  <c r="AI132" i="57"/>
  <c r="AI147" i="57"/>
  <c r="AI152" i="57"/>
  <c r="AI157" i="57"/>
  <c r="AI163" i="57"/>
  <c r="AI168" i="57"/>
  <c r="AI173" i="57"/>
  <c r="AI179" i="57"/>
  <c r="AI184" i="57"/>
  <c r="AI247" i="57"/>
  <c r="AI263" i="57"/>
  <c r="AI286" i="57"/>
  <c r="T20" i="51"/>
  <c r="T36" i="51"/>
  <c r="T109" i="51"/>
  <c r="T117" i="51"/>
  <c r="T125" i="51"/>
  <c r="T133" i="51"/>
  <c r="T141" i="51"/>
  <c r="T157" i="51"/>
  <c r="T162" i="51"/>
  <c r="T167" i="51"/>
  <c r="T173" i="51"/>
  <c r="T178" i="51"/>
  <c r="T185" i="51"/>
  <c r="T200" i="51"/>
  <c r="T208" i="51"/>
  <c r="T216" i="51"/>
  <c r="T224" i="51"/>
  <c r="T232" i="51"/>
  <c r="T346" i="51"/>
  <c r="T640" i="51"/>
  <c r="T633" i="51"/>
  <c r="T622" i="51"/>
  <c r="T612" i="51"/>
  <c r="T617" i="51"/>
  <c r="T630" i="51"/>
  <c r="AK136" i="51"/>
  <c r="AK120" i="51"/>
  <c r="AK573" i="51"/>
  <c r="AK658" i="51"/>
  <c r="AK666" i="51"/>
  <c r="AK674" i="51"/>
  <c r="AK682" i="51"/>
  <c r="AK690" i="51"/>
  <c r="AK710" i="51"/>
  <c r="AK726" i="51"/>
  <c r="C540" i="51"/>
  <c r="T532" i="51"/>
  <c r="T548" i="51"/>
  <c r="AK524" i="51"/>
  <c r="AK540" i="51"/>
  <c r="AK618" i="51"/>
  <c r="AK634" i="51"/>
  <c r="AK660" i="51"/>
  <c r="AK668" i="51"/>
  <c r="AK676" i="51"/>
  <c r="AK684" i="51"/>
  <c r="AK698" i="51"/>
  <c r="AK714" i="51"/>
  <c r="AK730" i="51"/>
  <c r="C528" i="51"/>
  <c r="C544" i="51"/>
  <c r="T520" i="51"/>
  <c r="T536" i="51"/>
  <c r="T552" i="51"/>
  <c r="AK528" i="51"/>
  <c r="AK544" i="51"/>
  <c r="T662" i="51"/>
  <c r="T673" i="51"/>
  <c r="T684" i="51"/>
  <c r="AK16" i="51"/>
  <c r="AK22" i="51"/>
  <c r="AK27" i="51"/>
  <c r="AK32" i="51"/>
  <c r="AK38" i="51"/>
  <c r="AK43" i="51"/>
  <c r="AK48" i="51"/>
  <c r="AK71" i="51"/>
  <c r="AK76" i="51"/>
  <c r="AK82" i="51"/>
  <c r="AK87" i="51"/>
  <c r="AK92" i="51"/>
  <c r="AK339" i="51"/>
  <c r="AK344" i="51"/>
  <c r="AK349" i="51"/>
  <c r="AK355" i="51"/>
  <c r="AK360" i="51"/>
  <c r="AK365" i="51"/>
  <c r="AK371" i="51"/>
  <c r="AK389" i="51"/>
  <c r="AK400" i="51"/>
  <c r="AK410" i="51"/>
  <c r="AK606" i="51"/>
  <c r="AK622" i="51"/>
  <c r="AK638" i="51"/>
  <c r="AK654" i="51"/>
  <c r="AK662" i="51"/>
  <c r="AK670" i="51"/>
  <c r="AK678" i="51"/>
  <c r="AK686" i="51"/>
  <c r="AK702" i="51"/>
  <c r="AK718" i="51"/>
  <c r="AK734" i="51"/>
  <c r="C532" i="51"/>
  <c r="C548" i="51"/>
  <c r="AK532" i="51"/>
  <c r="AK548" i="51"/>
  <c r="AK18" i="51"/>
  <c r="AK23" i="51"/>
  <c r="AK28" i="51"/>
  <c r="AK34" i="51"/>
  <c r="AK39" i="51"/>
  <c r="AK44" i="51"/>
  <c r="AK50" i="51"/>
  <c r="AK62" i="51"/>
  <c r="AK67" i="51"/>
  <c r="AK72" i="51"/>
  <c r="AK78" i="51"/>
  <c r="AK83" i="51"/>
  <c r="AK88" i="51"/>
  <c r="AK94" i="51"/>
  <c r="AK250" i="51"/>
  <c r="AK261" i="51"/>
  <c r="AK335" i="51"/>
  <c r="AK340" i="51"/>
  <c r="AK345" i="51"/>
  <c r="AK351" i="51"/>
  <c r="AK356" i="51"/>
  <c r="AK361" i="51"/>
  <c r="AK367" i="51"/>
  <c r="AK372" i="51"/>
  <c r="AK382" i="51"/>
  <c r="AK393" i="51"/>
  <c r="AK404" i="51"/>
  <c r="AK414" i="51"/>
  <c r="AK610" i="51"/>
  <c r="AK626" i="51"/>
  <c r="AK642" i="51"/>
  <c r="AK656" i="51"/>
  <c r="AK664" i="51"/>
  <c r="AK672" i="51"/>
  <c r="AK680" i="51"/>
  <c r="AK688" i="51"/>
  <c r="AK521" i="51"/>
  <c r="AK525" i="51"/>
  <c r="AK529" i="51"/>
  <c r="AK533" i="51"/>
  <c r="AK537" i="51"/>
  <c r="AK541" i="51"/>
  <c r="AK545" i="51"/>
  <c r="AK549" i="51"/>
  <c r="AK553" i="51"/>
  <c r="AK518" i="51"/>
  <c r="AK522" i="51"/>
  <c r="AK526" i="51"/>
  <c r="AK530" i="51"/>
  <c r="AK534" i="51"/>
  <c r="AK538" i="51"/>
  <c r="AK542" i="51"/>
  <c r="AK546" i="51"/>
  <c r="AK550" i="51"/>
  <c r="AK554" i="51"/>
  <c r="AK519" i="51"/>
  <c r="AK523" i="51"/>
  <c r="AK527" i="51"/>
  <c r="AK531" i="51"/>
  <c r="AK535" i="51"/>
  <c r="AK539" i="51"/>
  <c r="AK543" i="51"/>
  <c r="AK547" i="51"/>
  <c r="AK551" i="51"/>
  <c r="T521" i="51"/>
  <c r="T525" i="51"/>
  <c r="T529" i="51"/>
  <c r="T533" i="51"/>
  <c r="T537" i="51"/>
  <c r="T541" i="51"/>
  <c r="T545" i="51"/>
  <c r="T549" i="51"/>
  <c r="T553" i="51"/>
  <c r="T518" i="51"/>
  <c r="T522" i="51"/>
  <c r="T526" i="51"/>
  <c r="T530" i="51"/>
  <c r="T534" i="51"/>
  <c r="T538" i="51"/>
  <c r="T542" i="51"/>
  <c r="T546" i="51"/>
  <c r="T550" i="51"/>
  <c r="T554" i="51"/>
  <c r="T519" i="51"/>
  <c r="T523" i="51"/>
  <c r="T527" i="51"/>
  <c r="T531" i="51"/>
  <c r="T535" i="51"/>
  <c r="T539" i="51"/>
  <c r="T543" i="51"/>
  <c r="T547" i="51"/>
  <c r="T551" i="51"/>
  <c r="C521" i="51"/>
  <c r="C525" i="51"/>
  <c r="C529" i="51"/>
  <c r="C533" i="51"/>
  <c r="C537" i="51"/>
  <c r="C541" i="51"/>
  <c r="C545" i="51"/>
  <c r="C553" i="51"/>
  <c r="C518" i="51"/>
  <c r="C522" i="51"/>
  <c r="C526" i="51"/>
  <c r="C530" i="51"/>
  <c r="C534" i="51"/>
  <c r="C538" i="51"/>
  <c r="C542" i="51"/>
  <c r="C546" i="51"/>
  <c r="C550" i="51"/>
  <c r="C554" i="51"/>
  <c r="C549" i="51"/>
  <c r="C519" i="51"/>
  <c r="C523" i="51"/>
  <c r="C527" i="51"/>
  <c r="C531" i="51"/>
  <c r="C535" i="51"/>
  <c r="C539" i="51"/>
  <c r="C543" i="51"/>
  <c r="C547" i="51"/>
  <c r="C551" i="51"/>
  <c r="AK143" i="51"/>
  <c r="AK139" i="51"/>
  <c r="AK135" i="51"/>
  <c r="AK131" i="51"/>
  <c r="AK127" i="51"/>
  <c r="AK123" i="51"/>
  <c r="AK119" i="51"/>
  <c r="AK115" i="51"/>
  <c r="AK111" i="51"/>
  <c r="AK146" i="51"/>
  <c r="AK142" i="51"/>
  <c r="AK138" i="51"/>
  <c r="AK134" i="51"/>
  <c r="AK130" i="51"/>
  <c r="AK126" i="51"/>
  <c r="AK122" i="51"/>
  <c r="AK118" i="51"/>
  <c r="AK114" i="51"/>
  <c r="AK110" i="51"/>
  <c r="AK145" i="51"/>
  <c r="AK141" i="51"/>
  <c r="AK137" i="51"/>
  <c r="AK133" i="51"/>
  <c r="AK129" i="51"/>
  <c r="AK125" i="51"/>
  <c r="AK121" i="51"/>
  <c r="AK117" i="51"/>
  <c r="AK113" i="51"/>
  <c r="AK109" i="51"/>
  <c r="AK124" i="51"/>
  <c r="AK140" i="51"/>
  <c r="AK156" i="51"/>
  <c r="AK172" i="51"/>
  <c r="AK188" i="51"/>
  <c r="AK112" i="51"/>
  <c r="AK128" i="51"/>
  <c r="AK144" i="51"/>
  <c r="AK160" i="51"/>
  <c r="AK187" i="51"/>
  <c r="AK183" i="51"/>
  <c r="AK179" i="51"/>
  <c r="AK175" i="51"/>
  <c r="AK171" i="51"/>
  <c r="AK167" i="51"/>
  <c r="AK163" i="51"/>
  <c r="AK159" i="51"/>
  <c r="AK155" i="51"/>
  <c r="AK190" i="51"/>
  <c r="AK186" i="51"/>
  <c r="AK182" i="51"/>
  <c r="AK178" i="51"/>
  <c r="AK174" i="51"/>
  <c r="AK170" i="51"/>
  <c r="AK166" i="51"/>
  <c r="AK162" i="51"/>
  <c r="AK158" i="51"/>
  <c r="AK154" i="51"/>
  <c r="AK189" i="51"/>
  <c r="AK185" i="51"/>
  <c r="AK181" i="51"/>
  <c r="AK177" i="51"/>
  <c r="AK173" i="51"/>
  <c r="AK169" i="51"/>
  <c r="AK165" i="51"/>
  <c r="AK161" i="51"/>
  <c r="AK157" i="51"/>
  <c r="AK153" i="51"/>
  <c r="AK168" i="51"/>
  <c r="AK184" i="51"/>
  <c r="AK116" i="51"/>
  <c r="AK132" i="51"/>
  <c r="AK164" i="51"/>
  <c r="AK180" i="51"/>
  <c r="AK17" i="51"/>
  <c r="AK21" i="51"/>
  <c r="AK25" i="51"/>
  <c r="AK29" i="51"/>
  <c r="AK33" i="51"/>
  <c r="AK37" i="51"/>
  <c r="AK41" i="51"/>
  <c r="AK45" i="51"/>
  <c r="AK61" i="51"/>
  <c r="AK65" i="51"/>
  <c r="AK69" i="51"/>
  <c r="AK73" i="51"/>
  <c r="AK77" i="51"/>
  <c r="AK81" i="51"/>
  <c r="AK85" i="51"/>
  <c r="AK89" i="51"/>
  <c r="AK209" i="51"/>
  <c r="AK213" i="51"/>
  <c r="AK217" i="51"/>
  <c r="AK221" i="51"/>
  <c r="AK225" i="51"/>
  <c r="AK229" i="51"/>
  <c r="AK233" i="51"/>
  <c r="AK237" i="51"/>
  <c r="AK280" i="51"/>
  <c r="AK276" i="51"/>
  <c r="AK272" i="51"/>
  <c r="AK268" i="51"/>
  <c r="AK264" i="51"/>
  <c r="AK260" i="51"/>
  <c r="AK256" i="51"/>
  <c r="AK252" i="51"/>
  <c r="AK248" i="51"/>
  <c r="AK244" i="51"/>
  <c r="AK249" i="51"/>
  <c r="AK254" i="51"/>
  <c r="AK259" i="51"/>
  <c r="AK265" i="51"/>
  <c r="AK270" i="51"/>
  <c r="AK275" i="51"/>
  <c r="AK281" i="51"/>
  <c r="AK302" i="51"/>
  <c r="AK325" i="51"/>
  <c r="AK321" i="51"/>
  <c r="AK317" i="51"/>
  <c r="AK313" i="51"/>
  <c r="AK309" i="51"/>
  <c r="AK305" i="51"/>
  <c r="AK301" i="51"/>
  <c r="AK297" i="51"/>
  <c r="AK293" i="51"/>
  <c r="AK328" i="51"/>
  <c r="AK324" i="51"/>
  <c r="AK320" i="51"/>
  <c r="AK316" i="51"/>
  <c r="AK312" i="51"/>
  <c r="AK308" i="51"/>
  <c r="AK304" i="51"/>
  <c r="AK300" i="51"/>
  <c r="AK296" i="51"/>
  <c r="AK292" i="51"/>
  <c r="AK327" i="51"/>
  <c r="AK323" i="51"/>
  <c r="AK319" i="51"/>
  <c r="AK315" i="51"/>
  <c r="AK311" i="51"/>
  <c r="AK307" i="51"/>
  <c r="AK303" i="51"/>
  <c r="AK299" i="51"/>
  <c r="AK295" i="51"/>
  <c r="AK291" i="51"/>
  <c r="AK306" i="51"/>
  <c r="AK322" i="51"/>
  <c r="AK203" i="51"/>
  <c r="AK207" i="51"/>
  <c r="AK211" i="51"/>
  <c r="AK215" i="51"/>
  <c r="AK219" i="51"/>
  <c r="AK223" i="51"/>
  <c r="AK227" i="51"/>
  <c r="AK231" i="51"/>
  <c r="AK251" i="51"/>
  <c r="AK257" i="51"/>
  <c r="AK262" i="51"/>
  <c r="AK267" i="51"/>
  <c r="AK273" i="51"/>
  <c r="AK278" i="51"/>
  <c r="AK294" i="51"/>
  <c r="AK310" i="51"/>
  <c r="AK326" i="51"/>
  <c r="AK463" i="51"/>
  <c r="AK459" i="51"/>
  <c r="AK455" i="51"/>
  <c r="AK451" i="51"/>
  <c r="AK447" i="51"/>
  <c r="AK443" i="51"/>
  <c r="AK439" i="51"/>
  <c r="AK435" i="51"/>
  <c r="AK431" i="51"/>
  <c r="AK427" i="51"/>
  <c r="AK462" i="51"/>
  <c r="AK458" i="51"/>
  <c r="AK454" i="51"/>
  <c r="AK450" i="51"/>
  <c r="AK446" i="51"/>
  <c r="AK442" i="51"/>
  <c r="AK438" i="51"/>
  <c r="AK434" i="51"/>
  <c r="AK430" i="51"/>
  <c r="AK426" i="51"/>
  <c r="AK456" i="51"/>
  <c r="AK448" i="51"/>
  <c r="AK440" i="51"/>
  <c r="AK432" i="51"/>
  <c r="AK461" i="51"/>
  <c r="AK453" i="51"/>
  <c r="AK445" i="51"/>
  <c r="AK437" i="51"/>
  <c r="AK429" i="51"/>
  <c r="AK460" i="51"/>
  <c r="AK452" i="51"/>
  <c r="AK444" i="51"/>
  <c r="AK436" i="51"/>
  <c r="AK428" i="51"/>
  <c r="AK457" i="51"/>
  <c r="AK506" i="51"/>
  <c r="AK502" i="51"/>
  <c r="AK498" i="51"/>
  <c r="AK494" i="51"/>
  <c r="AK490" i="51"/>
  <c r="AK486" i="51"/>
  <c r="AK482" i="51"/>
  <c r="AK478" i="51"/>
  <c r="AK474" i="51"/>
  <c r="AK470" i="51"/>
  <c r="AK505" i="51"/>
  <c r="AK500" i="51"/>
  <c r="AK495" i="51"/>
  <c r="AK489" i="51"/>
  <c r="AK484" i="51"/>
  <c r="AK479" i="51"/>
  <c r="AK473" i="51"/>
  <c r="AK504" i="51"/>
  <c r="AK499" i="51"/>
  <c r="AK493" i="51"/>
  <c r="AK488" i="51"/>
  <c r="AK483" i="51"/>
  <c r="AK477" i="51"/>
  <c r="AK472" i="51"/>
  <c r="AK503" i="51"/>
  <c r="AK497" i="51"/>
  <c r="AK492" i="51"/>
  <c r="AK487" i="51"/>
  <c r="AK481" i="51"/>
  <c r="AK476" i="51"/>
  <c r="AK471" i="51"/>
  <c r="AK507" i="51"/>
  <c r="AK485" i="51"/>
  <c r="AK501" i="51"/>
  <c r="AK480" i="51"/>
  <c r="AK496" i="51"/>
  <c r="AK475" i="51"/>
  <c r="AK433" i="51"/>
  <c r="AK491" i="51"/>
  <c r="AK441" i="51"/>
  <c r="AK338" i="51"/>
  <c r="AK342" i="51"/>
  <c r="AK346" i="51"/>
  <c r="AK350" i="51"/>
  <c r="AK354" i="51"/>
  <c r="AK358" i="51"/>
  <c r="AK362" i="51"/>
  <c r="AK366" i="51"/>
  <c r="AK385" i="51"/>
  <c r="AK390" i="51"/>
  <c r="AK396" i="51"/>
  <c r="AK401" i="51"/>
  <c r="AK406" i="51"/>
  <c r="AK412" i="51"/>
  <c r="AK419" i="51"/>
  <c r="AK415" i="51"/>
  <c r="AK411" i="51"/>
  <c r="AK407" i="51"/>
  <c r="AK403" i="51"/>
  <c r="AK399" i="51"/>
  <c r="AK395" i="51"/>
  <c r="AK391" i="51"/>
  <c r="AK387" i="51"/>
  <c r="AK383" i="51"/>
  <c r="AK386" i="51"/>
  <c r="AK392" i="51"/>
  <c r="AK397" i="51"/>
  <c r="AK402" i="51"/>
  <c r="AK408" i="51"/>
  <c r="AK413" i="51"/>
  <c r="AK418" i="51"/>
  <c r="AK568" i="51"/>
  <c r="AK576" i="51"/>
  <c r="AK584" i="51"/>
  <c r="AK599" i="51"/>
  <c r="AK595" i="51"/>
  <c r="AK591" i="51"/>
  <c r="AK587" i="51"/>
  <c r="AK583" i="51"/>
  <c r="AK579" i="51"/>
  <c r="AK575" i="51"/>
  <c r="AK571" i="51"/>
  <c r="AK567" i="51"/>
  <c r="AK563" i="51"/>
  <c r="AK598" i="51"/>
  <c r="AK594" i="51"/>
  <c r="AK590" i="51"/>
  <c r="AK586" i="51"/>
  <c r="AK582" i="51"/>
  <c r="AK578" i="51"/>
  <c r="AK574" i="51"/>
  <c r="AK570" i="51"/>
  <c r="AK566" i="51"/>
  <c r="AK562" i="51"/>
  <c r="AK569" i="51"/>
  <c r="AK577" i="51"/>
  <c r="AK585" i="51"/>
  <c r="AK593" i="51"/>
  <c r="AK607" i="51"/>
  <c r="AK611" i="51"/>
  <c r="AK615" i="51"/>
  <c r="AK619" i="51"/>
  <c r="AK623" i="51"/>
  <c r="AK627" i="51"/>
  <c r="AK631" i="51"/>
  <c r="AK635" i="51"/>
  <c r="AK639" i="51"/>
  <c r="AK643" i="51"/>
  <c r="AK608" i="51"/>
  <c r="AK612" i="51"/>
  <c r="AK616" i="51"/>
  <c r="AK620" i="51"/>
  <c r="AK624" i="51"/>
  <c r="AK628" i="51"/>
  <c r="AK632" i="51"/>
  <c r="AK636" i="51"/>
  <c r="AK640" i="51"/>
  <c r="AK609" i="51"/>
  <c r="AK613" i="51"/>
  <c r="AK617" i="51"/>
  <c r="AK621" i="51"/>
  <c r="AK625" i="51"/>
  <c r="AK629" i="51"/>
  <c r="AK633" i="51"/>
  <c r="AK637" i="51"/>
  <c r="AK657" i="51"/>
  <c r="AK661" i="51"/>
  <c r="AK665" i="51"/>
  <c r="AK669" i="51"/>
  <c r="AK673" i="51"/>
  <c r="AK677" i="51"/>
  <c r="AK681" i="51"/>
  <c r="AK685" i="51"/>
  <c r="AK689" i="51"/>
  <c r="AK655" i="51"/>
  <c r="AK659" i="51"/>
  <c r="AK663" i="51"/>
  <c r="AK667" i="51"/>
  <c r="AK671" i="51"/>
  <c r="AK675" i="51"/>
  <c r="AK679" i="51"/>
  <c r="AK683" i="51"/>
  <c r="AK687" i="51"/>
  <c r="AK699" i="51"/>
  <c r="AK703" i="51"/>
  <c r="AK707" i="51"/>
  <c r="AK711" i="51"/>
  <c r="AK715" i="51"/>
  <c r="AK719" i="51"/>
  <c r="AK723" i="51"/>
  <c r="AK727" i="51"/>
  <c r="AK731" i="51"/>
  <c r="AK735" i="51"/>
  <c r="AK700" i="51"/>
  <c r="AK704" i="51"/>
  <c r="AK708" i="51"/>
  <c r="AK712" i="51"/>
  <c r="AK716" i="51"/>
  <c r="AK720" i="51"/>
  <c r="AK724" i="51"/>
  <c r="AK728" i="51"/>
  <c r="AK732" i="51"/>
  <c r="AK701" i="51"/>
  <c r="AK705" i="51"/>
  <c r="AK709" i="51"/>
  <c r="AK713" i="51"/>
  <c r="AK717" i="51"/>
  <c r="AK721" i="51"/>
  <c r="AK725" i="51"/>
  <c r="AK729" i="51"/>
  <c r="T17" i="51"/>
  <c r="T21" i="51"/>
  <c r="T25" i="51"/>
  <c r="T29" i="51"/>
  <c r="T33" i="51"/>
  <c r="T37" i="51"/>
  <c r="T41" i="51"/>
  <c r="T45" i="51"/>
  <c r="T49" i="51"/>
  <c r="T61" i="51"/>
  <c r="T65" i="51"/>
  <c r="T69" i="51"/>
  <c r="T73" i="51"/>
  <c r="T77" i="51"/>
  <c r="T81" i="51"/>
  <c r="T85" i="51"/>
  <c r="T89" i="51"/>
  <c r="T93" i="51"/>
  <c r="T14" i="51"/>
  <c r="T18" i="51"/>
  <c r="T22" i="51"/>
  <c r="T26" i="51"/>
  <c r="T30" i="51"/>
  <c r="T34" i="51"/>
  <c r="T38" i="51"/>
  <c r="T42" i="51"/>
  <c r="T46" i="51"/>
  <c r="T50" i="51"/>
  <c r="T58" i="51"/>
  <c r="T62" i="51"/>
  <c r="T66" i="51"/>
  <c r="T70" i="51"/>
  <c r="T74" i="51"/>
  <c r="T78" i="51"/>
  <c r="T82" i="51"/>
  <c r="T86" i="51"/>
  <c r="T90" i="51"/>
  <c r="T94" i="51"/>
  <c r="T15" i="51"/>
  <c r="T19" i="51"/>
  <c r="T23" i="51"/>
  <c r="T27" i="51"/>
  <c r="T31" i="51"/>
  <c r="T35" i="51"/>
  <c r="T39" i="51"/>
  <c r="T43" i="51"/>
  <c r="T47" i="51"/>
  <c r="T59" i="51"/>
  <c r="T63" i="51"/>
  <c r="T67" i="51"/>
  <c r="T71" i="51"/>
  <c r="T75" i="51"/>
  <c r="T79" i="51"/>
  <c r="T83" i="51"/>
  <c r="T87" i="51"/>
  <c r="T91" i="51"/>
  <c r="T110" i="51"/>
  <c r="T114" i="51"/>
  <c r="T118" i="51"/>
  <c r="T122" i="51"/>
  <c r="T126" i="51"/>
  <c r="T130" i="51"/>
  <c r="T134" i="51"/>
  <c r="T138" i="51"/>
  <c r="T142" i="51"/>
  <c r="T146" i="51"/>
  <c r="T182" i="51"/>
  <c r="T186" i="51"/>
  <c r="T190" i="51"/>
  <c r="T112" i="51"/>
  <c r="T116" i="51"/>
  <c r="T120" i="51"/>
  <c r="T124" i="51"/>
  <c r="T128" i="51"/>
  <c r="T132" i="51"/>
  <c r="T136" i="51"/>
  <c r="T140" i="51"/>
  <c r="T156" i="51"/>
  <c r="T160" i="51"/>
  <c r="T164" i="51"/>
  <c r="T168" i="51"/>
  <c r="T172" i="51"/>
  <c r="T176" i="51"/>
  <c r="T180" i="51"/>
  <c r="T184" i="51"/>
  <c r="T203" i="51"/>
  <c r="T207" i="51"/>
  <c r="T211" i="51"/>
  <c r="T215" i="51"/>
  <c r="T219" i="51"/>
  <c r="T223" i="51"/>
  <c r="T227" i="51"/>
  <c r="T231" i="51"/>
  <c r="T235" i="51"/>
  <c r="T247" i="51"/>
  <c r="T251" i="51"/>
  <c r="T255" i="51"/>
  <c r="T259" i="51"/>
  <c r="T263" i="51"/>
  <c r="T267" i="51"/>
  <c r="T271" i="51"/>
  <c r="T275" i="51"/>
  <c r="T279" i="51"/>
  <c r="T293" i="51"/>
  <c r="T298" i="51"/>
  <c r="T303" i="51"/>
  <c r="T309" i="51"/>
  <c r="T314" i="51"/>
  <c r="T319" i="51"/>
  <c r="T335" i="51"/>
  <c r="T343" i="51"/>
  <c r="T351" i="51"/>
  <c r="T359" i="51"/>
  <c r="T367" i="51"/>
  <c r="T201" i="51"/>
  <c r="T205" i="51"/>
  <c r="T209" i="51"/>
  <c r="T213" i="51"/>
  <c r="T217" i="51"/>
  <c r="T221" i="51"/>
  <c r="T225" i="51"/>
  <c r="T229" i="51"/>
  <c r="T233" i="51"/>
  <c r="T265" i="51"/>
  <c r="T269" i="51"/>
  <c r="T273" i="51"/>
  <c r="T277" i="51"/>
  <c r="T328" i="51"/>
  <c r="T324" i="51"/>
  <c r="T320" i="51"/>
  <c r="T316" i="51"/>
  <c r="T312" i="51"/>
  <c r="T308" i="51"/>
  <c r="T304" i="51"/>
  <c r="T300" i="51"/>
  <c r="T296" i="51"/>
  <c r="T292" i="51"/>
  <c r="T295" i="51"/>
  <c r="T301" i="51"/>
  <c r="T306" i="51"/>
  <c r="T311" i="51"/>
  <c r="T317" i="51"/>
  <c r="T322" i="51"/>
  <c r="T327" i="51"/>
  <c r="T339" i="51"/>
  <c r="T347" i="51"/>
  <c r="T355" i="51"/>
  <c r="T363" i="51"/>
  <c r="T372" i="51"/>
  <c r="T368" i="51"/>
  <c r="T364" i="51"/>
  <c r="T360" i="51"/>
  <c r="T356" i="51"/>
  <c r="T352" i="51"/>
  <c r="T348" i="51"/>
  <c r="T344" i="51"/>
  <c r="T340" i="51"/>
  <c r="T336" i="51"/>
  <c r="T369" i="51"/>
  <c r="T365" i="51"/>
  <c r="T361" i="51"/>
  <c r="T357" i="51"/>
  <c r="T353" i="51"/>
  <c r="T349" i="51"/>
  <c r="T345" i="51"/>
  <c r="T341" i="51"/>
  <c r="T337" i="51"/>
  <c r="T342" i="51"/>
  <c r="T350" i="51"/>
  <c r="T358" i="51"/>
  <c r="T366" i="51"/>
  <c r="T384" i="51"/>
  <c r="T389" i="51"/>
  <c r="T395" i="51"/>
  <c r="T400" i="51"/>
  <c r="T405" i="51"/>
  <c r="T411" i="51"/>
  <c r="T427" i="51"/>
  <c r="T435" i="51"/>
  <c r="T443" i="51"/>
  <c r="T451" i="51"/>
  <c r="T418" i="51"/>
  <c r="T414" i="51"/>
  <c r="T410" i="51"/>
  <c r="T406" i="51"/>
  <c r="T402" i="51"/>
  <c r="T398" i="51"/>
  <c r="T394" i="51"/>
  <c r="T390" i="51"/>
  <c r="T386" i="51"/>
  <c r="T382" i="51"/>
  <c r="T387" i="51"/>
  <c r="T392" i="51"/>
  <c r="T397" i="51"/>
  <c r="T403" i="51"/>
  <c r="T408" i="51"/>
  <c r="T413" i="51"/>
  <c r="T419" i="51"/>
  <c r="T383" i="51"/>
  <c r="T388" i="51"/>
  <c r="T393" i="51"/>
  <c r="T399" i="51"/>
  <c r="T404" i="51"/>
  <c r="T409" i="51"/>
  <c r="T415" i="51"/>
  <c r="T462" i="51"/>
  <c r="T458" i="51"/>
  <c r="T454" i="51"/>
  <c r="T450" i="51"/>
  <c r="T446" i="51"/>
  <c r="T442" i="51"/>
  <c r="T438" i="51"/>
  <c r="T434" i="51"/>
  <c r="T430" i="51"/>
  <c r="T426" i="51"/>
  <c r="T460" i="51"/>
  <c r="T456" i="51"/>
  <c r="T452" i="51"/>
  <c r="T448" i="51"/>
  <c r="T444" i="51"/>
  <c r="T440" i="51"/>
  <c r="T436" i="51"/>
  <c r="T432" i="51"/>
  <c r="T428" i="51"/>
  <c r="T433" i="51"/>
  <c r="T441" i="51"/>
  <c r="T449" i="51"/>
  <c r="T457" i="51"/>
  <c r="T505" i="51"/>
  <c r="T501" i="51"/>
  <c r="T497" i="51"/>
  <c r="T493" i="51"/>
  <c r="T489" i="51"/>
  <c r="T485" i="51"/>
  <c r="T506" i="51"/>
  <c r="T502" i="51"/>
  <c r="T498" i="51"/>
  <c r="T494" i="51"/>
  <c r="T490" i="51"/>
  <c r="T486" i="51"/>
  <c r="T482" i="51"/>
  <c r="T478" i="51"/>
  <c r="T474" i="51"/>
  <c r="T470" i="51"/>
  <c r="T475" i="51"/>
  <c r="T480" i="51"/>
  <c r="T487" i="51"/>
  <c r="T495" i="51"/>
  <c r="T503" i="51"/>
  <c r="T472" i="51"/>
  <c r="T477" i="51"/>
  <c r="T483" i="51"/>
  <c r="T491" i="51"/>
  <c r="T499" i="51"/>
  <c r="T507" i="51"/>
  <c r="T569" i="51"/>
  <c r="T598" i="51"/>
  <c r="T594" i="51"/>
  <c r="T590" i="51"/>
  <c r="T586" i="51"/>
  <c r="T582" i="51"/>
  <c r="T578" i="51"/>
  <c r="T574" i="51"/>
  <c r="T570" i="51"/>
  <c r="T566" i="51"/>
  <c r="T562" i="51"/>
  <c r="T596" i="51"/>
  <c r="T592" i="51"/>
  <c r="T588" i="51"/>
  <c r="T584" i="51"/>
  <c r="T580" i="51"/>
  <c r="T576" i="51"/>
  <c r="T572" i="51"/>
  <c r="T568" i="51"/>
  <c r="T564" i="51"/>
  <c r="T597" i="51"/>
  <c r="T589" i="51"/>
  <c r="T581" i="51"/>
  <c r="T573" i="51"/>
  <c r="T565" i="51"/>
  <c r="T595" i="51"/>
  <c r="T587" i="51"/>
  <c r="T579" i="51"/>
  <c r="T571" i="51"/>
  <c r="T563" i="51"/>
  <c r="T599" i="51"/>
  <c r="T591" i="51"/>
  <c r="T583" i="51"/>
  <c r="T575" i="51"/>
  <c r="T567" i="51"/>
  <c r="T593" i="51"/>
  <c r="T608" i="51"/>
  <c r="T613" i="51"/>
  <c r="T618" i="51"/>
  <c r="T624" i="51"/>
  <c r="T629" i="51"/>
  <c r="T634" i="51"/>
  <c r="T643" i="51"/>
  <c r="T639" i="51"/>
  <c r="T635" i="51"/>
  <c r="T631" i="51"/>
  <c r="T627" i="51"/>
  <c r="T623" i="51"/>
  <c r="T619" i="51"/>
  <c r="T615" i="51"/>
  <c r="T611" i="51"/>
  <c r="T607" i="51"/>
  <c r="T610" i="51"/>
  <c r="T616" i="51"/>
  <c r="T621" i="51"/>
  <c r="T626" i="51"/>
  <c r="T632" i="51"/>
  <c r="T637" i="51"/>
  <c r="T642" i="51"/>
  <c r="T656" i="51"/>
  <c r="T661" i="51"/>
  <c r="T666" i="51"/>
  <c r="T672" i="51"/>
  <c r="T677" i="51"/>
  <c r="T682" i="51"/>
  <c r="T691" i="51"/>
  <c r="T687" i="51"/>
  <c r="T683" i="51"/>
  <c r="T679" i="51"/>
  <c r="T675" i="51"/>
  <c r="T671" i="51"/>
  <c r="T667" i="51"/>
  <c r="T663" i="51"/>
  <c r="T659" i="51"/>
  <c r="T655" i="51"/>
  <c r="T658" i="51"/>
  <c r="T664" i="51"/>
  <c r="T669" i="51"/>
  <c r="T674" i="51"/>
  <c r="T680" i="51"/>
  <c r="T685" i="51"/>
  <c r="T690" i="51"/>
  <c r="T699" i="51"/>
  <c r="T703" i="51"/>
  <c r="T707" i="51"/>
  <c r="T711" i="51"/>
  <c r="T715" i="51"/>
  <c r="T719" i="51"/>
  <c r="T723" i="51"/>
  <c r="T727" i="51"/>
  <c r="T731" i="51"/>
  <c r="T735" i="51"/>
  <c r="T700" i="51"/>
  <c r="T704" i="51"/>
  <c r="T708" i="51"/>
  <c r="T712" i="51"/>
  <c r="T716" i="51"/>
  <c r="T720" i="51"/>
  <c r="T724" i="51"/>
  <c r="T728" i="51"/>
  <c r="T732" i="51"/>
  <c r="T701" i="51"/>
  <c r="T705" i="51"/>
  <c r="T709" i="51"/>
  <c r="T713" i="51"/>
  <c r="T717" i="51"/>
  <c r="T721" i="51"/>
  <c r="T725" i="51"/>
  <c r="T729" i="51"/>
  <c r="AI14" i="57"/>
  <c r="AI18" i="57"/>
  <c r="AI22" i="57"/>
  <c r="AI26" i="57"/>
  <c r="AI30" i="57"/>
  <c r="AI34" i="57"/>
  <c r="AI38" i="57"/>
  <c r="AI42" i="57"/>
  <c r="AI46" i="57"/>
  <c r="AI11" i="57"/>
  <c r="AI15" i="57"/>
  <c r="AI19" i="57"/>
  <c r="AI23" i="57"/>
  <c r="AI27" i="57"/>
  <c r="AI31" i="57"/>
  <c r="AI35" i="57"/>
  <c r="AI39" i="57"/>
  <c r="AI43" i="57"/>
  <c r="AI47" i="57"/>
  <c r="AI62" i="57"/>
  <c r="AI66" i="57"/>
  <c r="AI70" i="57"/>
  <c r="AI74" i="57"/>
  <c r="AI78" i="57"/>
  <c r="AI82" i="57"/>
  <c r="AI86" i="57"/>
  <c r="AI90" i="57"/>
  <c r="AI95" i="57"/>
  <c r="AI12" i="57"/>
  <c r="AI16" i="57"/>
  <c r="AI20" i="57"/>
  <c r="AI24" i="57"/>
  <c r="AI28" i="57"/>
  <c r="AI32" i="57"/>
  <c r="AI36" i="57"/>
  <c r="AI40" i="57"/>
  <c r="AI44" i="57"/>
  <c r="AI59" i="57"/>
  <c r="AI63" i="57"/>
  <c r="AI67" i="57"/>
  <c r="AI71" i="57"/>
  <c r="AI75" i="57"/>
  <c r="AI79" i="57"/>
  <c r="AI83" i="57"/>
  <c r="AI87" i="57"/>
  <c r="AI91" i="57"/>
  <c r="AI96" i="57"/>
  <c r="AI139" i="57"/>
  <c r="AI135" i="57"/>
  <c r="AI131" i="57"/>
  <c r="AI127" i="57"/>
  <c r="AI123" i="57"/>
  <c r="AI119" i="57"/>
  <c r="AI115" i="57"/>
  <c r="AI111" i="57"/>
  <c r="AI107" i="57"/>
  <c r="AI103" i="57"/>
  <c r="AI108" i="57"/>
  <c r="AI113" i="57"/>
  <c r="AI118" i="57"/>
  <c r="AI124" i="57"/>
  <c r="AI129" i="57"/>
  <c r="AI134" i="57"/>
  <c r="AI140" i="57"/>
  <c r="AI191" i="57"/>
  <c r="AI202" i="57"/>
  <c r="AI212" i="57"/>
  <c r="AI223" i="57"/>
  <c r="AI195" i="57"/>
  <c r="AI206" i="57"/>
  <c r="AI216" i="57"/>
  <c r="AI226" i="57"/>
  <c r="AI225" i="57"/>
  <c r="AI221" i="57"/>
  <c r="AI217" i="57"/>
  <c r="AI213" i="57"/>
  <c r="AI209" i="57"/>
  <c r="AI205" i="57"/>
  <c r="AI201" i="57"/>
  <c r="AI197" i="57"/>
  <c r="AI193" i="57"/>
  <c r="AI227" i="57"/>
  <c r="AI220" i="57"/>
  <c r="AI215" i="57"/>
  <c r="AI210" i="57"/>
  <c r="AI204" i="57"/>
  <c r="AI199" i="57"/>
  <c r="AI194" i="57"/>
  <c r="AI224" i="57"/>
  <c r="AI219" i="57"/>
  <c r="AI214" i="57"/>
  <c r="AI208" i="57"/>
  <c r="AI203" i="57"/>
  <c r="AI198" i="57"/>
  <c r="AI192" i="57"/>
  <c r="AI200" i="57"/>
  <c r="AI211" i="57"/>
  <c r="AI222" i="57"/>
  <c r="AI150" i="57"/>
  <c r="AI154" i="57"/>
  <c r="AI158" i="57"/>
  <c r="AI162" i="57"/>
  <c r="AI166" i="57"/>
  <c r="AI170" i="57"/>
  <c r="AI174" i="57"/>
  <c r="AI178" i="57"/>
  <c r="AI242" i="57"/>
  <c r="AI250" i="57"/>
  <c r="AI258" i="57"/>
  <c r="AI273" i="57"/>
  <c r="AI269" i="57"/>
  <c r="AI265" i="57"/>
  <c r="AI261" i="57"/>
  <c r="AI257" i="57"/>
  <c r="AI253" i="57"/>
  <c r="AI249" i="57"/>
  <c r="AI245" i="57"/>
  <c r="AI241" i="57"/>
  <c r="AI237" i="57"/>
  <c r="AI272" i="57"/>
  <c r="AI268" i="57"/>
  <c r="AI264" i="57"/>
  <c r="AI260" i="57"/>
  <c r="AI256" i="57"/>
  <c r="AI252" i="57"/>
  <c r="AI248" i="57"/>
  <c r="AI244" i="57"/>
  <c r="AI240" i="57"/>
  <c r="AI236" i="57"/>
  <c r="AI243" i="57"/>
  <c r="AI251" i="57"/>
  <c r="AI259" i="57"/>
  <c r="AI267" i="57"/>
  <c r="AI317" i="57"/>
  <c r="AI313" i="57"/>
  <c r="AI309" i="57"/>
  <c r="AI305" i="57"/>
  <c r="AI301" i="57"/>
  <c r="AI297" i="57"/>
  <c r="AI293" i="57"/>
  <c r="AI289" i="57"/>
  <c r="AI285" i="57"/>
  <c r="AI281" i="57"/>
  <c r="AI316" i="57"/>
  <c r="AI312" i="57"/>
  <c r="AI308" i="57"/>
  <c r="AI304" i="57"/>
  <c r="AI300" i="57"/>
  <c r="AI296" i="57"/>
  <c r="AI292" i="57"/>
  <c r="AI288" i="57"/>
  <c r="AI284" i="57"/>
  <c r="AI280" i="57"/>
  <c r="AI287" i="57"/>
  <c r="AI295" i="57"/>
  <c r="AI303" i="57"/>
  <c r="AI311" i="57"/>
  <c r="AI282" i="57"/>
  <c r="AI290" i="57"/>
  <c r="AI298" i="57"/>
  <c r="AI306" i="57"/>
  <c r="AI314" i="57"/>
  <c r="D536" i="58" a="1"/>
  <c r="D573" i="58" s="1"/>
  <c r="D491" i="58" a="1"/>
  <c r="D528" i="58" s="1"/>
  <c r="D446" i="58" a="1"/>
  <c r="D483" i="58" s="1"/>
  <c r="E534" i="58" a="1"/>
  <c r="P535" i="58" s="1"/>
  <c r="E532" i="58" a="1"/>
  <c r="P533" i="58" s="1"/>
  <c r="E489" i="58" a="1"/>
  <c r="P490" i="58" s="1"/>
  <c r="E487" i="58" a="1"/>
  <c r="P488" i="58" s="1"/>
  <c r="E444" i="58" a="1"/>
  <c r="P445" i="58" s="1"/>
  <c r="E442" i="58" a="1"/>
  <c r="M443" i="58" s="1"/>
  <c r="E433" i="58" a="1"/>
  <c r="P434" i="58" s="1"/>
  <c r="E431" i="58" a="1"/>
  <c r="P432" i="58" s="1"/>
  <c r="D376" i="58" a="1"/>
  <c r="D413" i="58" s="1"/>
  <c r="D331" i="58" a="1"/>
  <c r="D368" i="58" s="1"/>
  <c r="D286" i="58" a="1"/>
  <c r="D323" i="58" s="1"/>
  <c r="E374" i="58" a="1"/>
  <c r="P375" i="58" s="1"/>
  <c r="E372" i="58" a="1"/>
  <c r="P373" i="58" s="1"/>
  <c r="E329" i="58" a="1"/>
  <c r="P330" i="58" s="1"/>
  <c r="E327" i="58" a="1"/>
  <c r="P328" i="58" s="1"/>
  <c r="E284" i="58" a="1"/>
  <c r="P285" i="58" s="1"/>
  <c r="E282" i="58" a="1"/>
  <c r="P283" i="58" s="1"/>
  <c r="AM109" i="51" l="1" a="1"/>
  <c r="AP135" i="51" s="1"/>
  <c r="AM291" i="51" a="1"/>
  <c r="AN324" i="51" s="1"/>
  <c r="AM382" i="51" a="1"/>
  <c r="AR386" i="51" s="1"/>
  <c r="AM200" i="51" a="1"/>
  <c r="AR213" i="51" s="1"/>
  <c r="AM14" i="51" a="1"/>
  <c r="AM46" i="51" s="1"/>
  <c r="AM518" i="51" a="1"/>
  <c r="AN550" i="51" s="1"/>
  <c r="AM654" i="51" a="1"/>
  <c r="AR664" i="51" s="1"/>
  <c r="AO299" i="51"/>
  <c r="AQ391" i="51"/>
  <c r="AP384" i="51"/>
  <c r="AQ419" i="51"/>
  <c r="AN389" i="51"/>
  <c r="AP327" i="51"/>
  <c r="AO313" i="51"/>
  <c r="AN299" i="51"/>
  <c r="AR322" i="51"/>
  <c r="AO328" i="51"/>
  <c r="AP412" i="51"/>
  <c r="AR385" i="51"/>
  <c r="AR532" i="51"/>
  <c r="AQ326" i="51"/>
  <c r="AR301" i="51"/>
  <c r="AO311" i="51"/>
  <c r="AQ307" i="51"/>
  <c r="AP406" i="51"/>
  <c r="AN401" i="51"/>
  <c r="AN328" i="51"/>
  <c r="AQ305" i="51"/>
  <c r="AO392" i="51"/>
  <c r="AQ410" i="51"/>
  <c r="AN21" i="51"/>
  <c r="AO384" i="51"/>
  <c r="AP299" i="51"/>
  <c r="AR302" i="51"/>
  <c r="AM418" i="51"/>
  <c r="AN400" i="51"/>
  <c r="AP25" i="51"/>
  <c r="AO23" i="51"/>
  <c r="AP523" i="51"/>
  <c r="AQ402" i="51"/>
  <c r="AO413" i="51"/>
  <c r="AO21" i="51"/>
  <c r="AP23" i="51"/>
  <c r="AN23" i="51"/>
  <c r="AQ524" i="51"/>
  <c r="AN392" i="51"/>
  <c r="D539" i="58"/>
  <c r="D543" i="58"/>
  <c r="D547" i="58"/>
  <c r="D551" i="58"/>
  <c r="D555" i="58"/>
  <c r="D559" i="58"/>
  <c r="D563" i="58"/>
  <c r="D567" i="58"/>
  <c r="D571" i="58"/>
  <c r="D542" i="58"/>
  <c r="D550" i="58"/>
  <c r="D566" i="58"/>
  <c r="D536" i="58"/>
  <c r="D540" i="58"/>
  <c r="D544" i="58"/>
  <c r="D548" i="58"/>
  <c r="D552" i="58"/>
  <c r="D556" i="58"/>
  <c r="D560" i="58"/>
  <c r="D564" i="58"/>
  <c r="D568" i="58"/>
  <c r="D572" i="58"/>
  <c r="D538" i="58"/>
  <c r="D546" i="58"/>
  <c r="D554" i="58"/>
  <c r="D558" i="58"/>
  <c r="D562" i="58"/>
  <c r="D570" i="58"/>
  <c r="D537" i="58"/>
  <c r="D541" i="58"/>
  <c r="D545" i="58"/>
  <c r="D549" i="58"/>
  <c r="D553" i="58"/>
  <c r="D557" i="58"/>
  <c r="D561" i="58"/>
  <c r="D565" i="58"/>
  <c r="D569" i="58"/>
  <c r="D493" i="58"/>
  <c r="D497" i="58"/>
  <c r="D501" i="58"/>
  <c r="D505" i="58"/>
  <c r="D509" i="58"/>
  <c r="D513" i="58"/>
  <c r="D517" i="58"/>
  <c r="D521" i="58"/>
  <c r="D525" i="58"/>
  <c r="D494" i="58"/>
  <c r="D498" i="58"/>
  <c r="D502" i="58"/>
  <c r="D506" i="58"/>
  <c r="D510" i="58"/>
  <c r="D514" i="58"/>
  <c r="D518" i="58"/>
  <c r="D522" i="58"/>
  <c r="D526" i="58"/>
  <c r="D491" i="58"/>
  <c r="D495" i="58"/>
  <c r="D499" i="58"/>
  <c r="D503" i="58"/>
  <c r="D507" i="58"/>
  <c r="D511" i="58"/>
  <c r="D515" i="58"/>
  <c r="D519" i="58"/>
  <c r="D523" i="58"/>
  <c r="D527" i="58"/>
  <c r="D492" i="58"/>
  <c r="D496" i="58"/>
  <c r="D500" i="58"/>
  <c r="D504" i="58"/>
  <c r="D508" i="58"/>
  <c r="D512" i="58"/>
  <c r="D516" i="58"/>
  <c r="D520" i="58"/>
  <c r="D524" i="58"/>
  <c r="D449" i="58"/>
  <c r="D453" i="58"/>
  <c r="D457" i="58"/>
  <c r="D461" i="58"/>
  <c r="D465" i="58"/>
  <c r="D469" i="58"/>
  <c r="D473" i="58"/>
  <c r="D477" i="58"/>
  <c r="D481" i="58"/>
  <c r="D448" i="58"/>
  <c r="D456" i="58"/>
  <c r="D464" i="58"/>
  <c r="D472" i="58"/>
  <c r="D480" i="58"/>
  <c r="D446" i="58"/>
  <c r="D450" i="58"/>
  <c r="D454" i="58"/>
  <c r="D458" i="58"/>
  <c r="D462" i="58"/>
  <c r="D466" i="58"/>
  <c r="D470" i="58"/>
  <c r="D474" i="58"/>
  <c r="D478" i="58"/>
  <c r="D482" i="58"/>
  <c r="D452" i="58"/>
  <c r="D460" i="58"/>
  <c r="D468" i="58"/>
  <c r="D476" i="58"/>
  <c r="D447" i="58"/>
  <c r="D451" i="58"/>
  <c r="D455" i="58"/>
  <c r="D459" i="58"/>
  <c r="D463" i="58"/>
  <c r="D467" i="58"/>
  <c r="D471" i="58"/>
  <c r="D475" i="58"/>
  <c r="D479" i="58"/>
  <c r="F433" i="58"/>
  <c r="M433" i="58"/>
  <c r="G444" i="58"/>
  <c r="J434" i="58"/>
  <c r="M444" i="58"/>
  <c r="F445" i="58"/>
  <c r="G532" i="58"/>
  <c r="N433" i="58"/>
  <c r="K445" i="58"/>
  <c r="M489" i="58"/>
  <c r="M532" i="58"/>
  <c r="E433" i="58"/>
  <c r="I434" i="58"/>
  <c r="M490" i="58"/>
  <c r="F533" i="58"/>
  <c r="K533" i="58"/>
  <c r="I489" i="58"/>
  <c r="I431" i="58"/>
  <c r="N431" i="58"/>
  <c r="G432" i="58"/>
  <c r="M432" i="58"/>
  <c r="K442" i="58"/>
  <c r="G443" i="58"/>
  <c r="O443" i="58"/>
  <c r="J487" i="58"/>
  <c r="F488" i="58"/>
  <c r="N488" i="58"/>
  <c r="I532" i="58"/>
  <c r="N532" i="58"/>
  <c r="G533" i="58"/>
  <c r="M533" i="58"/>
  <c r="E534" i="58"/>
  <c r="M534" i="58"/>
  <c r="I535" i="58"/>
  <c r="E431" i="58"/>
  <c r="J431" i="58"/>
  <c r="O431" i="58"/>
  <c r="I432" i="58"/>
  <c r="N432" i="58"/>
  <c r="F442" i="58"/>
  <c r="N442" i="58"/>
  <c r="J443" i="58"/>
  <c r="I444" i="58"/>
  <c r="N444" i="58"/>
  <c r="G445" i="58"/>
  <c r="M445" i="58"/>
  <c r="E487" i="58"/>
  <c r="M487" i="58"/>
  <c r="I488" i="58"/>
  <c r="E490" i="58"/>
  <c r="E532" i="58"/>
  <c r="J532" i="58"/>
  <c r="O532" i="58"/>
  <c r="I533" i="58"/>
  <c r="N533" i="58"/>
  <c r="F534" i="58"/>
  <c r="N534" i="58"/>
  <c r="J535" i="58"/>
  <c r="F431" i="58"/>
  <c r="K431" i="58"/>
  <c r="E432" i="58"/>
  <c r="J432" i="58"/>
  <c r="O432" i="58"/>
  <c r="I433" i="58"/>
  <c r="E434" i="58"/>
  <c r="M434" i="58"/>
  <c r="G442" i="58"/>
  <c r="O442" i="58"/>
  <c r="K443" i="58"/>
  <c r="E444" i="58"/>
  <c r="J444" i="58"/>
  <c r="O444" i="58"/>
  <c r="I445" i="58"/>
  <c r="N445" i="58"/>
  <c r="F487" i="58"/>
  <c r="N487" i="58"/>
  <c r="J488" i="58"/>
  <c r="E489" i="58"/>
  <c r="I490" i="58"/>
  <c r="F532" i="58"/>
  <c r="K532" i="58"/>
  <c r="E533" i="58"/>
  <c r="J533" i="58"/>
  <c r="O533" i="58"/>
  <c r="I534" i="58"/>
  <c r="E535" i="58"/>
  <c r="M535" i="58"/>
  <c r="G431" i="58"/>
  <c r="M431" i="58"/>
  <c r="F432" i="58"/>
  <c r="K432" i="58"/>
  <c r="J433" i="58"/>
  <c r="F434" i="58"/>
  <c r="N434" i="58"/>
  <c r="J442" i="58"/>
  <c r="F443" i="58"/>
  <c r="N443" i="58"/>
  <c r="F444" i="58"/>
  <c r="K444" i="58"/>
  <c r="E445" i="58"/>
  <c r="J445" i="58"/>
  <c r="O445" i="58"/>
  <c r="I487" i="58"/>
  <c r="E488" i="58"/>
  <c r="M488" i="58"/>
  <c r="J534" i="58"/>
  <c r="F535" i="58"/>
  <c r="N535" i="58"/>
  <c r="H532" i="58"/>
  <c r="L532" i="58"/>
  <c r="P532" i="58"/>
  <c r="H533" i="58"/>
  <c r="L533" i="58"/>
  <c r="G534" i="58"/>
  <c r="K534" i="58"/>
  <c r="O534" i="58"/>
  <c r="G535" i="58"/>
  <c r="K535" i="58"/>
  <c r="O535" i="58"/>
  <c r="H534" i="58"/>
  <c r="L534" i="58"/>
  <c r="P534" i="58"/>
  <c r="H535" i="58"/>
  <c r="L535" i="58"/>
  <c r="G487" i="58"/>
  <c r="K487" i="58"/>
  <c r="O487" i="58"/>
  <c r="G488" i="58"/>
  <c r="K488" i="58"/>
  <c r="O488" i="58"/>
  <c r="F489" i="58"/>
  <c r="J489" i="58"/>
  <c r="N489" i="58"/>
  <c r="F490" i="58"/>
  <c r="J490" i="58"/>
  <c r="N490" i="58"/>
  <c r="H487" i="58"/>
  <c r="L487" i="58"/>
  <c r="P487" i="58"/>
  <c r="H488" i="58"/>
  <c r="L488" i="58"/>
  <c r="G489" i="58"/>
  <c r="K489" i="58"/>
  <c r="O489" i="58"/>
  <c r="G490" i="58"/>
  <c r="K490" i="58"/>
  <c r="O490" i="58"/>
  <c r="H489" i="58"/>
  <c r="L489" i="58"/>
  <c r="P489" i="58"/>
  <c r="H490" i="58"/>
  <c r="L490" i="58"/>
  <c r="H442" i="58"/>
  <c r="L442" i="58"/>
  <c r="P442" i="58"/>
  <c r="H443" i="58"/>
  <c r="L443" i="58"/>
  <c r="P443" i="58"/>
  <c r="E442" i="58"/>
  <c r="I442" i="58"/>
  <c r="M442" i="58"/>
  <c r="E443" i="58"/>
  <c r="I443" i="58"/>
  <c r="H444" i="58"/>
  <c r="L444" i="58"/>
  <c r="P444" i="58"/>
  <c r="H445" i="58"/>
  <c r="L445" i="58"/>
  <c r="H431" i="58"/>
  <c r="L431" i="58"/>
  <c r="P431" i="58"/>
  <c r="H432" i="58"/>
  <c r="L432" i="58"/>
  <c r="G433" i="58"/>
  <c r="K433" i="58"/>
  <c r="O433" i="58"/>
  <c r="G434" i="58"/>
  <c r="K434" i="58"/>
  <c r="O434" i="58"/>
  <c r="H433" i="58"/>
  <c r="L433" i="58"/>
  <c r="P433" i="58"/>
  <c r="H434" i="58"/>
  <c r="L434" i="58"/>
  <c r="D382" i="58"/>
  <c r="D390" i="58"/>
  <c r="D398" i="58"/>
  <c r="D406" i="58"/>
  <c r="D379" i="58"/>
  <c r="D411" i="58"/>
  <c r="D383" i="58"/>
  <c r="D391" i="58"/>
  <c r="D399" i="58"/>
  <c r="D407" i="58"/>
  <c r="D376" i="58"/>
  <c r="D380" i="58"/>
  <c r="D384" i="58"/>
  <c r="D388" i="58"/>
  <c r="D392" i="58"/>
  <c r="D396" i="58"/>
  <c r="D400" i="58"/>
  <c r="D404" i="58"/>
  <c r="D408" i="58"/>
  <c r="D412" i="58"/>
  <c r="D378" i="58"/>
  <c r="D386" i="58"/>
  <c r="D394" i="58"/>
  <c r="D402" i="58"/>
  <c r="D410" i="58"/>
  <c r="D387" i="58"/>
  <c r="D395" i="58"/>
  <c r="D403" i="58"/>
  <c r="D377" i="58"/>
  <c r="D381" i="58"/>
  <c r="D385" i="58"/>
  <c r="D389" i="58"/>
  <c r="D393" i="58"/>
  <c r="D397" i="58"/>
  <c r="D401" i="58"/>
  <c r="D405" i="58"/>
  <c r="D409" i="58"/>
  <c r="D333" i="58"/>
  <c r="D337" i="58"/>
  <c r="D341" i="58"/>
  <c r="D345" i="58"/>
  <c r="D349" i="58"/>
  <c r="D353" i="58"/>
  <c r="D357" i="58"/>
  <c r="D361" i="58"/>
  <c r="D365" i="58"/>
  <c r="D334" i="58"/>
  <c r="D338" i="58"/>
  <c r="D342" i="58"/>
  <c r="D346" i="58"/>
  <c r="D350" i="58"/>
  <c r="D354" i="58"/>
  <c r="D358" i="58"/>
  <c r="D362" i="58"/>
  <c r="D366" i="58"/>
  <c r="D331" i="58"/>
  <c r="D335" i="58"/>
  <c r="D339" i="58"/>
  <c r="D343" i="58"/>
  <c r="D347" i="58"/>
  <c r="D351" i="58"/>
  <c r="D355" i="58"/>
  <c r="D359" i="58"/>
  <c r="D363" i="58"/>
  <c r="D367" i="58"/>
  <c r="D332" i="58"/>
  <c r="D336" i="58"/>
  <c r="D340" i="58"/>
  <c r="D344" i="58"/>
  <c r="D348" i="58"/>
  <c r="D352" i="58"/>
  <c r="D356" i="58"/>
  <c r="D360" i="58"/>
  <c r="D364" i="58"/>
  <c r="D289" i="58"/>
  <c r="D293" i="58"/>
  <c r="D297" i="58"/>
  <c r="D301" i="58"/>
  <c r="D305" i="58"/>
  <c r="D309" i="58"/>
  <c r="D313" i="58"/>
  <c r="D317" i="58"/>
  <c r="D321" i="58"/>
  <c r="D288" i="58"/>
  <c r="D292" i="58"/>
  <c r="D300" i="58"/>
  <c r="D308" i="58"/>
  <c r="D320" i="58"/>
  <c r="D286" i="58"/>
  <c r="D290" i="58"/>
  <c r="D294" i="58"/>
  <c r="D298" i="58"/>
  <c r="D302" i="58"/>
  <c r="D306" i="58"/>
  <c r="D310" i="58"/>
  <c r="D314" i="58"/>
  <c r="D318" i="58"/>
  <c r="D322" i="58"/>
  <c r="D296" i="58"/>
  <c r="D304" i="58"/>
  <c r="D312" i="58"/>
  <c r="D316" i="58"/>
  <c r="D287" i="58"/>
  <c r="D291" i="58"/>
  <c r="D295" i="58"/>
  <c r="D299" i="58"/>
  <c r="D303" i="58"/>
  <c r="D307" i="58"/>
  <c r="D311" i="58"/>
  <c r="D315" i="58"/>
  <c r="D319" i="58"/>
  <c r="G282" i="58"/>
  <c r="I282" i="58"/>
  <c r="N282" i="58"/>
  <c r="G283" i="58"/>
  <c r="M283" i="58"/>
  <c r="E284" i="58"/>
  <c r="M284" i="58"/>
  <c r="I285" i="58"/>
  <c r="F283" i="58"/>
  <c r="K283" i="58"/>
  <c r="J284" i="58"/>
  <c r="F285" i="58"/>
  <c r="N285" i="58"/>
  <c r="E282" i="58"/>
  <c r="J282" i="58"/>
  <c r="O282" i="58"/>
  <c r="I283" i="58"/>
  <c r="N283" i="58"/>
  <c r="F284" i="58"/>
  <c r="N284" i="58"/>
  <c r="J285" i="58"/>
  <c r="F282" i="58"/>
  <c r="K282" i="58"/>
  <c r="E283" i="58"/>
  <c r="J283" i="58"/>
  <c r="O283" i="58"/>
  <c r="I284" i="58"/>
  <c r="E285" i="58"/>
  <c r="M285" i="58"/>
  <c r="M282" i="58"/>
  <c r="E372" i="58"/>
  <c r="I372" i="58"/>
  <c r="M372" i="58"/>
  <c r="E373" i="58"/>
  <c r="I373" i="58"/>
  <c r="M373" i="58"/>
  <c r="F372" i="58"/>
  <c r="J372" i="58"/>
  <c r="N372" i="58"/>
  <c r="F373" i="58"/>
  <c r="J373" i="58"/>
  <c r="N373" i="58"/>
  <c r="E374" i="58"/>
  <c r="I374" i="58"/>
  <c r="M374" i="58"/>
  <c r="E375" i="58"/>
  <c r="I375" i="58"/>
  <c r="M375" i="58"/>
  <c r="G372" i="58"/>
  <c r="K372" i="58"/>
  <c r="O372" i="58"/>
  <c r="G373" i="58"/>
  <c r="K373" i="58"/>
  <c r="O373" i="58"/>
  <c r="F374" i="58"/>
  <c r="J374" i="58"/>
  <c r="N374" i="58"/>
  <c r="F375" i="58"/>
  <c r="J375" i="58"/>
  <c r="N375" i="58"/>
  <c r="H372" i="58"/>
  <c r="L372" i="58"/>
  <c r="P372" i="58"/>
  <c r="H373" i="58"/>
  <c r="L373" i="58"/>
  <c r="G374" i="58"/>
  <c r="K374" i="58"/>
  <c r="O374" i="58"/>
  <c r="G375" i="58"/>
  <c r="K375" i="58"/>
  <c r="O375" i="58"/>
  <c r="H374" i="58"/>
  <c r="L374" i="58"/>
  <c r="P374" i="58"/>
  <c r="H375" i="58"/>
  <c r="L375" i="58"/>
  <c r="E327" i="58"/>
  <c r="I327" i="58"/>
  <c r="M327" i="58"/>
  <c r="E328" i="58"/>
  <c r="I328" i="58"/>
  <c r="M328" i="58"/>
  <c r="F327" i="58"/>
  <c r="J327" i="58"/>
  <c r="N327" i="58"/>
  <c r="F328" i="58"/>
  <c r="J328" i="58"/>
  <c r="N328" i="58"/>
  <c r="E329" i="58"/>
  <c r="I329" i="58"/>
  <c r="M329" i="58"/>
  <c r="E330" i="58"/>
  <c r="I330" i="58"/>
  <c r="M330" i="58"/>
  <c r="G327" i="58"/>
  <c r="K327" i="58"/>
  <c r="O327" i="58"/>
  <c r="G328" i="58"/>
  <c r="K328" i="58"/>
  <c r="O328" i="58"/>
  <c r="F329" i="58"/>
  <c r="J329" i="58"/>
  <c r="N329" i="58"/>
  <c r="F330" i="58"/>
  <c r="J330" i="58"/>
  <c r="N330" i="58"/>
  <c r="H327" i="58"/>
  <c r="L327" i="58"/>
  <c r="P327" i="58"/>
  <c r="H328" i="58"/>
  <c r="L328" i="58"/>
  <c r="G329" i="58"/>
  <c r="K329" i="58"/>
  <c r="O329" i="58"/>
  <c r="G330" i="58"/>
  <c r="K330" i="58"/>
  <c r="O330" i="58"/>
  <c r="H329" i="58"/>
  <c r="L329" i="58"/>
  <c r="P329" i="58"/>
  <c r="H330" i="58"/>
  <c r="L330" i="58"/>
  <c r="H282" i="58"/>
  <c r="L282" i="58"/>
  <c r="P282" i="58"/>
  <c r="H283" i="58"/>
  <c r="L283" i="58"/>
  <c r="G284" i="58"/>
  <c r="K284" i="58"/>
  <c r="O284" i="58"/>
  <c r="G285" i="58"/>
  <c r="K285" i="58"/>
  <c r="O285" i="58"/>
  <c r="H284" i="58"/>
  <c r="L284" i="58"/>
  <c r="P284" i="58"/>
  <c r="H285" i="58"/>
  <c r="L285" i="58"/>
  <c r="E193" i="58" a="1"/>
  <c r="E191" i="58" a="1"/>
  <c r="P192" i="58" s="1"/>
  <c r="E145" i="58" a="1"/>
  <c r="P146" i="58" s="1"/>
  <c r="E143" i="58" a="1"/>
  <c r="I143" i="58" s="1"/>
  <c r="E101" i="58" a="1"/>
  <c r="P102" i="58" s="1"/>
  <c r="E99" i="58" a="1"/>
  <c r="E100" i="58" s="1"/>
  <c r="E56" i="58" a="1"/>
  <c r="P57" i="58" s="1"/>
  <c r="E54" i="58" a="1"/>
  <c r="P55" i="58" s="1"/>
  <c r="D240" i="58" a="1"/>
  <c r="D276" i="58" s="1"/>
  <c r="AN201" i="51" l="1"/>
  <c r="AP109" i="51"/>
  <c r="AR49" i="51"/>
  <c r="AO141" i="51"/>
  <c r="AM137" i="51"/>
  <c r="AO126" i="51"/>
  <c r="AQ115" i="51"/>
  <c r="AN142" i="51"/>
  <c r="AP130" i="51"/>
  <c r="AQ110" i="51"/>
  <c r="AQ112" i="51"/>
  <c r="AP141" i="51"/>
  <c r="AP123" i="51"/>
  <c r="AP120" i="51"/>
  <c r="AM130" i="51"/>
  <c r="AM124" i="51"/>
  <c r="AM51" i="51"/>
  <c r="AN49" i="51"/>
  <c r="AO146" i="51"/>
  <c r="AM131" i="51"/>
  <c r="AO120" i="51"/>
  <c r="AQ109" i="51"/>
  <c r="AN135" i="51"/>
  <c r="AP124" i="51"/>
  <c r="AR122" i="51"/>
  <c r="AN143" i="51"/>
  <c r="AQ141" i="51"/>
  <c r="AN117" i="51"/>
  <c r="AM136" i="51"/>
  <c r="AM45" i="51"/>
  <c r="AM36" i="51"/>
  <c r="AM140" i="51"/>
  <c r="AQ135" i="51"/>
  <c r="AM125" i="51"/>
  <c r="AO114" i="51"/>
  <c r="AO140" i="51"/>
  <c r="AN129" i="51"/>
  <c r="AO113" i="51"/>
  <c r="AM110" i="51"/>
  <c r="AQ136" i="51"/>
  <c r="AO117" i="51"/>
  <c r="AR136" i="51"/>
  <c r="AN136" i="51"/>
  <c r="AQ139" i="51"/>
  <c r="AQ126" i="51"/>
  <c r="AM142" i="51"/>
  <c r="AM127" i="51"/>
  <c r="AM143" i="51"/>
  <c r="AR109" i="51"/>
  <c r="AM138" i="51"/>
  <c r="AN145" i="51"/>
  <c r="AO111" i="51"/>
  <c r="AN124" i="51"/>
  <c r="AR25" i="51"/>
  <c r="AR124" i="51"/>
  <c r="AQ43" i="51"/>
  <c r="AN39" i="51"/>
  <c r="AQ50" i="51"/>
  <c r="AN27" i="51"/>
  <c r="AQ138" i="51"/>
  <c r="AO134" i="51"/>
  <c r="AQ123" i="51"/>
  <c r="AM113" i="51"/>
  <c r="AP138" i="51"/>
  <c r="AR127" i="51"/>
  <c r="AM116" i="51"/>
  <c r="AR118" i="51"/>
  <c r="AM112" i="51"/>
  <c r="AR128" i="51"/>
  <c r="AP133" i="51"/>
  <c r="AN112" i="51"/>
  <c r="AO129" i="51"/>
  <c r="AQ116" i="51"/>
  <c r="AO40" i="51"/>
  <c r="AN41" i="51"/>
  <c r="AP17" i="51"/>
  <c r="AN139" i="51"/>
  <c r="AO128" i="51"/>
  <c r="AQ117" i="51"/>
  <c r="AR144" i="51"/>
  <c r="AP132" i="51"/>
  <c r="AR121" i="51"/>
  <c r="AP114" i="51"/>
  <c r="AR112" i="51"/>
  <c r="AP111" i="51"/>
  <c r="AO135" i="51"/>
  <c r="AO142" i="51"/>
  <c r="AM310" i="51"/>
  <c r="AN294" i="51"/>
  <c r="AN31" i="51"/>
  <c r="AM295" i="51"/>
  <c r="AP304" i="51"/>
  <c r="AM297" i="51"/>
  <c r="AP318" i="51"/>
  <c r="AR308" i="51"/>
  <c r="AM29" i="51"/>
  <c r="AQ14" i="51"/>
  <c r="AP145" i="51"/>
  <c r="AM133" i="51"/>
  <c r="AO122" i="51"/>
  <c r="AQ111" i="51"/>
  <c r="AN137" i="51"/>
  <c r="AP126" i="51"/>
  <c r="AQ118" i="51"/>
  <c r="AN116" i="51"/>
  <c r="AR146" i="51"/>
  <c r="AR120" i="51"/>
  <c r="AP143" i="51"/>
  <c r="AO144" i="51"/>
  <c r="AP110" i="51"/>
  <c r="AM132" i="51"/>
  <c r="AQ325" i="51"/>
  <c r="AP326" i="51"/>
  <c r="AQ302" i="51"/>
  <c r="AR316" i="51"/>
  <c r="AP144" i="51"/>
  <c r="AQ121" i="51"/>
  <c r="AP136" i="51"/>
  <c r="AP119" i="51"/>
  <c r="AQ114" i="51"/>
  <c r="AR130" i="51"/>
  <c r="AP118" i="51"/>
  <c r="AQ220" i="51"/>
  <c r="AO109" i="51"/>
  <c r="AR142" i="51"/>
  <c r="AM33" i="51"/>
  <c r="AR44" i="51"/>
  <c r="AM40" i="51"/>
  <c r="AQ146" i="51"/>
  <c r="AQ143" i="51"/>
  <c r="AQ131" i="51"/>
  <c r="AM121" i="51"/>
  <c r="AO110" i="51"/>
  <c r="AR135" i="51"/>
  <c r="AN125" i="51"/>
  <c r="AP121" i="51"/>
  <c r="AM126" i="51"/>
  <c r="AP115" i="51"/>
  <c r="AN134" i="51"/>
  <c r="AR140" i="51"/>
  <c r="AR115" i="51"/>
  <c r="AQ134" i="51"/>
  <c r="AQ547" i="51"/>
  <c r="AQ140" i="51"/>
  <c r="AQ29" i="51"/>
  <c r="AR46" i="51"/>
  <c r="AM146" i="51"/>
  <c r="AO136" i="51"/>
  <c r="AQ125" i="51"/>
  <c r="AM115" i="51"/>
  <c r="AN141" i="51"/>
  <c r="AR129" i="51"/>
  <c r="AP112" i="51"/>
  <c r="AQ120" i="51"/>
  <c r="AP116" i="51"/>
  <c r="AP142" i="51"/>
  <c r="AN113" i="51"/>
  <c r="AQ206" i="51"/>
  <c r="AQ202" i="51"/>
  <c r="AN319" i="51"/>
  <c r="AP411" i="51"/>
  <c r="AN327" i="51"/>
  <c r="AM327" i="51"/>
  <c r="AR299" i="51"/>
  <c r="AQ318" i="51"/>
  <c r="AO318" i="51"/>
  <c r="AQ291" i="51"/>
  <c r="AP325" i="51"/>
  <c r="AM316" i="51"/>
  <c r="AR45" i="51"/>
  <c r="AO145" i="51"/>
  <c r="AR141" i="51"/>
  <c r="AO130" i="51"/>
  <c r="AQ119" i="51"/>
  <c r="AM109" i="51"/>
  <c r="AP134" i="51"/>
  <c r="AR123" i="51"/>
  <c r="AP125" i="51"/>
  <c r="AM122" i="51"/>
  <c r="AN110" i="51"/>
  <c r="AN126" i="51"/>
  <c r="AN114" i="51"/>
  <c r="AR111" i="51"/>
  <c r="AM114" i="51"/>
  <c r="AO137" i="51"/>
  <c r="AR315" i="51"/>
  <c r="AM292" i="51"/>
  <c r="AN306" i="51"/>
  <c r="AP320" i="51"/>
  <c r="AP394" i="51"/>
  <c r="AQ137" i="51"/>
  <c r="AO116" i="51"/>
  <c r="AN131" i="51"/>
  <c r="AR110" i="51"/>
  <c r="AN122" i="51"/>
  <c r="AN146" i="51"/>
  <c r="AM128" i="51"/>
  <c r="AN411" i="51"/>
  <c r="AO127" i="51"/>
  <c r="AN120" i="51"/>
  <c r="AR412" i="51"/>
  <c r="AR134" i="51"/>
  <c r="AR318" i="51"/>
  <c r="AQ130" i="51"/>
  <c r="AP324" i="51"/>
  <c r="AO22" i="51"/>
  <c r="AN34" i="51"/>
  <c r="AM32" i="51"/>
  <c r="AM144" i="51"/>
  <c r="AN140" i="51"/>
  <c r="AM129" i="51"/>
  <c r="AO118" i="51"/>
  <c r="AQ145" i="51"/>
  <c r="AN133" i="51"/>
  <c r="AP122" i="51"/>
  <c r="AP129" i="51"/>
  <c r="AQ132" i="51"/>
  <c r="AN119" i="51"/>
  <c r="AR139" i="51"/>
  <c r="AO115" i="51"/>
  <c r="AO119" i="51"/>
  <c r="AP140" i="51"/>
  <c r="AN132" i="51"/>
  <c r="AM19" i="51"/>
  <c r="AR38" i="51"/>
  <c r="AO143" i="51"/>
  <c r="AQ133" i="51"/>
  <c r="AM123" i="51"/>
  <c r="AO112" i="51"/>
  <c r="AR137" i="51"/>
  <c r="AN127" i="51"/>
  <c r="AR117" i="51"/>
  <c r="AM134" i="51"/>
  <c r="AN130" i="51"/>
  <c r="AN109" i="51"/>
  <c r="AO125" i="51"/>
  <c r="AM220" i="51"/>
  <c r="AR295" i="51"/>
  <c r="AR15" i="51"/>
  <c r="AP297" i="51"/>
  <c r="AO316" i="51"/>
  <c r="AM314" i="51"/>
  <c r="AM313" i="51"/>
  <c r="AN297" i="51"/>
  <c r="AQ294" i="51"/>
  <c r="AN323" i="51"/>
  <c r="AN14" i="51"/>
  <c r="AQ142" i="51"/>
  <c r="AO138" i="51"/>
  <c r="AQ127" i="51"/>
  <c r="AM117" i="51"/>
  <c r="AR143" i="51"/>
  <c r="AR131" i="51"/>
  <c r="AN121" i="51"/>
  <c r="AM139" i="51"/>
  <c r="AQ128" i="51"/>
  <c r="AR113" i="51"/>
  <c r="AP131" i="51"/>
  <c r="AN128" i="51"/>
  <c r="AR119" i="51"/>
  <c r="AO121" i="51"/>
  <c r="AN144" i="51"/>
  <c r="AO319" i="51"/>
  <c r="AP295" i="51"/>
  <c r="AR309" i="51"/>
  <c r="AM324" i="51"/>
  <c r="AR39" i="51"/>
  <c r="AO132" i="51"/>
  <c r="AM111" i="51"/>
  <c r="AR125" i="51"/>
  <c r="AO123" i="51"/>
  <c r="AR132" i="51"/>
  <c r="AQ124" i="51"/>
  <c r="AR138" i="51"/>
  <c r="AM120" i="51"/>
  <c r="AM518" i="51"/>
  <c r="AR402" i="51"/>
  <c r="AO519" i="51"/>
  <c r="AO417" i="51"/>
  <c r="AN528" i="51"/>
  <c r="AO400" i="51"/>
  <c r="AQ417" i="51"/>
  <c r="AP542" i="51"/>
  <c r="AN391" i="51"/>
  <c r="AM403" i="51"/>
  <c r="AR389" i="51"/>
  <c r="AR382" i="51"/>
  <c r="AR419" i="51"/>
  <c r="AR416" i="51"/>
  <c r="AQ401" i="51"/>
  <c r="AP385" i="51"/>
  <c r="AQ406" i="51"/>
  <c r="AQ518" i="51"/>
  <c r="AP549" i="51"/>
  <c r="AN385" i="51"/>
  <c r="AQ415" i="51"/>
  <c r="AN407" i="51"/>
  <c r="AM419" i="51"/>
  <c r="AQ403" i="51"/>
  <c r="AR405" i="51"/>
  <c r="AQ223" i="51"/>
  <c r="AN660" i="51"/>
  <c r="AM682" i="51"/>
  <c r="AM654" i="51"/>
  <c r="AN659" i="51"/>
  <c r="AR688" i="51"/>
  <c r="AR543" i="51"/>
  <c r="AM400" i="51"/>
  <c r="AN408" i="51"/>
  <c r="AQ388" i="51"/>
  <c r="AM524" i="51"/>
  <c r="AQ530" i="51"/>
  <c r="AO665" i="51"/>
  <c r="AO525" i="51"/>
  <c r="AR408" i="51"/>
  <c r="AO399" i="51"/>
  <c r="AP555" i="51"/>
  <c r="AM402" i="51"/>
  <c r="AO391" i="51"/>
  <c r="AO385" i="51"/>
  <c r="AR202" i="51"/>
  <c r="AO412" i="51"/>
  <c r="AN540" i="51"/>
  <c r="AR548" i="51"/>
  <c r="AR675" i="51"/>
  <c r="AQ660" i="51"/>
  <c r="AR395" i="51"/>
  <c r="AN417" i="51"/>
  <c r="AR401" i="51"/>
  <c r="AP554" i="51"/>
  <c r="AQ413" i="51"/>
  <c r="AQ655" i="51"/>
  <c r="AR383" i="51"/>
  <c r="AO414" i="51"/>
  <c r="AP400" i="51"/>
  <c r="AQ399" i="51"/>
  <c r="AN402" i="51"/>
  <c r="AM389" i="51"/>
  <c r="AM686" i="51"/>
  <c r="AP403" i="51"/>
  <c r="AM540" i="51"/>
  <c r="AN384" i="51"/>
  <c r="AP383" i="51"/>
  <c r="AR394" i="51"/>
  <c r="AN211" i="51"/>
  <c r="AP391" i="51"/>
  <c r="AN522" i="51"/>
  <c r="AM382" i="51"/>
  <c r="AR400" i="51"/>
  <c r="AP413" i="51"/>
  <c r="AR229" i="51"/>
  <c r="AM407" i="51"/>
  <c r="AP390" i="51"/>
  <c r="AR411" i="51"/>
  <c r="AN521" i="51"/>
  <c r="AN218" i="51"/>
  <c r="AM405" i="51"/>
  <c r="AO410" i="51"/>
  <c r="AM675" i="51"/>
  <c r="AP396" i="51"/>
  <c r="AR417" i="51"/>
  <c r="AR529" i="51"/>
  <c r="AP233" i="51"/>
  <c r="AO408" i="51"/>
  <c r="AP219" i="51"/>
  <c r="AM409" i="51"/>
  <c r="AN395" i="51"/>
  <c r="AP416" i="51"/>
  <c r="AN386" i="51"/>
  <c r="AQ312" i="51"/>
  <c r="AM546" i="51"/>
  <c r="AQ34" i="51"/>
  <c r="AM49" i="51"/>
  <c r="AQ27" i="51"/>
  <c r="AP44" i="51"/>
  <c r="AP39" i="51"/>
  <c r="AN18" i="51"/>
  <c r="AQ26" i="51"/>
  <c r="AM304" i="51"/>
  <c r="AR320" i="51"/>
  <c r="AN308" i="51"/>
  <c r="AN326" i="51"/>
  <c r="AR312" i="51"/>
  <c r="AM536" i="51"/>
  <c r="AM35" i="51"/>
  <c r="AR35" i="51"/>
  <c r="AM50" i="51"/>
  <c r="AO15" i="51"/>
  <c r="AO537" i="51"/>
  <c r="AR313" i="51"/>
  <c r="AO315" i="51"/>
  <c r="AM534" i="51"/>
  <c r="AQ528" i="51"/>
  <c r="AP308" i="51"/>
  <c r="AM526" i="51"/>
  <c r="AR522" i="51"/>
  <c r="AN224" i="51"/>
  <c r="AP230" i="51"/>
  <c r="AM311" i="51"/>
  <c r="AQ292" i="51"/>
  <c r="AN321" i="51"/>
  <c r="AP311" i="51"/>
  <c r="AO234" i="51"/>
  <c r="AO236" i="51"/>
  <c r="AO302" i="51"/>
  <c r="AN304" i="51"/>
  <c r="AN291" i="51"/>
  <c r="AN298" i="51"/>
  <c r="AN538" i="51"/>
  <c r="AN549" i="51"/>
  <c r="AO50" i="51"/>
  <c r="AO34" i="51"/>
  <c r="AQ46" i="51"/>
  <c r="AQ30" i="51"/>
  <c r="AP117" i="51"/>
  <c r="AQ317" i="51"/>
  <c r="AO312" i="51"/>
  <c r="AM307" i="51"/>
  <c r="AQ301" i="51"/>
  <c r="AO296" i="51"/>
  <c r="AM291" i="51"/>
  <c r="AM298" i="51"/>
  <c r="AN305" i="51"/>
  <c r="AP29" i="51"/>
  <c r="AQ144" i="51"/>
  <c r="AO139" i="51"/>
  <c r="AM141" i="51"/>
  <c r="AM135" i="51"/>
  <c r="AQ129" i="51"/>
  <c r="AO124" i="51"/>
  <c r="AM119" i="51"/>
  <c r="AQ113" i="51"/>
  <c r="AP146" i="51"/>
  <c r="AP139" i="51"/>
  <c r="AR133" i="51"/>
  <c r="AP128" i="51"/>
  <c r="AN123" i="51"/>
  <c r="AN115" i="51"/>
  <c r="AR126" i="51"/>
  <c r="AM118" i="51"/>
  <c r="AO131" i="51"/>
  <c r="AN111" i="51"/>
  <c r="AN118" i="51"/>
  <c r="AP127" i="51"/>
  <c r="AN138" i="51"/>
  <c r="AR116" i="51"/>
  <c r="AP137" i="51"/>
  <c r="AP113" i="51"/>
  <c r="AM145" i="51"/>
  <c r="AR114" i="51"/>
  <c r="AQ122" i="51"/>
  <c r="AO133" i="51"/>
  <c r="AR145" i="51"/>
  <c r="AM325" i="51"/>
  <c r="AQ319" i="51"/>
  <c r="AO314" i="51"/>
  <c r="AM309" i="51"/>
  <c r="AQ303" i="51"/>
  <c r="AO298" i="51"/>
  <c r="AM293" i="51"/>
  <c r="AO295" i="51"/>
  <c r="AP302" i="51"/>
  <c r="AP309" i="51"/>
  <c r="AQ316" i="51"/>
  <c r="AR323" i="51"/>
  <c r="AR292" i="51"/>
  <c r="AM300" i="51"/>
  <c r="AN307" i="51"/>
  <c r="AN314" i="51"/>
  <c r="AO321" i="51"/>
  <c r="AP328" i="51"/>
  <c r="AN292" i="51"/>
  <c r="AM320" i="51"/>
  <c r="AP300" i="51"/>
  <c r="AP307" i="51"/>
  <c r="AR23" i="51"/>
  <c r="AQ520" i="51"/>
  <c r="AO38" i="51"/>
  <c r="AM17" i="51"/>
  <c r="AN50" i="51"/>
  <c r="AR28" i="51"/>
  <c r="AO45" i="51"/>
  <c r="AM16" i="51"/>
  <c r="AO527" i="51"/>
  <c r="AR311" i="51"/>
  <c r="AN301" i="51"/>
  <c r="AN317" i="51"/>
  <c r="AR31" i="51"/>
  <c r="AN325" i="51"/>
  <c r="AP529" i="51"/>
  <c r="AM42" i="51"/>
  <c r="AP316" i="51"/>
  <c r="AQ45" i="51"/>
  <c r="AO24" i="51"/>
  <c r="AQ36" i="51"/>
  <c r="AQ28" i="51"/>
  <c r="AR305" i="51"/>
  <c r="AP323" i="51"/>
  <c r="AO218" i="51"/>
  <c r="AN316" i="51"/>
  <c r="AN524" i="51"/>
  <c r="AQ540" i="51"/>
  <c r="AP14" i="51"/>
  <c r="AM312" i="51"/>
  <c r="AP321" i="51"/>
  <c r="AN526" i="51"/>
  <c r="AM47" i="51"/>
  <c r="AO213" i="51"/>
  <c r="AQ321" i="51"/>
  <c r="AO300" i="51"/>
  <c r="AR306" i="51"/>
  <c r="AO297" i="51"/>
  <c r="AR325" i="51"/>
  <c r="AR534" i="51"/>
  <c r="AN548" i="51"/>
  <c r="AN537" i="51"/>
  <c r="AO204" i="51"/>
  <c r="AQ323" i="51"/>
  <c r="AO310" i="51"/>
  <c r="AM305" i="51"/>
  <c r="AR307" i="51"/>
  <c r="AO540" i="51"/>
  <c r="AQ552" i="51"/>
  <c r="AN535" i="51"/>
  <c r="AN51" i="51"/>
  <c r="AN30" i="51"/>
  <c r="AP217" i="51"/>
  <c r="AO320" i="51"/>
  <c r="AM315" i="51"/>
  <c r="AQ309" i="51"/>
  <c r="AO304" i="51"/>
  <c r="AM299" i="51"/>
  <c r="AQ293" i="51"/>
  <c r="AP294" i="51"/>
  <c r="AP301" i="51"/>
  <c r="AQ308" i="51"/>
  <c r="AQ519" i="51"/>
  <c r="AQ327" i="51"/>
  <c r="AO322" i="51"/>
  <c r="AM317" i="51"/>
  <c r="AQ311" i="51"/>
  <c r="AO306" i="51"/>
  <c r="AM301" i="51"/>
  <c r="AQ295" i="51"/>
  <c r="AR291" i="51"/>
  <c r="AR298" i="51"/>
  <c r="AM306" i="51"/>
  <c r="AN313" i="51"/>
  <c r="AN320" i="51"/>
  <c r="AO327" i="51"/>
  <c r="AP296" i="51"/>
  <c r="AP303" i="51"/>
  <c r="AQ310" i="51"/>
  <c r="AR317" i="51"/>
  <c r="AR324" i="51"/>
  <c r="AR319" i="51"/>
  <c r="AP315" i="51"/>
  <c r="AN295" i="51"/>
  <c r="AO210" i="51"/>
  <c r="AN219" i="51"/>
  <c r="AO214" i="51"/>
  <c r="AQ235" i="51"/>
  <c r="AM213" i="51"/>
  <c r="AO227" i="51"/>
  <c r="AQ201" i="51"/>
  <c r="AQ218" i="51"/>
  <c r="AR206" i="51"/>
  <c r="AQ207" i="51"/>
  <c r="AP200" i="51"/>
  <c r="AQ231" i="51"/>
  <c r="AM222" i="51"/>
  <c r="AQ212" i="51"/>
  <c r="AQ204" i="51"/>
  <c r="AR235" i="51"/>
  <c r="AQ216" i="51"/>
  <c r="AR207" i="51"/>
  <c r="AQ200" i="51"/>
  <c r="AM216" i="51"/>
  <c r="AN223" i="51"/>
  <c r="AO230" i="51"/>
  <c r="AO237" i="51"/>
  <c r="AR204" i="51"/>
  <c r="AN210" i="51"/>
  <c r="AP215" i="51"/>
  <c r="AR220" i="51"/>
  <c r="AN226" i="51"/>
  <c r="AP231" i="51"/>
  <c r="AR236" i="51"/>
  <c r="AN235" i="51"/>
  <c r="AQ225" i="51"/>
  <c r="AO216" i="51"/>
  <c r="AO207" i="51"/>
  <c r="AP234" i="51"/>
  <c r="AN225" i="51"/>
  <c r="AQ215" i="51"/>
  <c r="AM207" i="51"/>
  <c r="AR209" i="51"/>
  <c r="AM217" i="51"/>
  <c r="AM224" i="51"/>
  <c r="AN231" i="51"/>
  <c r="AN200" i="51"/>
  <c r="AP205" i="51"/>
  <c r="AR210" i="51"/>
  <c r="AN216" i="51"/>
  <c r="AP221" i="51"/>
  <c r="AR226" i="51"/>
  <c r="AN232" i="51"/>
  <c r="AP237" i="51"/>
  <c r="AO228" i="51"/>
  <c r="AM219" i="51"/>
  <c r="AO205" i="51"/>
  <c r="AM236" i="51"/>
  <c r="AM201" i="51"/>
  <c r="AQ224" i="51"/>
  <c r="AO215" i="51"/>
  <c r="AO209" i="51"/>
  <c r="AO202" i="51"/>
  <c r="AQ203" i="51"/>
  <c r="AR219" i="51"/>
  <c r="AQ228" i="51"/>
  <c r="AP202" i="51"/>
  <c r="AN230" i="51"/>
  <c r="AP222" i="51"/>
  <c r="AM237" i="51"/>
  <c r="AQ208" i="51"/>
  <c r="AP201" i="51"/>
  <c r="AO235" i="51"/>
  <c r="AO226" i="51"/>
  <c r="AQ229" i="51"/>
  <c r="AO200" i="51"/>
  <c r="AO219" i="51"/>
  <c r="AR201" i="51"/>
  <c r="AO231" i="51"/>
  <c r="AM230" i="51"/>
  <c r="AM210" i="51"/>
  <c r="AQ213" i="51"/>
  <c r="AO225" i="51"/>
  <c r="AN203" i="51"/>
  <c r="AM209" i="51"/>
  <c r="AN229" i="51"/>
  <c r="AM203" i="51"/>
  <c r="AR208" i="51"/>
  <c r="AR224" i="51"/>
  <c r="AR231" i="51"/>
  <c r="AM214" i="51"/>
  <c r="AP229" i="51"/>
  <c r="AN208" i="51"/>
  <c r="AP220" i="51"/>
  <c r="AO220" i="51"/>
  <c r="AM221" i="51"/>
  <c r="AP223" i="51"/>
  <c r="AN202" i="51"/>
  <c r="AP212" i="51"/>
  <c r="AQ221" i="51"/>
  <c r="AM231" i="51"/>
  <c r="AM227" i="51"/>
  <c r="AR225" i="51"/>
  <c r="AQ205" i="51"/>
  <c r="AQ232" i="51"/>
  <c r="AO212" i="51"/>
  <c r="AR234" i="51"/>
  <c r="AP213" i="51"/>
  <c r="AQ227" i="51"/>
  <c r="AM211" i="51"/>
  <c r="AO211" i="51"/>
  <c r="AR228" i="51"/>
  <c r="AP207" i="51"/>
  <c r="AQ219" i="51"/>
  <c r="AO217" i="51"/>
  <c r="AM204" i="51"/>
  <c r="AM233" i="51"/>
  <c r="AO221" i="51"/>
  <c r="AR205" i="51"/>
  <c r="AM208" i="51"/>
  <c r="AN217" i="51"/>
  <c r="AM223" i="51"/>
  <c r="AN233" i="51"/>
  <c r="AR218" i="51"/>
  <c r="AQ234" i="51"/>
  <c r="AO203" i="51"/>
  <c r="AR203" i="51"/>
  <c r="AN234" i="51"/>
  <c r="AR212" i="51"/>
  <c r="AR233" i="51"/>
  <c r="AQ226" i="51"/>
  <c r="AM212" i="51"/>
  <c r="AO208" i="51"/>
  <c r="AN228" i="51"/>
  <c r="AN212" i="51"/>
  <c r="AP203" i="51"/>
  <c r="AM688" i="51"/>
  <c r="AP659" i="51"/>
  <c r="AP683" i="51"/>
  <c r="AQ685" i="51"/>
  <c r="AP656" i="51"/>
  <c r="AQ674" i="51"/>
  <c r="AN678" i="51"/>
  <c r="AO664" i="51"/>
  <c r="AO680" i="51"/>
  <c r="AQ664" i="51"/>
  <c r="AR399" i="51"/>
  <c r="AN405" i="51"/>
  <c r="AP410" i="51"/>
  <c r="AR415" i="51"/>
  <c r="AN412" i="51"/>
  <c r="AO393" i="51"/>
  <c r="AQ393" i="51"/>
  <c r="AQ532" i="51"/>
  <c r="AP46" i="51"/>
  <c r="AQ51" i="51"/>
  <c r="AO46" i="51"/>
  <c r="AM41" i="51"/>
  <c r="AQ35" i="51"/>
  <c r="AO30" i="51"/>
  <c r="AM25" i="51"/>
  <c r="AQ19" i="51"/>
  <c r="AO14" i="51"/>
  <c r="AN47" i="51"/>
  <c r="AR41" i="51"/>
  <c r="AP36" i="51"/>
  <c r="AP47" i="51"/>
  <c r="AN42" i="51"/>
  <c r="AR36" i="51"/>
  <c r="AP31" i="51"/>
  <c r="AN26" i="51"/>
  <c r="AR20" i="51"/>
  <c r="AP15" i="51"/>
  <c r="AM48" i="51"/>
  <c r="AQ42" i="51"/>
  <c r="AO37" i="51"/>
  <c r="AQ542" i="51"/>
  <c r="AM384" i="51"/>
  <c r="AN25" i="51"/>
  <c r="AM387" i="51"/>
  <c r="AM398" i="51"/>
  <c r="AM410" i="51"/>
  <c r="AQ522" i="51"/>
  <c r="AO545" i="51"/>
  <c r="AQ536" i="51"/>
  <c r="AR51" i="51"/>
  <c r="AN20" i="51"/>
  <c r="AO48" i="51"/>
  <c r="AM43" i="51"/>
  <c r="AQ37" i="51"/>
  <c r="AO32" i="51"/>
  <c r="AM27" i="51"/>
  <c r="AQ21" i="51"/>
  <c r="AO16" i="51"/>
  <c r="AP49" i="51"/>
  <c r="AN36" i="51"/>
  <c r="AN28" i="51"/>
  <c r="AR14" i="51"/>
  <c r="AO47" i="51"/>
  <c r="AO39" i="51"/>
  <c r="AM26" i="51"/>
  <c r="AM18" i="51"/>
  <c r="AO529" i="51"/>
  <c r="AM520" i="51"/>
  <c r="AP34" i="51"/>
  <c r="AP30" i="51"/>
  <c r="AM412" i="51"/>
  <c r="AO523" i="51"/>
  <c r="AM542" i="51"/>
  <c r="AP382" i="51"/>
  <c r="AR387" i="51"/>
  <c r="AN393" i="51"/>
  <c r="AP398" i="51"/>
  <c r="AR403" i="51"/>
  <c r="AN409" i="51"/>
  <c r="AP414" i="51"/>
  <c r="AO526" i="51"/>
  <c r="AM537" i="51"/>
  <c r="AO542" i="51"/>
  <c r="AN547" i="51"/>
  <c r="AR531" i="51"/>
  <c r="AQ407" i="51"/>
  <c r="AO418" i="51"/>
  <c r="AQ549" i="51"/>
  <c r="AN383" i="51"/>
  <c r="AP388" i="51"/>
  <c r="AR393" i="51"/>
  <c r="AN399" i="51"/>
  <c r="AP404" i="51"/>
  <c r="AR409" i="51"/>
  <c r="AN415" i="51"/>
  <c r="AM519" i="51"/>
  <c r="AQ529" i="51"/>
  <c r="AM535" i="51"/>
  <c r="AP524" i="51"/>
  <c r="AR545" i="51"/>
  <c r="AR17" i="51"/>
  <c r="AO18" i="51"/>
  <c r="AR40" i="51"/>
  <c r="AP35" i="51"/>
  <c r="AP19" i="51"/>
  <c r="AQ405" i="51"/>
  <c r="AM411" i="51"/>
  <c r="AO416" i="51"/>
  <c r="AP386" i="51"/>
  <c r="AN413" i="51"/>
  <c r="AQ17" i="51"/>
  <c r="AQ24" i="51"/>
  <c r="AO406" i="51"/>
  <c r="AQ411" i="51"/>
  <c r="AM417" i="51"/>
  <c r="AN387" i="51"/>
  <c r="AP392" i="51"/>
  <c r="AR397" i="51"/>
  <c r="AN403" i="51"/>
  <c r="AP408" i="51"/>
  <c r="AR413" i="51"/>
  <c r="AN419" i="51"/>
  <c r="AR384" i="51"/>
  <c r="AP417" i="51"/>
  <c r="AR396" i="51"/>
  <c r="AR398" i="51"/>
  <c r="AP387" i="51"/>
  <c r="AM522" i="51"/>
  <c r="AP397" i="51"/>
  <c r="AN302" i="51"/>
  <c r="AO415" i="51"/>
  <c r="AM528" i="51"/>
  <c r="AO551" i="51"/>
  <c r="AO535" i="51"/>
  <c r="AM532" i="51"/>
  <c r="AQ20" i="51"/>
  <c r="AP33" i="51"/>
  <c r="AO29" i="51"/>
  <c r="AM24" i="51"/>
  <c r="AQ18" i="51"/>
  <c r="AP16" i="51"/>
  <c r="AN416" i="51"/>
  <c r="AN29" i="51"/>
  <c r="AM318" i="51"/>
  <c r="AQ418" i="51"/>
  <c r="AM408" i="51"/>
  <c r="AQ526" i="51"/>
  <c r="AP18" i="51"/>
  <c r="AP298" i="51"/>
  <c r="AR29" i="51"/>
  <c r="AQ394" i="51"/>
  <c r="AN390" i="51"/>
  <c r="AO323" i="51"/>
  <c r="AP292" i="51"/>
  <c r="AQ306" i="51"/>
  <c r="AN398" i="51"/>
  <c r="AM388" i="51"/>
  <c r="AM395" i="51"/>
  <c r="AQ404" i="51"/>
  <c r="AR418" i="51"/>
  <c r="AO531" i="51"/>
  <c r="AQ544" i="51"/>
  <c r="AP527" i="51"/>
  <c r="AM553" i="51"/>
  <c r="AO521" i="51"/>
  <c r="AO541" i="51"/>
  <c r="AR410" i="51"/>
  <c r="AO533" i="51"/>
  <c r="AQ386" i="51"/>
  <c r="AQ304" i="51"/>
  <c r="AR321" i="51"/>
  <c r="AQ328" i="51"/>
  <c r="AP314" i="51"/>
  <c r="AO301" i="51"/>
  <c r="AO317" i="51"/>
  <c r="AM416" i="51"/>
  <c r="AO405" i="51"/>
  <c r="AO397" i="51"/>
  <c r="AR388" i="51"/>
  <c r="AM396" i="51"/>
  <c r="AN406" i="51"/>
  <c r="AR518" i="51"/>
  <c r="AQ534" i="51"/>
  <c r="AR520" i="51"/>
  <c r="AR546" i="51"/>
  <c r="AP20" i="51"/>
  <c r="AQ49" i="51"/>
  <c r="AO44" i="51"/>
  <c r="AO324" i="51"/>
  <c r="AM319" i="51"/>
  <c r="AQ313" i="51"/>
  <c r="AO308" i="51"/>
  <c r="AM303" i="51"/>
  <c r="AQ297" i="51"/>
  <c r="AO292" i="51"/>
  <c r="AN296" i="51"/>
  <c r="AO303" i="51"/>
  <c r="AP310" i="51"/>
  <c r="AP317" i="51"/>
  <c r="AQ324" i="51"/>
  <c r="AR293" i="51"/>
  <c r="AR300" i="51"/>
  <c r="AM308" i="51"/>
  <c r="AN315" i="51"/>
  <c r="AN322" i="51"/>
  <c r="AO404" i="51"/>
  <c r="AQ409" i="51"/>
  <c r="AM415" i="51"/>
  <c r="AN532" i="51"/>
  <c r="AP537" i="51"/>
  <c r="AM521" i="51"/>
  <c r="AP552" i="51"/>
  <c r="AO326" i="51"/>
  <c r="AM321" i="51"/>
  <c r="AQ315" i="51"/>
  <c r="AQ299" i="51"/>
  <c r="AO294" i="51"/>
  <c r="AP293" i="51"/>
  <c r="AQ300" i="51"/>
  <c r="AR314" i="51"/>
  <c r="AM322" i="51"/>
  <c r="AO305" i="51"/>
  <c r="AP312" i="51"/>
  <c r="AP319" i="51"/>
  <c r="AM413" i="51"/>
  <c r="AP543" i="51"/>
  <c r="AN519" i="51"/>
  <c r="AP540" i="51"/>
  <c r="AQ23" i="51"/>
  <c r="AN46" i="51"/>
  <c r="AN38" i="51"/>
  <c r="AO25" i="51"/>
  <c r="AP32" i="51"/>
  <c r="AM323" i="51"/>
  <c r="AN312" i="51"/>
  <c r="AR391" i="51"/>
  <c r="AN397" i="51"/>
  <c r="AP402" i="51"/>
  <c r="AR407" i="51"/>
  <c r="AP418" i="51"/>
  <c r="AO51" i="51"/>
  <c r="AP389" i="51"/>
  <c r="AN300" i="51"/>
  <c r="AO409" i="51"/>
  <c r="AP401" i="51"/>
  <c r="AM397" i="51"/>
  <c r="AO402" i="51"/>
  <c r="AM390" i="51"/>
  <c r="AR406" i="51"/>
  <c r="AM23" i="51"/>
  <c r="AR34" i="51"/>
  <c r="AM30" i="51"/>
  <c r="AR554" i="51"/>
  <c r="AP531" i="51"/>
  <c r="AM538" i="51"/>
  <c r="AM530" i="51"/>
  <c r="AP545" i="51"/>
  <c r="AO552" i="51"/>
  <c r="AQ531" i="51"/>
  <c r="AP526" i="51"/>
  <c r="AO548" i="51"/>
  <c r="AR540" i="51"/>
  <c r="AN546" i="51"/>
  <c r="AO553" i="51"/>
  <c r="AO524" i="51"/>
  <c r="AQ545" i="51"/>
  <c r="AR551" i="51"/>
  <c r="AP546" i="51"/>
  <c r="AR521" i="51"/>
  <c r="AN527" i="51"/>
  <c r="AP532" i="51"/>
  <c r="AR537" i="51"/>
  <c r="AN543" i="51"/>
  <c r="AO549" i="51"/>
  <c r="AQ39" i="51"/>
  <c r="AP40" i="51"/>
  <c r="AP51" i="51"/>
  <c r="AR24" i="51"/>
  <c r="AO41" i="51"/>
  <c r="AM20" i="51"/>
  <c r="AM39" i="51"/>
  <c r="AR50" i="51"/>
  <c r="AP550" i="51"/>
  <c r="AR541" i="51"/>
  <c r="AR525" i="51"/>
  <c r="AR555" i="51"/>
  <c r="AN542" i="51"/>
  <c r="AR535" i="51"/>
  <c r="AP553" i="51"/>
  <c r="AO538" i="51"/>
  <c r="AM547" i="51"/>
  <c r="AP547" i="51"/>
  <c r="AQ541" i="51"/>
  <c r="AQ533" i="51"/>
  <c r="AM548" i="51"/>
  <c r="AR519" i="51"/>
  <c r="AN551" i="51"/>
  <c r="AQ543" i="51"/>
  <c r="AN554" i="51"/>
  <c r="AM523" i="51"/>
  <c r="AO555" i="51"/>
  <c r="AP536" i="51"/>
  <c r="AN525" i="51"/>
  <c r="AM533" i="51"/>
  <c r="AM525" i="51"/>
  <c r="AN536" i="51"/>
  <c r="AR536" i="51"/>
  <c r="AP538" i="51"/>
  <c r="AP530" i="51"/>
  <c r="AM550" i="51"/>
  <c r="AP541" i="51"/>
  <c r="AM549" i="51"/>
  <c r="AM543" i="51"/>
  <c r="AQ537" i="51"/>
  <c r="AO532" i="51"/>
  <c r="AM527" i="51"/>
  <c r="AQ521" i="51"/>
  <c r="AP535" i="51"/>
  <c r="AM552" i="51"/>
  <c r="AN545" i="51"/>
  <c r="AR539" i="51"/>
  <c r="AP534" i="51"/>
  <c r="AN529" i="51"/>
  <c r="AR523" i="51"/>
  <c r="AP518" i="51"/>
  <c r="AR549" i="51"/>
  <c r="AN555" i="51"/>
  <c r="AQ551" i="51"/>
  <c r="AM545" i="51"/>
  <c r="AQ539" i="51"/>
  <c r="AO534" i="51"/>
  <c r="AM529" i="51"/>
  <c r="AQ523" i="51"/>
  <c r="AO518" i="51"/>
  <c r="AR542" i="51"/>
  <c r="AR30" i="51"/>
  <c r="AP41" i="51"/>
  <c r="AP26" i="51"/>
  <c r="AP24" i="51"/>
  <c r="AQ16" i="51"/>
  <c r="AM22" i="51"/>
  <c r="AO27" i="51"/>
  <c r="AQ32" i="51"/>
  <c r="AM38" i="51"/>
  <c r="AO43" i="51"/>
  <c r="AQ48" i="51"/>
  <c r="AN16" i="51"/>
  <c r="AP21" i="51"/>
  <c r="AR26" i="51"/>
  <c r="AN32" i="51"/>
  <c r="AP37" i="51"/>
  <c r="AR42" i="51"/>
  <c r="AN48" i="51"/>
  <c r="AN37" i="51"/>
  <c r="AP42" i="51"/>
  <c r="AR47" i="51"/>
  <c r="AM15" i="51"/>
  <c r="AO20" i="51"/>
  <c r="AQ25" i="51"/>
  <c r="AM31" i="51"/>
  <c r="AO36" i="51"/>
  <c r="AQ41" i="51"/>
  <c r="AO31" i="51"/>
  <c r="AN44" i="51"/>
  <c r="AR19" i="51"/>
  <c r="AM34" i="51"/>
  <c r="AR43" i="51"/>
  <c r="AO19" i="51"/>
  <c r="AQ40" i="51"/>
  <c r="AN24" i="51"/>
  <c r="AP45" i="51"/>
  <c r="AP50" i="51"/>
  <c r="AQ33" i="51"/>
  <c r="AQ44" i="51"/>
  <c r="AM14" i="51"/>
  <c r="AO35" i="51"/>
  <c r="AR18" i="51"/>
  <c r="AN40" i="51"/>
  <c r="AN45" i="51"/>
  <c r="AO28" i="51"/>
  <c r="AR21" i="51"/>
  <c r="AO17" i="51"/>
  <c r="AQ22" i="51"/>
  <c r="AM28" i="51"/>
  <c r="AO33" i="51"/>
  <c r="AQ38" i="51"/>
  <c r="AM44" i="51"/>
  <c r="AO49" i="51"/>
  <c r="AR16" i="51"/>
  <c r="AN22" i="51"/>
  <c r="AP27" i="51"/>
  <c r="AR32" i="51"/>
  <c r="AP43" i="51"/>
  <c r="AR48" i="51"/>
  <c r="AR37" i="51"/>
  <c r="AN43" i="51"/>
  <c r="AP48" i="51"/>
  <c r="AQ15" i="51"/>
  <c r="AM21" i="51"/>
  <c r="AO26" i="51"/>
  <c r="AQ31" i="51"/>
  <c r="AM37" i="51"/>
  <c r="AO42" i="51"/>
  <c r="AQ47" i="51"/>
  <c r="AP28" i="51"/>
  <c r="AN35" i="51"/>
  <c r="AR676" i="51"/>
  <c r="AM658" i="51"/>
  <c r="AP668" i="51"/>
  <c r="AN663" i="51"/>
  <c r="AP216" i="51"/>
  <c r="AM226" i="51"/>
  <c r="AR222" i="51"/>
  <c r="AQ211" i="51"/>
  <c r="AM218" i="51"/>
  <c r="AO223" i="51"/>
  <c r="AM205" i="51"/>
  <c r="AP235" i="51"/>
  <c r="AN214" i="51"/>
  <c r="AP228" i="51"/>
  <c r="AQ209" i="51"/>
  <c r="AQ233" i="51"/>
  <c r="AP204" i="51"/>
  <c r="AO224" i="51"/>
  <c r="AQ237" i="51"/>
  <c r="AM228" i="51"/>
  <c r="AP218" i="51"/>
  <c r="AN209" i="51"/>
  <c r="AM202" i="51"/>
  <c r="AN215" i="51"/>
  <c r="AO222" i="51"/>
  <c r="AO229" i="51"/>
  <c r="AP236" i="51"/>
  <c r="AN204" i="51"/>
  <c r="AP209" i="51"/>
  <c r="AR214" i="51"/>
  <c r="AN220" i="51"/>
  <c r="AP225" i="51"/>
  <c r="AR230" i="51"/>
  <c r="AN236" i="51"/>
  <c r="AQ230" i="51"/>
  <c r="AN221" i="51"/>
  <c r="AR211" i="51"/>
  <c r="AM234" i="51"/>
  <c r="AP224" i="51"/>
  <c r="AM215" i="51"/>
  <c r="AP206" i="51"/>
  <c r="AO233" i="51"/>
  <c r="AR223" i="51"/>
  <c r="AP214" i="51"/>
  <c r="AM206" i="51"/>
  <c r="AQ210" i="51"/>
  <c r="AR217" i="51"/>
  <c r="AM225" i="51"/>
  <c r="AM232" i="51"/>
  <c r="AR200" i="51"/>
  <c r="AN206" i="51"/>
  <c r="AP211" i="51"/>
  <c r="AR216" i="51"/>
  <c r="AN222" i="51"/>
  <c r="AP227" i="51"/>
  <c r="AR232" i="51"/>
  <c r="AQ236" i="51"/>
  <c r="AN227" i="51"/>
  <c r="AQ217" i="51"/>
  <c r="AP208" i="51"/>
  <c r="AO201" i="51"/>
  <c r="AO232" i="51"/>
  <c r="AQ222" i="51"/>
  <c r="AN213" i="51"/>
  <c r="AN205" i="51"/>
  <c r="AP210" i="51"/>
  <c r="AQ654" i="51"/>
  <c r="AO673" i="51"/>
  <c r="AQ686" i="51"/>
  <c r="AR691" i="51"/>
  <c r="AP686" i="51"/>
  <c r="AN681" i="51"/>
  <c r="AP670" i="51"/>
  <c r="AN665" i="51"/>
  <c r="AR659" i="51"/>
  <c r="AQ691" i="51"/>
  <c r="AO686" i="51"/>
  <c r="AM681" i="51"/>
  <c r="AQ675" i="51"/>
  <c r="AO670" i="51"/>
  <c r="AM665" i="51"/>
  <c r="AQ659" i="51"/>
  <c r="AO654" i="51"/>
  <c r="AR686" i="51"/>
  <c r="AP681" i="51"/>
  <c r="AN676" i="51"/>
  <c r="AR670" i="51"/>
  <c r="AP665" i="51"/>
  <c r="AR654" i="51"/>
  <c r="AN691" i="51"/>
  <c r="AR685" i="51"/>
  <c r="AP680" i="51"/>
  <c r="AN675" i="51"/>
  <c r="AR669" i="51"/>
  <c r="AP664" i="51"/>
  <c r="AR680" i="51"/>
  <c r="AP667" i="51"/>
  <c r="AQ666" i="51"/>
  <c r="AR655" i="51"/>
  <c r="AM669" i="51"/>
  <c r="AM661" i="51"/>
  <c r="AP684" i="51"/>
  <c r="AN658" i="51"/>
  <c r="AO536" i="51"/>
  <c r="AO554" i="51"/>
  <c r="AN15" i="51"/>
  <c r="AR215" i="51"/>
  <c r="AO689" i="51"/>
  <c r="AQ662" i="51"/>
  <c r="AQ670" i="51"/>
  <c r="AO671" i="51"/>
  <c r="AM664" i="51"/>
  <c r="AO685" i="51"/>
  <c r="AP654" i="51"/>
  <c r="AO675" i="51"/>
  <c r="AN683" i="51"/>
  <c r="AM683" i="51"/>
  <c r="AQ677" i="51"/>
  <c r="AO672" i="51"/>
  <c r="AM667" i="51"/>
  <c r="AP691" i="51"/>
  <c r="AN686" i="51"/>
  <c r="AN662" i="51"/>
  <c r="AM674" i="51"/>
  <c r="AN661" i="51"/>
  <c r="AO674" i="51"/>
  <c r="AN672" i="51"/>
  <c r="AO660" i="51"/>
  <c r="AP663" i="51"/>
  <c r="AM660" i="51"/>
  <c r="AM676" i="51"/>
  <c r="AM684" i="51"/>
  <c r="AN689" i="51"/>
  <c r="AR683" i="51"/>
  <c r="AP678" i="51"/>
  <c r="AN673" i="51"/>
  <c r="AR667" i="51"/>
  <c r="AP662" i="51"/>
  <c r="AN657" i="51"/>
  <c r="AM689" i="51"/>
  <c r="AQ683" i="51"/>
  <c r="AO678" i="51"/>
  <c r="AM673" i="51"/>
  <c r="AQ667" i="51"/>
  <c r="AO662" i="51"/>
  <c r="AM657" i="51"/>
  <c r="AP689" i="51"/>
  <c r="AN684" i="51"/>
  <c r="AR678" i="51"/>
  <c r="AP673" i="51"/>
  <c r="AN668" i="51"/>
  <c r="AR662" i="51"/>
  <c r="AP657" i="51"/>
  <c r="AP688" i="51"/>
  <c r="AR677" i="51"/>
  <c r="AP672" i="51"/>
  <c r="AN667" i="51"/>
  <c r="AR661" i="51"/>
  <c r="AQ669" i="51"/>
  <c r="AM659" i="51"/>
  <c r="AR672" i="51"/>
  <c r="AN654" i="51"/>
  <c r="AQ656" i="51"/>
  <c r="AQ688" i="51"/>
  <c r="AP674" i="51"/>
  <c r="AQ679" i="51"/>
  <c r="AP677" i="51"/>
  <c r="AO655" i="51"/>
  <c r="AO659" i="51"/>
  <c r="AO691" i="51"/>
  <c r="AR657" i="51"/>
  <c r="AQ665" i="51"/>
  <c r="V518" i="51" a="1"/>
  <c r="W552" i="51" s="1"/>
  <c r="V654" i="51" a="1"/>
  <c r="Y673" i="51" s="1"/>
  <c r="AQ678" i="51"/>
  <c r="AM668" i="51"/>
  <c r="AO657" i="51"/>
  <c r="AO681" i="51"/>
  <c r="AO661" i="51"/>
  <c r="AP655" i="51"/>
  <c r="AR660" i="51"/>
  <c r="AN666" i="51"/>
  <c r="AP671" i="51"/>
  <c r="AM663" i="51"/>
  <c r="AO668" i="51"/>
  <c r="AQ673" i="51"/>
  <c r="AM679" i="51"/>
  <c r="AR665" i="51"/>
  <c r="AN671" i="51"/>
  <c r="AP676" i="51"/>
  <c r="AR681" i="51"/>
  <c r="AQ680" i="51"/>
  <c r="AM680" i="51"/>
  <c r="AQ658" i="51"/>
  <c r="AQ676" i="51"/>
  <c r="AP661" i="51"/>
  <c r="AR666" i="51"/>
  <c r="AN680" i="51"/>
  <c r="AO658" i="51"/>
  <c r="AQ663" i="51"/>
  <c r="AM677" i="51"/>
  <c r="AO682" i="51"/>
  <c r="AR663" i="51"/>
  <c r="AN669" i="51"/>
  <c r="AP682" i="51"/>
  <c r="AR687" i="51"/>
  <c r="AO667" i="51"/>
  <c r="AO683" i="51"/>
  <c r="AM662" i="51"/>
  <c r="AQ682" i="51"/>
  <c r="AM690" i="51"/>
  <c r="AQ668" i="51"/>
  <c r="AP679" i="51"/>
  <c r="AR684" i="51"/>
  <c r="AN690" i="51"/>
  <c r="AQ657" i="51"/>
  <c r="AQ681" i="51"/>
  <c r="AM687" i="51"/>
  <c r="AN655" i="51"/>
  <c r="AP660" i="51"/>
  <c r="AR689" i="51"/>
  <c r="AM670" i="51"/>
  <c r="AM666" i="51"/>
  <c r="AN656" i="51"/>
  <c r="AR674" i="51"/>
  <c r="AP685" i="51"/>
  <c r="AR690" i="51"/>
  <c r="AO666" i="51"/>
  <c r="AQ671" i="51"/>
  <c r="AO690" i="51"/>
  <c r="AP658" i="51"/>
  <c r="AR671" i="51"/>
  <c r="AN677" i="51"/>
  <c r="AO679" i="51"/>
  <c r="AN674" i="51"/>
  <c r="AM655" i="51"/>
  <c r="AO676" i="51"/>
  <c r="AQ689" i="51"/>
  <c r="AN679" i="51"/>
  <c r="AP669" i="51"/>
  <c r="AN688" i="51"/>
  <c r="AQ687" i="51"/>
  <c r="AP690" i="51"/>
  <c r="AM678" i="51"/>
  <c r="AO663" i="51"/>
  <c r="AN670" i="51"/>
  <c r="AP675" i="51"/>
  <c r="AO656" i="51"/>
  <c r="AQ661" i="51"/>
  <c r="AO688" i="51"/>
  <c r="AM691" i="51"/>
  <c r="AQ672" i="51"/>
  <c r="AM672" i="51"/>
  <c r="AR668" i="51"/>
  <c r="AP687" i="51"/>
  <c r="AM671" i="51"/>
  <c r="AO684" i="51"/>
  <c r="AR673" i="51"/>
  <c r="AQ690" i="51"/>
  <c r="AO669" i="51"/>
  <c r="AO687" i="51"/>
  <c r="AR658" i="51"/>
  <c r="AN664" i="51"/>
  <c r="AR682" i="51"/>
  <c r="AM685" i="51"/>
  <c r="AP666" i="51"/>
  <c r="AR679" i="51"/>
  <c r="AN685" i="51"/>
  <c r="AO677" i="51"/>
  <c r="AM656" i="51"/>
  <c r="AQ684" i="51"/>
  <c r="AR656" i="51"/>
  <c r="V200" i="51" a="1"/>
  <c r="Z236" i="51" s="1"/>
  <c r="V382" i="51" a="1"/>
  <c r="V399" i="51" s="1"/>
  <c r="AN687" i="51"/>
  <c r="AN682" i="51"/>
  <c r="AR528" i="51"/>
  <c r="AN520" i="51"/>
  <c r="AO550" i="51"/>
  <c r="AR526" i="51"/>
  <c r="AP519" i="51"/>
  <c r="AN552" i="51"/>
  <c r="AR530" i="51"/>
  <c r="AP521" i="51"/>
  <c r="AO543" i="51"/>
  <c r="AM554" i="51"/>
  <c r="AQ538" i="51"/>
  <c r="AP525" i="51"/>
  <c r="AN518" i="51"/>
  <c r="AM544" i="51"/>
  <c r="AO539" i="51"/>
  <c r="AN539" i="51"/>
  <c r="AR533" i="51"/>
  <c r="AP528" i="51"/>
  <c r="AN523" i="51"/>
  <c r="AR550" i="51"/>
  <c r="AO544" i="51"/>
  <c r="AM539" i="51"/>
  <c r="AN534" i="51"/>
  <c r="AQ546" i="51"/>
  <c r="AN541" i="51"/>
  <c r="AP522" i="51"/>
  <c r="AQ555" i="51"/>
  <c r="AQ535" i="51"/>
  <c r="AO530" i="51"/>
  <c r="AR538" i="51"/>
  <c r="AP533" i="51"/>
  <c r="AR552" i="51"/>
  <c r="AQ548" i="51"/>
  <c r="AN530" i="51"/>
  <c r="AM551" i="51"/>
  <c r="AP544" i="51"/>
  <c r="AP520" i="51"/>
  <c r="AR547" i="51"/>
  <c r="AN553" i="51"/>
  <c r="AM531" i="51"/>
  <c r="AQ525" i="51"/>
  <c r="AO520" i="51"/>
  <c r="AP551" i="51"/>
  <c r="AR544" i="51"/>
  <c r="AP539" i="51"/>
  <c r="AQ553" i="51"/>
  <c r="AN533" i="51"/>
  <c r="AR527" i="51"/>
  <c r="AP548" i="51"/>
  <c r="AR553" i="51"/>
  <c r="AO546" i="51"/>
  <c r="AM541" i="51"/>
  <c r="AQ527" i="51"/>
  <c r="AO522" i="51"/>
  <c r="AQ550" i="51"/>
  <c r="AN544" i="51"/>
  <c r="V109" i="51" a="1"/>
  <c r="V136" i="51" s="1"/>
  <c r="AO528" i="51"/>
  <c r="AO547" i="51"/>
  <c r="AM555" i="51"/>
  <c r="AN531" i="51"/>
  <c r="AQ554" i="51"/>
  <c r="AR524" i="51"/>
  <c r="V291" i="51" a="1"/>
  <c r="W299" i="51" s="1"/>
  <c r="V14" i="51" a="1"/>
  <c r="AA36" i="51" s="1"/>
  <c r="AR27" i="51"/>
  <c r="AN17" i="51"/>
  <c r="AR33" i="51"/>
  <c r="AN33" i="51"/>
  <c r="AP22" i="51"/>
  <c r="AM229" i="51"/>
  <c r="AR221" i="51"/>
  <c r="AN237" i="51"/>
  <c r="AM235" i="51"/>
  <c r="AP226" i="51"/>
  <c r="AQ214" i="51"/>
  <c r="AR237" i="51"/>
  <c r="AN207" i="51"/>
  <c r="AP232" i="51"/>
  <c r="AO206" i="51"/>
  <c r="AM200" i="51"/>
  <c r="AR227" i="51"/>
  <c r="AO383" i="51"/>
  <c r="AO398" i="51"/>
  <c r="AO394" i="51"/>
  <c r="AQ389" i="51"/>
  <c r="AQ385" i="51"/>
  <c r="AO382" i="51"/>
  <c r="AQ398" i="51"/>
  <c r="AR404" i="51"/>
  <c r="AP415" i="51"/>
  <c r="AQ392" i="51"/>
  <c r="AQ400" i="51"/>
  <c r="AQ408" i="51"/>
  <c r="AR414" i="51"/>
  <c r="AP419" i="51"/>
  <c r="AQ397" i="51"/>
  <c r="AM393" i="51"/>
  <c r="AO388" i="51"/>
  <c r="AM385" i="51"/>
  <c r="AQ382" i="51"/>
  <c r="AP399" i="51"/>
  <c r="AP407" i="51"/>
  <c r="AO387" i="51"/>
  <c r="AP393" i="51"/>
  <c r="AO403" i="51"/>
  <c r="AP409" i="51"/>
  <c r="AQ416" i="51"/>
  <c r="AN382" i="51"/>
  <c r="AR392" i="51"/>
  <c r="AM386" i="51"/>
  <c r="AM392" i="51"/>
  <c r="AP395" i="51"/>
  <c r="AP405" i="51"/>
  <c r="AM399" i="51"/>
  <c r="AQ395" i="51"/>
  <c r="AO390" i="51"/>
  <c r="AO386" i="51"/>
  <c r="AM383" i="51"/>
  <c r="AN394" i="51"/>
  <c r="AM404" i="51"/>
  <c r="AQ414" i="51"/>
  <c r="AR390" i="51"/>
  <c r="AN396" i="51"/>
  <c r="AM406" i="51"/>
  <c r="AM414" i="51"/>
  <c r="AO407" i="51"/>
  <c r="AQ396" i="51"/>
  <c r="AN418" i="51"/>
  <c r="AQ384" i="51"/>
  <c r="AO389" i="51"/>
  <c r="AM394" i="51"/>
  <c r="AN414" i="51"/>
  <c r="AQ387" i="51"/>
  <c r="AN410" i="51"/>
  <c r="AN404" i="51"/>
  <c r="AQ390" i="51"/>
  <c r="AO401" i="51"/>
  <c r="AQ412" i="51"/>
  <c r="AM401" i="51"/>
  <c r="AQ383" i="51"/>
  <c r="AO411" i="51"/>
  <c r="AO396" i="51"/>
  <c r="AN388" i="51"/>
  <c r="AO419" i="51"/>
  <c r="AM391" i="51"/>
  <c r="AO395" i="51"/>
  <c r="AP38" i="51"/>
  <c r="AR22" i="51"/>
  <c r="AN19" i="51"/>
  <c r="AR327" i="51"/>
  <c r="AR304" i="51"/>
  <c r="AM326" i="51"/>
  <c r="AQ314" i="51"/>
  <c r="AQ298" i="51"/>
  <c r="AO293" i="51"/>
  <c r="AQ322" i="51"/>
  <c r="AR303" i="51"/>
  <c r="AR294" i="51"/>
  <c r="AN310" i="51"/>
  <c r="AR328" i="51"/>
  <c r="AO309" i="51"/>
  <c r="AQ296" i="51"/>
  <c r="AO291" i="51"/>
  <c r="AN311" i="51"/>
  <c r="AN303" i="51"/>
  <c r="AP305" i="51"/>
  <c r="AR296" i="51"/>
  <c r="AP322" i="51"/>
  <c r="AQ320" i="51"/>
  <c r="AM302" i="51"/>
  <c r="AM294" i="51"/>
  <c r="AO325" i="51"/>
  <c r="AP306" i="51"/>
  <c r="AN293" i="51"/>
  <c r="AP313" i="51"/>
  <c r="AP291" i="51"/>
  <c r="AM296" i="51"/>
  <c r="AR310" i="51"/>
  <c r="AO307" i="51"/>
  <c r="AN318" i="51"/>
  <c r="AM328" i="51"/>
  <c r="AR326" i="51"/>
  <c r="AN309" i="51"/>
  <c r="AR297" i="51"/>
  <c r="AA311" i="51"/>
  <c r="X529" i="51"/>
  <c r="X320" i="51"/>
  <c r="AA656" i="51"/>
  <c r="X544" i="51"/>
  <c r="W527" i="51"/>
  <c r="W138" i="51"/>
  <c r="M192" i="58"/>
  <c r="I191" i="58"/>
  <c r="M101" i="58"/>
  <c r="E191" i="58"/>
  <c r="I101" i="58"/>
  <c r="I192" i="58"/>
  <c r="M191" i="58"/>
  <c r="M54" i="58"/>
  <c r="O55" i="58"/>
  <c r="E54" i="58"/>
  <c r="O54" i="58"/>
  <c r="F99" i="58"/>
  <c r="N100" i="58"/>
  <c r="G54" i="58"/>
  <c r="E55" i="58"/>
  <c r="J56" i="58"/>
  <c r="J99" i="58"/>
  <c r="I102" i="58"/>
  <c r="J100" i="58"/>
  <c r="I54" i="58"/>
  <c r="K55" i="58"/>
  <c r="N57" i="58"/>
  <c r="E101" i="58"/>
  <c r="M102" i="58"/>
  <c r="E192" i="58"/>
  <c r="P194" i="58"/>
  <c r="J194" i="58"/>
  <c r="F193" i="58"/>
  <c r="N193" i="58"/>
  <c r="N194" i="58"/>
  <c r="F194" i="58"/>
  <c r="J193" i="58"/>
  <c r="N56" i="58"/>
  <c r="P100" i="58"/>
  <c r="I100" i="58"/>
  <c r="M99" i="58"/>
  <c r="E99" i="58"/>
  <c r="N99" i="58"/>
  <c r="M100" i="58"/>
  <c r="P144" i="58"/>
  <c r="I144" i="58"/>
  <c r="E143" i="58"/>
  <c r="M143" i="58"/>
  <c r="F57" i="58"/>
  <c r="K54" i="58"/>
  <c r="G55" i="58"/>
  <c r="F56" i="58"/>
  <c r="J57" i="58"/>
  <c r="I99" i="58"/>
  <c r="F100" i="58"/>
  <c r="E144" i="58"/>
  <c r="K191" i="58"/>
  <c r="G192" i="58"/>
  <c r="O192" i="58"/>
  <c r="E102" i="58"/>
  <c r="G191" i="58"/>
  <c r="O191" i="58"/>
  <c r="K192" i="58"/>
  <c r="F191" i="58"/>
  <c r="J191" i="58"/>
  <c r="N191" i="58"/>
  <c r="F192" i="58"/>
  <c r="J192" i="58"/>
  <c r="N192" i="58"/>
  <c r="E193" i="58"/>
  <c r="I193" i="58"/>
  <c r="M193" i="58"/>
  <c r="E194" i="58"/>
  <c r="I194" i="58"/>
  <c r="M194" i="58"/>
  <c r="H191" i="58"/>
  <c r="L191" i="58"/>
  <c r="P191" i="58"/>
  <c r="H192" i="58"/>
  <c r="L192" i="58"/>
  <c r="G193" i="58"/>
  <c r="K193" i="58"/>
  <c r="O193" i="58"/>
  <c r="G194" i="58"/>
  <c r="K194" i="58"/>
  <c r="O194" i="58"/>
  <c r="H193" i="58"/>
  <c r="L193" i="58"/>
  <c r="P193" i="58"/>
  <c r="H194" i="58"/>
  <c r="L194" i="58"/>
  <c r="M144" i="58"/>
  <c r="F143" i="58"/>
  <c r="J143" i="58"/>
  <c r="N143" i="58"/>
  <c r="F144" i="58"/>
  <c r="J144" i="58"/>
  <c r="N144" i="58"/>
  <c r="E145" i="58"/>
  <c r="I145" i="58"/>
  <c r="M145" i="58"/>
  <c r="E146" i="58"/>
  <c r="I146" i="58"/>
  <c r="M146" i="58"/>
  <c r="G143" i="58"/>
  <c r="K143" i="58"/>
  <c r="O143" i="58"/>
  <c r="G144" i="58"/>
  <c r="K144" i="58"/>
  <c r="O144" i="58"/>
  <c r="F145" i="58"/>
  <c r="J145" i="58"/>
  <c r="N145" i="58"/>
  <c r="F146" i="58"/>
  <c r="J146" i="58"/>
  <c r="N146" i="58"/>
  <c r="H143" i="58"/>
  <c r="L143" i="58"/>
  <c r="P143" i="58"/>
  <c r="H144" i="58"/>
  <c r="L144" i="58"/>
  <c r="G145" i="58"/>
  <c r="K145" i="58"/>
  <c r="O145" i="58"/>
  <c r="G146" i="58"/>
  <c r="K146" i="58"/>
  <c r="O146" i="58"/>
  <c r="H145" i="58"/>
  <c r="L145" i="58"/>
  <c r="P145" i="58"/>
  <c r="H146" i="58"/>
  <c r="L146" i="58"/>
  <c r="G99" i="58"/>
  <c r="K99" i="58"/>
  <c r="O99" i="58"/>
  <c r="G100" i="58"/>
  <c r="K100" i="58"/>
  <c r="O100" i="58"/>
  <c r="F101" i="58"/>
  <c r="J101" i="58"/>
  <c r="N101" i="58"/>
  <c r="F102" i="58"/>
  <c r="J102" i="58"/>
  <c r="N102" i="58"/>
  <c r="H99" i="58"/>
  <c r="L99" i="58"/>
  <c r="P99" i="58"/>
  <c r="H100" i="58"/>
  <c r="L100" i="58"/>
  <c r="G101" i="58"/>
  <c r="K101" i="58"/>
  <c r="O101" i="58"/>
  <c r="G102" i="58"/>
  <c r="K102" i="58"/>
  <c r="O102" i="58"/>
  <c r="H101" i="58"/>
  <c r="L101" i="58"/>
  <c r="P101" i="58"/>
  <c r="H102" i="58"/>
  <c r="L102" i="58"/>
  <c r="I55" i="58"/>
  <c r="M55" i="58"/>
  <c r="F54" i="58"/>
  <c r="J54" i="58"/>
  <c r="N54" i="58"/>
  <c r="F55" i="58"/>
  <c r="J55" i="58"/>
  <c r="N55" i="58"/>
  <c r="E56" i="58"/>
  <c r="I56" i="58"/>
  <c r="M56" i="58"/>
  <c r="E57" i="58"/>
  <c r="I57" i="58"/>
  <c r="M57" i="58"/>
  <c r="H54" i="58"/>
  <c r="L54" i="58"/>
  <c r="P54" i="58"/>
  <c r="H55" i="58"/>
  <c r="L55" i="58"/>
  <c r="G56" i="58"/>
  <c r="K56" i="58"/>
  <c r="O56" i="58"/>
  <c r="G57" i="58"/>
  <c r="K57" i="58"/>
  <c r="O57" i="58"/>
  <c r="H56" i="58"/>
  <c r="L56" i="58"/>
  <c r="P56" i="58"/>
  <c r="H57" i="58"/>
  <c r="L57" i="58"/>
  <c r="D243" i="58"/>
  <c r="D247" i="58"/>
  <c r="D251" i="58"/>
  <c r="D255" i="58"/>
  <c r="D259" i="58"/>
  <c r="D263" i="58"/>
  <c r="D267" i="58"/>
  <c r="D271" i="58"/>
  <c r="D275" i="58"/>
  <c r="D241" i="58"/>
  <c r="D245" i="58"/>
  <c r="D249" i="58"/>
  <c r="D253" i="58"/>
  <c r="D257" i="58"/>
  <c r="D261" i="58"/>
  <c r="D265" i="58"/>
  <c r="D269" i="58"/>
  <c r="D273" i="58"/>
  <c r="D277" i="58"/>
  <c r="D242" i="58"/>
  <c r="D246" i="58"/>
  <c r="D250" i="58"/>
  <c r="D254" i="58"/>
  <c r="D258" i="58"/>
  <c r="D262" i="58"/>
  <c r="D266" i="58"/>
  <c r="D270" i="58"/>
  <c r="D274" i="58"/>
  <c r="D240" i="58"/>
  <c r="D244" i="58"/>
  <c r="D248" i="58"/>
  <c r="D252" i="58"/>
  <c r="D256" i="58"/>
  <c r="D260" i="58"/>
  <c r="D264" i="58"/>
  <c r="D268" i="58"/>
  <c r="D272" i="58"/>
  <c r="D195" i="58" a="1"/>
  <c r="D232" i="58" s="1"/>
  <c r="D147" i="58" a="1"/>
  <c r="D184" i="58" s="1"/>
  <c r="D103" i="58" a="1"/>
  <c r="D140" i="58" s="1"/>
  <c r="D58" i="58" a="1"/>
  <c r="D95" i="58" s="1"/>
  <c r="C606" i="51" a="1"/>
  <c r="C642" i="51" s="1"/>
  <c r="O435" i="58"/>
  <c r="N435" i="58"/>
  <c r="M435" i="58"/>
  <c r="L435" i="58"/>
  <c r="D13" i="58" a="1"/>
  <c r="D13" i="58" s="1"/>
  <c r="C654" i="51" a="1"/>
  <c r="C691" i="51" s="1"/>
  <c r="C527" i="49" a="1"/>
  <c r="C561" i="49" s="1"/>
  <c r="C482" i="49" a="1"/>
  <c r="C518" i="49" s="1"/>
  <c r="H386" i="49"/>
  <c r="C356" i="49" a="1"/>
  <c r="C388" i="49" s="1"/>
  <c r="C310" i="49" a="1"/>
  <c r="C138" i="49" a="1"/>
  <c r="C175" i="49" s="1"/>
  <c r="C184" i="49" a="1"/>
  <c r="C207" i="49" s="1"/>
  <c r="K184" i="49"/>
  <c r="J193" i="49"/>
  <c r="G184" i="49"/>
  <c r="E184" i="49"/>
  <c r="V311" i="51" l="1"/>
  <c r="V292" i="51"/>
  <c r="Z303" i="51"/>
  <c r="V310" i="51"/>
  <c r="W128" i="51"/>
  <c r="X140" i="51"/>
  <c r="Z324" i="51"/>
  <c r="X115" i="51"/>
  <c r="AR147" i="51"/>
  <c r="AM147" i="51"/>
  <c r="AM153" i="51" s="1" a="1"/>
  <c r="AO147" i="51"/>
  <c r="AO153" i="51" s="1" a="1"/>
  <c r="W118" i="51"/>
  <c r="Y136" i="51"/>
  <c r="X553" i="51"/>
  <c r="V117" i="51"/>
  <c r="AA225" i="51"/>
  <c r="Z292" i="51"/>
  <c r="AA143" i="51"/>
  <c r="V110" i="51"/>
  <c r="W327" i="51"/>
  <c r="Z132" i="51"/>
  <c r="X309" i="51"/>
  <c r="W519" i="51"/>
  <c r="AN147" i="51"/>
  <c r="AN153" i="51" s="1" a="1"/>
  <c r="AN189" i="51" s="1"/>
  <c r="Z295" i="51"/>
  <c r="V115" i="51"/>
  <c r="X306" i="51"/>
  <c r="V138" i="51"/>
  <c r="X325" i="51"/>
  <c r="W113" i="51"/>
  <c r="Y547" i="51"/>
  <c r="AP147" i="51"/>
  <c r="AQ147" i="51"/>
  <c r="AQ153" i="51" s="1" a="1"/>
  <c r="AP153" i="51" a="1"/>
  <c r="Z405" i="51"/>
  <c r="AA229" i="51"/>
  <c r="W384" i="51"/>
  <c r="V205" i="51"/>
  <c r="AA553" i="51"/>
  <c r="AA525" i="51"/>
  <c r="W226" i="51"/>
  <c r="Z220" i="51"/>
  <c r="Z207" i="51"/>
  <c r="Z144" i="51"/>
  <c r="X136" i="51"/>
  <c r="Z129" i="51"/>
  <c r="W555" i="51"/>
  <c r="Y137" i="51"/>
  <c r="AA129" i="51"/>
  <c r="X131" i="51"/>
  <c r="AA212" i="51"/>
  <c r="X524" i="51"/>
  <c r="Z546" i="51"/>
  <c r="Z117" i="51"/>
  <c r="W145" i="51"/>
  <c r="AA410" i="51"/>
  <c r="Y519" i="51"/>
  <c r="AA123" i="51"/>
  <c r="V301" i="51"/>
  <c r="Y544" i="51"/>
  <c r="Y670" i="51"/>
  <c r="V236" i="51"/>
  <c r="Y390" i="51"/>
  <c r="AA394" i="51"/>
  <c r="W553" i="51"/>
  <c r="V139" i="51"/>
  <c r="AA539" i="51"/>
  <c r="AA413" i="51"/>
  <c r="Z293" i="51"/>
  <c r="Z304" i="51"/>
  <c r="Y131" i="51"/>
  <c r="AA310" i="51"/>
  <c r="AA383" i="51"/>
  <c r="AA522" i="51"/>
  <c r="Z309" i="51"/>
  <c r="AA309" i="51"/>
  <c r="X526" i="51"/>
  <c r="W129" i="51"/>
  <c r="AA321" i="51"/>
  <c r="V125" i="51"/>
  <c r="Z400" i="51"/>
  <c r="AA412" i="51"/>
  <c r="X543" i="51"/>
  <c r="W133" i="51"/>
  <c r="X295" i="51"/>
  <c r="V118" i="51"/>
  <c r="Y236" i="51"/>
  <c r="Y208" i="51"/>
  <c r="AA209" i="51"/>
  <c r="AA552" i="51"/>
  <c r="AA689" i="51"/>
  <c r="Y666" i="51"/>
  <c r="Y682" i="51"/>
  <c r="W662" i="51"/>
  <c r="AA554" i="51"/>
  <c r="Z555" i="51"/>
  <c r="Y533" i="51"/>
  <c r="V526" i="51"/>
  <c r="V395" i="51"/>
  <c r="X384" i="51"/>
  <c r="Y322" i="51"/>
  <c r="X319" i="51"/>
  <c r="AA320" i="51"/>
  <c r="Z235" i="51"/>
  <c r="Z200" i="51"/>
  <c r="Y235" i="51"/>
  <c r="AA224" i="51"/>
  <c r="Y231" i="51"/>
  <c r="V215" i="51"/>
  <c r="Z223" i="51"/>
  <c r="Y219" i="51"/>
  <c r="V212" i="51"/>
  <c r="W207" i="51"/>
  <c r="Z212" i="51"/>
  <c r="Y203" i="51"/>
  <c r="V237" i="51"/>
  <c r="AA216" i="51"/>
  <c r="W200" i="51"/>
  <c r="AA202" i="51"/>
  <c r="AA201" i="51"/>
  <c r="AA222" i="51"/>
  <c r="AA219" i="51"/>
  <c r="Y233" i="51"/>
  <c r="V210" i="51"/>
  <c r="Y201" i="51"/>
  <c r="V224" i="51"/>
  <c r="V220" i="51"/>
  <c r="V204" i="51"/>
  <c r="Z233" i="51"/>
  <c r="W236" i="51"/>
  <c r="Y225" i="51"/>
  <c r="Z216" i="51"/>
  <c r="W235" i="51"/>
  <c r="W211" i="51"/>
  <c r="Z133" i="51"/>
  <c r="W139" i="51"/>
  <c r="W38" i="51"/>
  <c r="X321" i="51"/>
  <c r="V322" i="51"/>
  <c r="W315" i="51"/>
  <c r="Y305" i="51"/>
  <c r="X293" i="51"/>
  <c r="Y302" i="51"/>
  <c r="V45" i="51"/>
  <c r="Z307" i="51"/>
  <c r="AA306" i="51"/>
  <c r="V328" i="51"/>
  <c r="X318" i="51"/>
  <c r="W324" i="51"/>
  <c r="AA324" i="51"/>
  <c r="Y327" i="51"/>
  <c r="X296" i="51"/>
  <c r="Y313" i="51"/>
  <c r="V323" i="51"/>
  <c r="Y303" i="51"/>
  <c r="Y394" i="51"/>
  <c r="V315" i="51"/>
  <c r="V302" i="51"/>
  <c r="V317" i="51"/>
  <c r="AA411" i="51"/>
  <c r="X327" i="51"/>
  <c r="Y320" i="51"/>
  <c r="Z325" i="51"/>
  <c r="W668" i="51"/>
  <c r="Y301" i="51"/>
  <c r="X28" i="51"/>
  <c r="V324" i="51"/>
  <c r="V305" i="51"/>
  <c r="AA292" i="51"/>
  <c r="Z308" i="51"/>
  <c r="AA402" i="51"/>
  <c r="V417" i="51"/>
  <c r="V299" i="51"/>
  <c r="Y406" i="51"/>
  <c r="X316" i="51"/>
  <c r="AA305" i="51"/>
  <c r="W300" i="51"/>
  <c r="Y294" i="51"/>
  <c r="AA313" i="51"/>
  <c r="Y15" i="51"/>
  <c r="Y300" i="51"/>
  <c r="Z316" i="51"/>
  <c r="Y326" i="51"/>
  <c r="V300" i="51"/>
  <c r="Z302" i="51"/>
  <c r="V312" i="51"/>
  <c r="V308" i="51"/>
  <c r="AA140" i="51"/>
  <c r="AA312" i="51"/>
  <c r="AA326" i="51"/>
  <c r="W326" i="51"/>
  <c r="Y298" i="51"/>
  <c r="AA298" i="51"/>
  <c r="W37" i="51"/>
  <c r="AA315" i="51"/>
  <c r="W298" i="51"/>
  <c r="Z299" i="51"/>
  <c r="X297" i="51"/>
  <c r="AA304" i="51"/>
  <c r="AA294" i="51"/>
  <c r="Z326" i="51"/>
  <c r="X310" i="51"/>
  <c r="Z321" i="51"/>
  <c r="W317" i="51"/>
  <c r="Z306" i="51"/>
  <c r="V31" i="51"/>
  <c r="Y311" i="51"/>
  <c r="X317" i="51"/>
  <c r="AA302" i="51"/>
  <c r="AA317" i="51"/>
  <c r="Z327" i="51"/>
  <c r="W306" i="51"/>
  <c r="AA307" i="51"/>
  <c r="V313" i="51"/>
  <c r="AA325" i="51"/>
  <c r="Y314" i="51"/>
  <c r="AA327" i="51"/>
  <c r="V294" i="51"/>
  <c r="W313" i="51"/>
  <c r="AA16" i="51"/>
  <c r="Z291" i="51"/>
  <c r="X300" i="51"/>
  <c r="X323" i="51"/>
  <c r="X304" i="51"/>
  <c r="Y685" i="51"/>
  <c r="W321" i="51"/>
  <c r="Z294" i="51"/>
  <c r="V325" i="51"/>
  <c r="Y663" i="51"/>
  <c r="V321" i="51"/>
  <c r="V295" i="51"/>
  <c r="Y292" i="51"/>
  <c r="V296" i="51"/>
  <c r="Y295" i="51"/>
  <c r="W319" i="51"/>
  <c r="W404" i="51"/>
  <c r="Y309" i="51"/>
  <c r="V307" i="51"/>
  <c r="AA323" i="51"/>
  <c r="AA322" i="51"/>
  <c r="W320" i="51"/>
  <c r="X313" i="51"/>
  <c r="X215" i="51"/>
  <c r="X236" i="51"/>
  <c r="Z322" i="51"/>
  <c r="AM52" i="51"/>
  <c r="Y48" i="51"/>
  <c r="Y522" i="51"/>
  <c r="AA538" i="51"/>
  <c r="V228" i="51"/>
  <c r="X213" i="51"/>
  <c r="W224" i="51"/>
  <c r="X15" i="51"/>
  <c r="X232" i="51"/>
  <c r="V29" i="51"/>
  <c r="AA536" i="51"/>
  <c r="Y202" i="51"/>
  <c r="AA231" i="51"/>
  <c r="W40" i="51"/>
  <c r="W213" i="51"/>
  <c r="W212" i="51"/>
  <c r="V678" i="51"/>
  <c r="Y691" i="51"/>
  <c r="V682" i="51"/>
  <c r="Z533" i="51"/>
  <c r="W230" i="51"/>
  <c r="AA532" i="51"/>
  <c r="V686" i="51"/>
  <c r="Y676" i="51"/>
  <c r="X546" i="51"/>
  <c r="Z550" i="51"/>
  <c r="Y667" i="51"/>
  <c r="X208" i="51"/>
  <c r="Z226" i="51"/>
  <c r="W234" i="51"/>
  <c r="AA675" i="51"/>
  <c r="Z548" i="51"/>
  <c r="Y25" i="51"/>
  <c r="Y232" i="51"/>
  <c r="X225" i="51"/>
  <c r="W25" i="51"/>
  <c r="W206" i="51"/>
  <c r="AA682" i="51"/>
  <c r="AA17" i="51"/>
  <c r="Z24" i="51"/>
  <c r="Z655" i="51"/>
  <c r="W46" i="51"/>
  <c r="V221" i="51"/>
  <c r="W232" i="51"/>
  <c r="V223" i="51"/>
  <c r="AA684" i="51"/>
  <c r="AA217" i="51"/>
  <c r="Y675" i="51"/>
  <c r="X204" i="51"/>
  <c r="X552" i="51"/>
  <c r="AA223" i="51"/>
  <c r="Y548" i="51"/>
  <c r="W546" i="51"/>
  <c r="Z522" i="51"/>
  <c r="W217" i="51"/>
  <c r="Z544" i="51"/>
  <c r="X535" i="51"/>
  <c r="X520" i="51"/>
  <c r="W229" i="51"/>
  <c r="AA232" i="51"/>
  <c r="Y669" i="51"/>
  <c r="X222" i="51"/>
  <c r="AA668" i="51"/>
  <c r="X214" i="51"/>
  <c r="Z690" i="51"/>
  <c r="Z201" i="51"/>
  <c r="V232" i="51"/>
  <c r="Z32" i="51"/>
  <c r="Z537" i="51"/>
  <c r="X672" i="51"/>
  <c r="X43" i="51"/>
  <c r="X223" i="51"/>
  <c r="Z210" i="51"/>
  <c r="V216" i="51"/>
  <c r="Z659" i="51"/>
  <c r="X207" i="51"/>
  <c r="AA226" i="51"/>
  <c r="V235" i="51"/>
  <c r="W237" i="51"/>
  <c r="Z28" i="51"/>
  <c r="V208" i="51"/>
  <c r="V209" i="51"/>
  <c r="Y237" i="51"/>
  <c r="X231" i="51"/>
  <c r="Z208" i="51"/>
  <c r="W683" i="51"/>
  <c r="AA204" i="51"/>
  <c r="W21" i="51"/>
  <c r="AA214" i="51"/>
  <c r="Z524" i="51"/>
  <c r="V207" i="51"/>
  <c r="X209" i="51"/>
  <c r="V202" i="51"/>
  <c r="V536" i="51"/>
  <c r="AA208" i="51"/>
  <c r="Z41" i="51"/>
  <c r="Y212" i="51"/>
  <c r="Y223" i="51"/>
  <c r="W526" i="51"/>
  <c r="V520" i="51"/>
  <c r="Z202" i="51"/>
  <c r="W124" i="51"/>
  <c r="V213" i="51"/>
  <c r="Z46" i="51"/>
  <c r="X660" i="51"/>
  <c r="V38" i="51"/>
  <c r="X18" i="51"/>
  <c r="Z221" i="51"/>
  <c r="V521" i="51"/>
  <c r="X211" i="51"/>
  <c r="Y142" i="51"/>
  <c r="Z16" i="51"/>
  <c r="Z211" i="51"/>
  <c r="Z684" i="51"/>
  <c r="Z206" i="51"/>
  <c r="W666" i="51"/>
  <c r="X221" i="51"/>
  <c r="W533" i="51"/>
  <c r="X690" i="51"/>
  <c r="W209" i="51"/>
  <c r="Z142" i="51"/>
  <c r="V673" i="51"/>
  <c r="Y213" i="51"/>
  <c r="V230" i="51"/>
  <c r="AA40" i="51"/>
  <c r="Y657" i="51"/>
  <c r="W528" i="51"/>
  <c r="V550" i="51"/>
  <c r="Z232" i="51"/>
  <c r="V233" i="51"/>
  <c r="Z30" i="51"/>
  <c r="X680" i="51"/>
  <c r="Y222" i="51"/>
  <c r="AA206" i="51"/>
  <c r="X41" i="51"/>
  <c r="V659" i="51"/>
  <c r="W210" i="51"/>
  <c r="AA686" i="51"/>
  <c r="Z141" i="51"/>
  <c r="V662" i="51"/>
  <c r="Z218" i="51"/>
  <c r="Y216" i="51"/>
  <c r="Z545" i="51"/>
  <c r="W548" i="51"/>
  <c r="Y665" i="51"/>
  <c r="V120" i="51"/>
  <c r="Y226" i="51"/>
  <c r="V35" i="51"/>
  <c r="AA146" i="51"/>
  <c r="W201" i="51"/>
  <c r="Y33" i="51"/>
  <c r="Z219" i="51"/>
  <c r="Z542" i="51"/>
  <c r="V524" i="51"/>
  <c r="W690" i="51"/>
  <c r="Y214" i="51"/>
  <c r="AA132" i="51"/>
  <c r="Y50" i="51"/>
  <c r="Y690" i="51"/>
  <c r="Z237" i="51"/>
  <c r="X229" i="51"/>
  <c r="W14" i="51"/>
  <c r="Y536" i="51"/>
  <c r="Y668" i="51"/>
  <c r="Y224" i="51"/>
  <c r="Y228" i="51"/>
  <c r="W35" i="51"/>
  <c r="V533" i="51"/>
  <c r="W220" i="51"/>
  <c r="Y296" i="51"/>
  <c r="AA200" i="51"/>
  <c r="Z676" i="51"/>
  <c r="X312" i="51"/>
  <c r="AA660" i="51"/>
  <c r="X33" i="51"/>
  <c r="AA555" i="51"/>
  <c r="X555" i="51"/>
  <c r="Z217" i="51"/>
  <c r="Z315" i="51"/>
  <c r="AA220" i="51"/>
  <c r="V211" i="51"/>
  <c r="X212" i="51"/>
  <c r="V214" i="51"/>
  <c r="X301" i="51"/>
  <c r="X537" i="51"/>
  <c r="AA205" i="51"/>
  <c r="Z673" i="51"/>
  <c r="W304" i="51"/>
  <c r="V681" i="51"/>
  <c r="Y528" i="51"/>
  <c r="Y318" i="51"/>
  <c r="W547" i="51"/>
  <c r="W540" i="51"/>
  <c r="Z532" i="51"/>
  <c r="Z313" i="51"/>
  <c r="Z234" i="51"/>
  <c r="W109" i="51"/>
  <c r="AA38" i="51"/>
  <c r="AA319" i="51"/>
  <c r="X24" i="51"/>
  <c r="AA28" i="51"/>
  <c r="X203" i="51"/>
  <c r="AA235" i="51"/>
  <c r="W216" i="51"/>
  <c r="V40" i="51"/>
  <c r="AP238" i="51"/>
  <c r="AP244" i="51" s="1" a="1"/>
  <c r="W219" i="51"/>
  <c r="X27" i="51"/>
  <c r="Z535" i="51"/>
  <c r="V227" i="51"/>
  <c r="W202" i="51"/>
  <c r="Z229" i="51"/>
  <c r="AA215" i="51"/>
  <c r="W203" i="51"/>
  <c r="V51" i="51"/>
  <c r="W687" i="51"/>
  <c r="V206" i="51"/>
  <c r="V519" i="51"/>
  <c r="Y555" i="51"/>
  <c r="AA541" i="51"/>
  <c r="Z14" i="51"/>
  <c r="Y546" i="51"/>
  <c r="Y680" i="51"/>
  <c r="V231" i="51"/>
  <c r="V552" i="51"/>
  <c r="Y545" i="51"/>
  <c r="V229" i="51"/>
  <c r="AA45" i="51"/>
  <c r="V201" i="51"/>
  <c r="V203" i="51"/>
  <c r="X201" i="51"/>
  <c r="AA50" i="51"/>
  <c r="V226" i="51"/>
  <c r="Z227" i="51"/>
  <c r="AA234" i="51"/>
  <c r="Y230" i="51"/>
  <c r="W554" i="51"/>
  <c r="Z222" i="51"/>
  <c r="Y200" i="51"/>
  <c r="V535" i="51"/>
  <c r="Y206" i="51"/>
  <c r="W525" i="51"/>
  <c r="Y541" i="51"/>
  <c r="AA213" i="51"/>
  <c r="Z126" i="51"/>
  <c r="Z656" i="51"/>
  <c r="Z664" i="51"/>
  <c r="V27" i="51"/>
  <c r="W24" i="51"/>
  <c r="Y661" i="51"/>
  <c r="W228" i="51"/>
  <c r="X145" i="51"/>
  <c r="AA210" i="51"/>
  <c r="W44" i="51"/>
  <c r="W223" i="51"/>
  <c r="X220" i="51"/>
  <c r="Z538" i="51"/>
  <c r="Z26" i="51"/>
  <c r="Z230" i="51"/>
  <c r="X34" i="51"/>
  <c r="Y525" i="51"/>
  <c r="Z215" i="51"/>
  <c r="X541" i="51"/>
  <c r="Y210" i="51"/>
  <c r="X118" i="51"/>
  <c r="Z530" i="51"/>
  <c r="V528" i="51"/>
  <c r="AA547" i="51"/>
  <c r="AA544" i="51"/>
  <c r="Y227" i="51"/>
  <c r="Z40" i="51"/>
  <c r="Y553" i="51"/>
  <c r="W205" i="51"/>
  <c r="W221" i="51"/>
  <c r="Z541" i="51"/>
  <c r="X233" i="51"/>
  <c r="V128" i="51"/>
  <c r="V15" i="51"/>
  <c r="Z205" i="51"/>
  <c r="Y125" i="51"/>
  <c r="W671" i="51"/>
  <c r="Z228" i="51"/>
  <c r="W654" i="51"/>
  <c r="V555" i="51"/>
  <c r="Z680" i="51"/>
  <c r="W204" i="51"/>
  <c r="W549" i="51"/>
  <c r="X210" i="51"/>
  <c r="AA207" i="51"/>
  <c r="Z225" i="51"/>
  <c r="Y221" i="51"/>
  <c r="AA30" i="51"/>
  <c r="Z213" i="51"/>
  <c r="V542" i="51"/>
  <c r="V534" i="51"/>
  <c r="V26" i="51"/>
  <c r="Y677" i="51"/>
  <c r="X237" i="51"/>
  <c r="V219" i="51"/>
  <c r="X675" i="51"/>
  <c r="V537" i="51"/>
  <c r="V218" i="51"/>
  <c r="Z549" i="51"/>
  <c r="W537" i="51"/>
  <c r="Z110" i="51"/>
  <c r="X218" i="51"/>
  <c r="Z203" i="51"/>
  <c r="V553" i="51"/>
  <c r="AO52" i="51"/>
  <c r="AQ52" i="51"/>
  <c r="AO58" i="51" a="1"/>
  <c r="X404" i="51"/>
  <c r="W407" i="51"/>
  <c r="V418" i="51"/>
  <c r="V396" i="51"/>
  <c r="W406" i="51"/>
  <c r="X417" i="51"/>
  <c r="X391" i="51"/>
  <c r="AA416" i="51"/>
  <c r="Y388" i="51"/>
  <c r="Z402" i="51"/>
  <c r="X414" i="51"/>
  <c r="V141" i="51"/>
  <c r="X410" i="51"/>
  <c r="X412" i="51"/>
  <c r="AA388" i="51"/>
  <c r="V387" i="51"/>
  <c r="Y386" i="51"/>
  <c r="Z137" i="51"/>
  <c r="W383" i="51"/>
  <c r="AA405" i="51"/>
  <c r="Y418" i="51"/>
  <c r="Y122" i="51"/>
  <c r="W413" i="51"/>
  <c r="AA130" i="51"/>
  <c r="AO238" i="51"/>
  <c r="AQ238" i="51"/>
  <c r="Y118" i="51"/>
  <c r="X687" i="51"/>
  <c r="W542" i="51"/>
  <c r="W669" i="51"/>
  <c r="Z317" i="51"/>
  <c r="Z118" i="51"/>
  <c r="Y524" i="51"/>
  <c r="Y396" i="51"/>
  <c r="W411" i="51"/>
  <c r="Y539" i="51"/>
  <c r="W688" i="51"/>
  <c r="AA385" i="51"/>
  <c r="V309" i="51"/>
  <c r="Y35" i="51"/>
  <c r="Z521" i="51"/>
  <c r="W538" i="51"/>
  <c r="Y20" i="51"/>
  <c r="X386" i="51"/>
  <c r="AA135" i="51"/>
  <c r="W42" i="51"/>
  <c r="X551" i="51"/>
  <c r="AA518" i="51"/>
  <c r="V676" i="51"/>
  <c r="V298" i="51"/>
  <c r="V547" i="51"/>
  <c r="Z231" i="51"/>
  <c r="W521" i="51"/>
  <c r="X518" i="51"/>
  <c r="X415" i="51"/>
  <c r="Y205" i="51"/>
  <c r="Z393" i="51"/>
  <c r="AA389" i="51"/>
  <c r="V385" i="51"/>
  <c r="Y113" i="51"/>
  <c r="Z417" i="51"/>
  <c r="Y529" i="51"/>
  <c r="Y215" i="51"/>
  <c r="V49" i="51"/>
  <c r="W318" i="51"/>
  <c r="Z418" i="51"/>
  <c r="AA19" i="51"/>
  <c r="Y111" i="51"/>
  <c r="AA415" i="51"/>
  <c r="Y392" i="51"/>
  <c r="W403" i="51"/>
  <c r="Y384" i="51"/>
  <c r="Y410" i="51"/>
  <c r="Z415" i="51"/>
  <c r="AA386" i="51"/>
  <c r="X408" i="51"/>
  <c r="Y404" i="51"/>
  <c r="Z398" i="51"/>
  <c r="AA396" i="51"/>
  <c r="Z387" i="51"/>
  <c r="AN52" i="51"/>
  <c r="Z419" i="51"/>
  <c r="Y400" i="51"/>
  <c r="X406" i="51"/>
  <c r="AA417" i="51"/>
  <c r="X122" i="51"/>
  <c r="W393" i="51"/>
  <c r="W392" i="51"/>
  <c r="V383" i="51"/>
  <c r="V131" i="51"/>
  <c r="W386" i="51"/>
  <c r="V397" i="51"/>
  <c r="X405" i="51"/>
  <c r="W405" i="51"/>
  <c r="Z388" i="51"/>
  <c r="AA409" i="51"/>
  <c r="W401" i="51"/>
  <c r="Y411" i="51"/>
  <c r="V384" i="51"/>
  <c r="Z403" i="51"/>
  <c r="Y391" i="51"/>
  <c r="X416" i="51"/>
  <c r="W399" i="51"/>
  <c r="AA393" i="51"/>
  <c r="V413" i="51"/>
  <c r="W385" i="51"/>
  <c r="X392" i="51"/>
  <c r="V382" i="51"/>
  <c r="W389" i="51"/>
  <c r="Z407" i="51"/>
  <c r="V415" i="51"/>
  <c r="AA406" i="51"/>
  <c r="X409" i="51"/>
  <c r="Y415" i="51"/>
  <c r="V144" i="51"/>
  <c r="AA419" i="51"/>
  <c r="Y140" i="51"/>
  <c r="AA125" i="51"/>
  <c r="X130" i="51"/>
  <c r="AA397" i="51"/>
  <c r="Y119" i="51"/>
  <c r="Z136" i="51"/>
  <c r="W144" i="51"/>
  <c r="AO556" i="51"/>
  <c r="W417" i="51"/>
  <c r="X400" i="51"/>
  <c r="W402" i="51"/>
  <c r="X141" i="51"/>
  <c r="Z390" i="51"/>
  <c r="Z414" i="51"/>
  <c r="Y540" i="51"/>
  <c r="Y124" i="51"/>
  <c r="Z404" i="51"/>
  <c r="X393" i="51"/>
  <c r="X658" i="51"/>
  <c r="V46" i="51"/>
  <c r="V666" i="51"/>
  <c r="Z666" i="51"/>
  <c r="X30" i="51"/>
  <c r="Z47" i="51"/>
  <c r="Z15" i="51"/>
  <c r="W678" i="51"/>
  <c r="Z677" i="51"/>
  <c r="V655" i="51"/>
  <c r="X123" i="51"/>
  <c r="Z663" i="51"/>
  <c r="Z38" i="51"/>
  <c r="X663" i="51"/>
  <c r="AA680" i="51"/>
  <c r="Y656" i="51"/>
  <c r="Z674" i="51"/>
  <c r="V665" i="51"/>
  <c r="AA683" i="51"/>
  <c r="V684" i="51"/>
  <c r="X673" i="51"/>
  <c r="AA43" i="51"/>
  <c r="Z45" i="51"/>
  <c r="Y115" i="51"/>
  <c r="W142" i="51"/>
  <c r="Y47" i="51"/>
  <c r="V660" i="51"/>
  <c r="W31" i="51"/>
  <c r="AA117" i="51"/>
  <c r="W20" i="51"/>
  <c r="V126" i="51"/>
  <c r="Z43" i="51"/>
  <c r="Y26" i="51"/>
  <c r="Y671" i="51"/>
  <c r="V691" i="51"/>
  <c r="Y654" i="51"/>
  <c r="V657" i="51"/>
  <c r="AA115" i="51"/>
  <c r="AA677" i="51"/>
  <c r="X686" i="51"/>
  <c r="AA654" i="51"/>
  <c r="X550" i="51"/>
  <c r="X519" i="51"/>
  <c r="Z35" i="51"/>
  <c r="V545" i="51"/>
  <c r="W660" i="51"/>
  <c r="AA134" i="51"/>
  <c r="Y120" i="51"/>
  <c r="W23" i="51"/>
  <c r="AA46" i="51"/>
  <c r="AA122" i="51"/>
  <c r="Y549" i="51"/>
  <c r="Z37" i="51"/>
  <c r="V17" i="51"/>
  <c r="V690" i="51"/>
  <c r="X655" i="51"/>
  <c r="AA667" i="51"/>
  <c r="W45" i="51"/>
  <c r="AA671" i="51"/>
  <c r="X37" i="51"/>
  <c r="V50" i="51"/>
  <c r="W26" i="51"/>
  <c r="Z682" i="51"/>
  <c r="Z668" i="51"/>
  <c r="V687" i="51"/>
  <c r="X51" i="51"/>
  <c r="Z25" i="51"/>
  <c r="Z671" i="51"/>
  <c r="Y19" i="51"/>
  <c r="Z665" i="51"/>
  <c r="W679" i="51"/>
  <c r="X691" i="51"/>
  <c r="AA658" i="51"/>
  <c r="AA679" i="51"/>
  <c r="V143" i="51"/>
  <c r="V132" i="51"/>
  <c r="Z681" i="51"/>
  <c r="AA119" i="51"/>
  <c r="Y27" i="51"/>
  <c r="X549" i="51"/>
  <c r="X664" i="51"/>
  <c r="Z531" i="51"/>
  <c r="W689" i="51"/>
  <c r="Z130" i="51"/>
  <c r="V19" i="51"/>
  <c r="X661" i="51"/>
  <c r="Y655" i="51"/>
  <c r="AA665" i="51"/>
  <c r="Z122" i="51"/>
  <c r="W123" i="51"/>
  <c r="V14" i="51"/>
  <c r="AA18" i="51"/>
  <c r="AA113" i="51"/>
  <c r="V36" i="51"/>
  <c r="Y51" i="51"/>
  <c r="Z39" i="51"/>
  <c r="AA537" i="51"/>
  <c r="W670" i="51"/>
  <c r="V675" i="51"/>
  <c r="W529" i="51"/>
  <c r="X542" i="51"/>
  <c r="Y678" i="51"/>
  <c r="W522" i="51"/>
  <c r="Y112" i="51"/>
  <c r="Y520" i="51"/>
  <c r="AA676" i="51"/>
  <c r="Y146" i="51"/>
  <c r="X137" i="51"/>
  <c r="X25" i="51"/>
  <c r="X50" i="51"/>
  <c r="X540" i="51"/>
  <c r="Z685" i="51"/>
  <c r="V654" i="51"/>
  <c r="X533" i="51"/>
  <c r="Y135" i="51"/>
  <c r="Z36" i="51"/>
  <c r="W531" i="51"/>
  <c r="V671" i="51"/>
  <c r="V145" i="51"/>
  <c r="AA133" i="51"/>
  <c r="Z48" i="51"/>
  <c r="AA47" i="51"/>
  <c r="X659" i="51"/>
  <c r="W551" i="51"/>
  <c r="V525" i="51"/>
  <c r="W664" i="51"/>
  <c r="V669" i="51"/>
  <c r="Y674" i="51"/>
  <c r="W121" i="51"/>
  <c r="Z127" i="51"/>
  <c r="V674" i="51"/>
  <c r="Y543" i="51"/>
  <c r="Y689" i="51"/>
  <c r="W657" i="51"/>
  <c r="V47" i="51"/>
  <c r="Z534" i="51"/>
  <c r="Z528" i="51"/>
  <c r="X525" i="51"/>
  <c r="X146" i="51"/>
  <c r="Z128" i="51"/>
  <c r="V688" i="51"/>
  <c r="AA669" i="51"/>
  <c r="Y518" i="51"/>
  <c r="W15" i="51"/>
  <c r="Y550" i="51"/>
  <c r="Z689" i="51"/>
  <c r="W16" i="51"/>
  <c r="AA535" i="51"/>
  <c r="W672" i="51"/>
  <c r="Z687" i="51"/>
  <c r="Y143" i="51"/>
  <c r="V140" i="51"/>
  <c r="W51" i="51"/>
  <c r="AA521" i="51"/>
  <c r="W686" i="51"/>
  <c r="W675" i="51"/>
  <c r="X547" i="51"/>
  <c r="AA673" i="51"/>
  <c r="X111" i="51"/>
  <c r="V39" i="51"/>
  <c r="X538" i="51"/>
  <c r="W680" i="51"/>
  <c r="W661" i="51"/>
  <c r="AA120" i="51"/>
  <c r="X114" i="51"/>
  <c r="W22" i="51"/>
  <c r="Z23" i="51"/>
  <c r="AA551" i="51"/>
  <c r="Y688" i="51"/>
  <c r="AA549" i="51"/>
  <c r="Z691" i="51"/>
  <c r="V530" i="51"/>
  <c r="X109" i="51"/>
  <c r="X23" i="51"/>
  <c r="Z526" i="51"/>
  <c r="Z525" i="51"/>
  <c r="Y551" i="51"/>
  <c r="AA533" i="51"/>
  <c r="X668" i="51"/>
  <c r="X116" i="51"/>
  <c r="Z17" i="51"/>
  <c r="V680" i="51"/>
  <c r="V677" i="51"/>
  <c r="X144" i="51"/>
  <c r="Z135" i="51"/>
  <c r="V20" i="51"/>
  <c r="Y532" i="51"/>
  <c r="Y664" i="51"/>
  <c r="Y534" i="51"/>
  <c r="X670" i="51"/>
  <c r="X44" i="51"/>
  <c r="X135" i="51"/>
  <c r="X127" i="51"/>
  <c r="X31" i="51"/>
  <c r="Z540" i="51"/>
  <c r="V18" i="51"/>
  <c r="X657" i="51"/>
  <c r="AA139" i="51"/>
  <c r="V129" i="51"/>
  <c r="Z51" i="51"/>
  <c r="AA23" i="51"/>
  <c r="W131" i="51"/>
  <c r="X32" i="51"/>
  <c r="X119" i="51"/>
  <c r="Z145" i="51"/>
  <c r="W130" i="51"/>
  <c r="Y129" i="51"/>
  <c r="V16" i="51"/>
  <c r="W520" i="51"/>
  <c r="X683" i="51"/>
  <c r="X536" i="51"/>
  <c r="W674" i="51"/>
  <c r="Y660" i="51"/>
  <c r="X133" i="51"/>
  <c r="AA126" i="51"/>
  <c r="V135" i="51"/>
  <c r="Z553" i="51"/>
  <c r="X522" i="51"/>
  <c r="V685" i="51"/>
  <c r="W136" i="51"/>
  <c r="Y145" i="51"/>
  <c r="AA32" i="51"/>
  <c r="V672" i="51"/>
  <c r="V658" i="51"/>
  <c r="X676" i="51"/>
  <c r="Z124" i="51"/>
  <c r="Z113" i="51"/>
  <c r="V30" i="51"/>
  <c r="W550" i="51"/>
  <c r="Z519" i="51"/>
  <c r="V661" i="51"/>
  <c r="W536" i="51"/>
  <c r="Z139" i="51"/>
  <c r="Y126" i="51"/>
  <c r="W539" i="51"/>
  <c r="W534" i="51"/>
  <c r="X314" i="51"/>
  <c r="Z121" i="51"/>
  <c r="W541" i="51"/>
  <c r="V541" i="51"/>
  <c r="X682" i="51"/>
  <c r="W544" i="51"/>
  <c r="X328" i="51"/>
  <c r="Z119" i="51"/>
  <c r="Z552" i="51"/>
  <c r="Y683" i="51"/>
  <c r="W659" i="51"/>
  <c r="V539" i="51"/>
  <c r="V663" i="51"/>
  <c r="Y328" i="51"/>
  <c r="W115" i="51"/>
  <c r="AA527" i="51"/>
  <c r="X121" i="51"/>
  <c r="Y43" i="51"/>
  <c r="X532" i="51"/>
  <c r="AA116" i="51"/>
  <c r="Z111" i="51"/>
  <c r="AA661" i="51"/>
  <c r="Z660" i="51"/>
  <c r="Y537" i="51"/>
  <c r="W296" i="51"/>
  <c r="Y321" i="51"/>
  <c r="Y315" i="51"/>
  <c r="Z120" i="51"/>
  <c r="Z109" i="51"/>
  <c r="W518" i="51"/>
  <c r="V304" i="51"/>
  <c r="Z134" i="51"/>
  <c r="Y141" i="51"/>
  <c r="X45" i="51"/>
  <c r="W47" i="51"/>
  <c r="V554" i="51"/>
  <c r="V538" i="51"/>
  <c r="X385" i="51"/>
  <c r="X523" i="51"/>
  <c r="X315" i="51"/>
  <c r="AA408" i="51"/>
  <c r="AA121" i="51"/>
  <c r="Y46" i="51"/>
  <c r="W29" i="51"/>
  <c r="AA127" i="51"/>
  <c r="V546" i="51"/>
  <c r="V522" i="51"/>
  <c r="Y139" i="51"/>
  <c r="AA664" i="51"/>
  <c r="AA395" i="51"/>
  <c r="Y310" i="51"/>
  <c r="AA520" i="51"/>
  <c r="W682" i="51"/>
  <c r="AA136" i="51"/>
  <c r="Z688" i="51"/>
  <c r="W667" i="51"/>
  <c r="V405" i="51"/>
  <c r="Z300" i="51"/>
  <c r="Y207" i="51"/>
  <c r="X548" i="51"/>
  <c r="Y552" i="51"/>
  <c r="X534" i="51"/>
  <c r="X671" i="51"/>
  <c r="Z675" i="51"/>
  <c r="Y304" i="51"/>
  <c r="AA218" i="51"/>
  <c r="Z146" i="51"/>
  <c r="Y306" i="51"/>
  <c r="AA687" i="51"/>
  <c r="W291" i="51"/>
  <c r="AA542" i="51"/>
  <c r="X228" i="51"/>
  <c r="X530" i="51"/>
  <c r="V549" i="51"/>
  <c r="Y293" i="51"/>
  <c r="X654" i="51"/>
  <c r="X399" i="51"/>
  <c r="Y123" i="51"/>
  <c r="Z672" i="51"/>
  <c r="Z658" i="51"/>
  <c r="Y308" i="51"/>
  <c r="V408" i="51"/>
  <c r="V24" i="51"/>
  <c r="X667" i="51"/>
  <c r="Y297" i="51"/>
  <c r="Z44" i="51"/>
  <c r="Z34" i="51"/>
  <c r="W409" i="51"/>
  <c r="W328" i="51"/>
  <c r="Y18" i="51"/>
  <c r="W308" i="51"/>
  <c r="Z138" i="51"/>
  <c r="Z314" i="51"/>
  <c r="Y521" i="51"/>
  <c r="AA526" i="51"/>
  <c r="Y229" i="51"/>
  <c r="X112" i="51"/>
  <c r="AA20" i="51"/>
  <c r="Z539" i="51"/>
  <c r="Y324" i="51"/>
  <c r="AA528" i="51"/>
  <c r="X291" i="51"/>
  <c r="W681" i="51"/>
  <c r="V667" i="51"/>
  <c r="W676" i="51"/>
  <c r="AA690" i="51"/>
  <c r="V664" i="51"/>
  <c r="Y686" i="51"/>
  <c r="AN180" i="51"/>
  <c r="W655" i="51"/>
  <c r="AA663" i="51"/>
  <c r="W691" i="51"/>
  <c r="X662" i="51"/>
  <c r="AN174" i="51"/>
  <c r="Z554" i="51"/>
  <c r="V523" i="51"/>
  <c r="Y687" i="51"/>
  <c r="V548" i="51"/>
  <c r="AA145" i="51"/>
  <c r="V119" i="51"/>
  <c r="Y29" i="51"/>
  <c r="X20" i="51"/>
  <c r="AA543" i="51"/>
  <c r="X669" i="51"/>
  <c r="AA674" i="51"/>
  <c r="Z679" i="51"/>
  <c r="W685" i="51"/>
  <c r="AA131" i="51"/>
  <c r="X138" i="51"/>
  <c r="Y659" i="51"/>
  <c r="Y535" i="51"/>
  <c r="AA678" i="51"/>
  <c r="Z683" i="51"/>
  <c r="AA534" i="51"/>
  <c r="Z686" i="51"/>
  <c r="Y30" i="51"/>
  <c r="Z125" i="51"/>
  <c r="W49" i="51"/>
  <c r="Z547" i="51"/>
  <c r="V146" i="51"/>
  <c r="AA35" i="51"/>
  <c r="X40" i="51"/>
  <c r="Y523" i="51"/>
  <c r="X689" i="51"/>
  <c r="Y109" i="51"/>
  <c r="W141" i="51"/>
  <c r="W36" i="51"/>
  <c r="Z29" i="51"/>
  <c r="Z662" i="51"/>
  <c r="W32" i="51"/>
  <c r="V670" i="51"/>
  <c r="Z527" i="51"/>
  <c r="AA399" i="51"/>
  <c r="X666" i="51"/>
  <c r="V419" i="51"/>
  <c r="W312" i="51"/>
  <c r="Y217" i="51"/>
  <c r="AA211" i="51"/>
  <c r="Y110" i="51"/>
  <c r="X113" i="51"/>
  <c r="Y32" i="51"/>
  <c r="W543" i="51"/>
  <c r="W415" i="51"/>
  <c r="Y312" i="51"/>
  <c r="W524" i="51"/>
  <c r="Z116" i="51"/>
  <c r="X665" i="51"/>
  <c r="Y383" i="51"/>
  <c r="W140" i="51"/>
  <c r="Y39" i="51"/>
  <c r="V48" i="51"/>
  <c r="W50" i="51"/>
  <c r="Z670" i="51"/>
  <c r="V318" i="51"/>
  <c r="V41" i="51"/>
  <c r="Z382" i="51"/>
  <c r="W292" i="51"/>
  <c r="V544" i="51"/>
  <c r="Y393" i="51"/>
  <c r="W119" i="51"/>
  <c r="Z19" i="51"/>
  <c r="AA227" i="51"/>
  <c r="AN329" i="51"/>
  <c r="AO329" i="51"/>
  <c r="V551" i="51"/>
  <c r="V531" i="51"/>
  <c r="Y679" i="51"/>
  <c r="Y684" i="51"/>
  <c r="Z310" i="51"/>
  <c r="X322" i="51"/>
  <c r="W214" i="51"/>
  <c r="W146" i="51"/>
  <c r="AA109" i="51"/>
  <c r="X139" i="51"/>
  <c r="AA42" i="51"/>
  <c r="Y538" i="51"/>
  <c r="W656" i="51"/>
  <c r="W677" i="51"/>
  <c r="Z301" i="51"/>
  <c r="X227" i="51"/>
  <c r="AA230" i="51"/>
  <c r="W114" i="51"/>
  <c r="Z22" i="51"/>
  <c r="W43" i="51"/>
  <c r="AR420" i="51"/>
  <c r="AR238" i="51"/>
  <c r="AN238" i="51"/>
  <c r="X554" i="51"/>
  <c r="W658" i="51"/>
  <c r="W663" i="51"/>
  <c r="W307" i="51"/>
  <c r="Z311" i="51"/>
  <c r="Z209" i="51"/>
  <c r="W222" i="51"/>
  <c r="W111" i="51"/>
  <c r="V142" i="51"/>
  <c r="AA26" i="51"/>
  <c r="AA519" i="51"/>
  <c r="AA391" i="51"/>
  <c r="X674" i="51"/>
  <c r="V411" i="51"/>
  <c r="V291" i="51"/>
  <c r="W215" i="51"/>
  <c r="AA111" i="51"/>
  <c r="AA657" i="51"/>
  <c r="V234" i="51"/>
  <c r="Y211" i="51"/>
  <c r="Y530" i="51"/>
  <c r="AA655" i="51"/>
  <c r="W110" i="51"/>
  <c r="V133" i="51"/>
  <c r="AA529" i="51"/>
  <c r="V543" i="51"/>
  <c r="Z669" i="51"/>
  <c r="AM556" i="51"/>
  <c r="X528" i="51"/>
  <c r="X679" i="51"/>
  <c r="AA291" i="51"/>
  <c r="Y144" i="51"/>
  <c r="X36" i="51"/>
  <c r="AA407" i="51"/>
  <c r="Y658" i="51"/>
  <c r="X26" i="51"/>
  <c r="V527" i="51"/>
  <c r="W523" i="51"/>
  <c r="AA681" i="51"/>
  <c r="X298" i="51"/>
  <c r="V225" i="51"/>
  <c r="Y127" i="51"/>
  <c r="Y554" i="51"/>
  <c r="V683" i="51"/>
  <c r="Y319" i="51"/>
  <c r="X217" i="51"/>
  <c r="X230" i="51"/>
  <c r="W545" i="51"/>
  <c r="W665" i="51"/>
  <c r="W532" i="51"/>
  <c r="V303" i="51"/>
  <c r="X216" i="51"/>
  <c r="V217" i="51"/>
  <c r="Y413" i="51"/>
  <c r="Z518" i="51"/>
  <c r="W398" i="51"/>
  <c r="Y323" i="51"/>
  <c r="W117" i="51"/>
  <c r="W132" i="51"/>
  <c r="W19" i="51"/>
  <c r="Y17" i="51"/>
  <c r="AA297" i="51"/>
  <c r="V389" i="51"/>
  <c r="V124" i="51"/>
  <c r="Z143" i="51"/>
  <c r="Z50" i="51"/>
  <c r="X14" i="51"/>
  <c r="V320" i="51"/>
  <c r="AA221" i="51"/>
  <c r="Z395" i="51"/>
  <c r="Y299" i="51"/>
  <c r="Z224" i="51"/>
  <c r="AA142" i="51"/>
  <c r="X545" i="51"/>
  <c r="X527" i="51"/>
  <c r="Y16" i="51"/>
  <c r="W530" i="51"/>
  <c r="AA382" i="51"/>
  <c r="Z657" i="51"/>
  <c r="Y42" i="51"/>
  <c r="Z661" i="51"/>
  <c r="X226" i="51"/>
  <c r="Y681" i="51"/>
  <c r="W225" i="51"/>
  <c r="AA400" i="51"/>
  <c r="AR692" i="51"/>
  <c r="V679" i="51"/>
  <c r="Y209" i="51"/>
  <c r="W126" i="51"/>
  <c r="Z529" i="51"/>
  <c r="Y672" i="51"/>
  <c r="W323" i="51"/>
  <c r="Z323" i="51"/>
  <c r="W218" i="51"/>
  <c r="X685" i="51"/>
  <c r="V529" i="51"/>
  <c r="AA670" i="51"/>
  <c r="V689" i="51"/>
  <c r="Y317" i="51"/>
  <c r="AA14" i="51"/>
  <c r="V32" i="51"/>
  <c r="V668" i="51"/>
  <c r="X656" i="51"/>
  <c r="Z204" i="51"/>
  <c r="X303" i="51"/>
  <c r="Y531" i="51"/>
  <c r="X294" i="51"/>
  <c r="Y220" i="51"/>
  <c r="Z328" i="51"/>
  <c r="AA318" i="51"/>
  <c r="AA550" i="51"/>
  <c r="W297" i="51"/>
  <c r="Y114" i="51"/>
  <c r="W112" i="51"/>
  <c r="X688" i="51"/>
  <c r="AA296" i="51"/>
  <c r="AA22" i="51"/>
  <c r="X22" i="51"/>
  <c r="AA688" i="51"/>
  <c r="AA403" i="51"/>
  <c r="Y132" i="51"/>
  <c r="AA118" i="51"/>
  <c r="AA524" i="51"/>
  <c r="Z654" i="51"/>
  <c r="W535" i="51"/>
  <c r="Y34" i="51"/>
  <c r="Y138" i="51"/>
  <c r="W39" i="51"/>
  <c r="X29" i="51"/>
  <c r="AM329" i="51"/>
  <c r="AO692" i="51"/>
  <c r="AQ692" i="51"/>
  <c r="AN178" i="51"/>
  <c r="AN185" i="51"/>
  <c r="AM692" i="51"/>
  <c r="AM698" i="51" s="1" a="1"/>
  <c r="AM733" i="51" s="1"/>
  <c r="AN166" i="51"/>
  <c r="AN420" i="51"/>
  <c r="AM335" i="51" a="1"/>
  <c r="AR329" i="51"/>
  <c r="AQ329" i="51"/>
  <c r="AO420" i="51"/>
  <c r="AP420" i="51"/>
  <c r="AP52" i="51"/>
  <c r="AP58" i="51" s="1" a="1"/>
  <c r="AQ556" i="51"/>
  <c r="AP556" i="51"/>
  <c r="AR556" i="51"/>
  <c r="AQ420" i="51"/>
  <c r="AP329" i="51"/>
  <c r="AR52" i="51"/>
  <c r="AM721" i="51"/>
  <c r="AN186" i="51"/>
  <c r="AN172" i="51"/>
  <c r="AM420" i="51"/>
  <c r="AM426" i="51" s="1" a="1"/>
  <c r="AN556" i="51"/>
  <c r="Y405" i="51"/>
  <c r="Z391" i="51"/>
  <c r="Z396" i="51"/>
  <c r="X389" i="51"/>
  <c r="X388" i="51"/>
  <c r="X398" i="51"/>
  <c r="V401" i="51"/>
  <c r="Z383" i="51"/>
  <c r="AA414" i="51"/>
  <c r="X395" i="51"/>
  <c r="X387" i="51"/>
  <c r="Z397" i="51"/>
  <c r="AA392" i="51"/>
  <c r="X402" i="51"/>
  <c r="Y419" i="51"/>
  <c r="X401" i="51"/>
  <c r="V392" i="51"/>
  <c r="W418" i="51"/>
  <c r="X382" i="51"/>
  <c r="V394" i="51"/>
  <c r="Z384" i="51"/>
  <c r="V393" i="51"/>
  <c r="Y395" i="51"/>
  <c r="X407" i="51"/>
  <c r="W412" i="51"/>
  <c r="Y389" i="51"/>
  <c r="AA384" i="51"/>
  <c r="Z416" i="51"/>
  <c r="W382" i="51"/>
  <c r="X394" i="51"/>
  <c r="V386" i="51"/>
  <c r="X403" i="51"/>
  <c r="X419" i="51"/>
  <c r="Z399" i="51"/>
  <c r="AA404" i="51"/>
  <c r="X383" i="51"/>
  <c r="Z412" i="51"/>
  <c r="Y407" i="51"/>
  <c r="Y417" i="51"/>
  <c r="W388" i="51"/>
  <c r="Z385" i="51"/>
  <c r="X396" i="51"/>
  <c r="AA390" i="51"/>
  <c r="X390" i="51"/>
  <c r="Y409" i="51"/>
  <c r="W410" i="51"/>
  <c r="Y399" i="51"/>
  <c r="W414" i="51"/>
  <c r="V410" i="51"/>
  <c r="V400" i="51"/>
  <c r="X397" i="51"/>
  <c r="Y398" i="51"/>
  <c r="V407" i="51"/>
  <c r="W390" i="51"/>
  <c r="Z392" i="51"/>
  <c r="Z389" i="51"/>
  <c r="Z409" i="51"/>
  <c r="AA387" i="51"/>
  <c r="AA398" i="51"/>
  <c r="X413" i="51"/>
  <c r="W400" i="51"/>
  <c r="V414" i="51"/>
  <c r="W408" i="51"/>
  <c r="Y402" i="51"/>
  <c r="Z411" i="51"/>
  <c r="V409" i="51"/>
  <c r="Z413" i="51"/>
  <c r="Z406" i="51"/>
  <c r="W416" i="51"/>
  <c r="V398" i="51"/>
  <c r="V412" i="51"/>
  <c r="Y414" i="51"/>
  <c r="AA418" i="51"/>
  <c r="Z408" i="51"/>
  <c r="W395" i="51"/>
  <c r="V404" i="51"/>
  <c r="X411" i="51"/>
  <c r="Z410" i="51"/>
  <c r="Y403" i="51"/>
  <c r="Y382" i="51"/>
  <c r="W419" i="51"/>
  <c r="Y401" i="51"/>
  <c r="V390" i="51"/>
  <c r="Z401" i="51"/>
  <c r="V416" i="51"/>
  <c r="Y397" i="51"/>
  <c r="W394" i="51"/>
  <c r="Y385" i="51"/>
  <c r="V388" i="51"/>
  <c r="V402" i="51"/>
  <c r="V403" i="51"/>
  <c r="W391" i="51"/>
  <c r="Y416" i="51"/>
  <c r="AA401" i="51"/>
  <c r="W397" i="51"/>
  <c r="Y408" i="51"/>
  <c r="W387" i="51"/>
  <c r="Y387" i="51"/>
  <c r="V406" i="51"/>
  <c r="Z394" i="51"/>
  <c r="X418" i="51"/>
  <c r="AN692" i="51"/>
  <c r="AN698" i="51" s="1" a="1"/>
  <c r="Y412" i="51"/>
  <c r="Z386" i="51"/>
  <c r="V391" i="51"/>
  <c r="W396" i="51"/>
  <c r="AM238" i="51"/>
  <c r="AM244" i="51" s="1" a="1"/>
  <c r="AM704" i="51"/>
  <c r="AN155" i="51"/>
  <c r="AN184" i="51"/>
  <c r="AP692" i="51"/>
  <c r="X35" i="51"/>
  <c r="Y37" i="51"/>
  <c r="W137" i="51"/>
  <c r="V28" i="51"/>
  <c r="Y40" i="51"/>
  <c r="Y28" i="51"/>
  <c r="X124" i="51"/>
  <c r="X19" i="51"/>
  <c r="AA39" i="51"/>
  <c r="Y291" i="51"/>
  <c r="W295" i="51"/>
  <c r="W311" i="51"/>
  <c r="AA328" i="51"/>
  <c r="AA303" i="51"/>
  <c r="Z320" i="51"/>
  <c r="Z298" i="51"/>
  <c r="Y117" i="51"/>
  <c r="V122" i="51"/>
  <c r="Z319" i="51"/>
  <c r="V111" i="51"/>
  <c r="V22" i="51"/>
  <c r="X117" i="51"/>
  <c r="V109" i="51"/>
  <c r="X17" i="51"/>
  <c r="V306" i="51"/>
  <c r="Z114" i="51"/>
  <c r="X132" i="51"/>
  <c r="Y21" i="51"/>
  <c r="W30" i="51"/>
  <c r="V293" i="51"/>
  <c r="AA138" i="51"/>
  <c r="AA141" i="51"/>
  <c r="X42" i="51"/>
  <c r="AA314" i="51"/>
  <c r="AA293" i="51"/>
  <c r="Z297" i="51"/>
  <c r="W294" i="51"/>
  <c r="W120" i="51"/>
  <c r="AA137" i="51"/>
  <c r="Z140" i="51"/>
  <c r="Y38" i="51"/>
  <c r="Y133" i="51"/>
  <c r="V116" i="51"/>
  <c r="Z123" i="51"/>
  <c r="X21" i="51"/>
  <c r="Y23" i="51"/>
  <c r="AA41" i="51"/>
  <c r="V33" i="51"/>
  <c r="V134" i="51"/>
  <c r="AA144" i="51"/>
  <c r="X47" i="51"/>
  <c r="AA25" i="51"/>
  <c r="W325" i="51"/>
  <c r="W33" i="51"/>
  <c r="AA128" i="51"/>
  <c r="X134" i="51"/>
  <c r="X38" i="51"/>
  <c r="AA110" i="51"/>
  <c r="Y325" i="51"/>
  <c r="V319" i="51"/>
  <c r="AA237" i="51"/>
  <c r="Z214" i="51"/>
  <c r="X206" i="51"/>
  <c r="V200" i="51"/>
  <c r="X224" i="51"/>
  <c r="V23" i="51"/>
  <c r="Y134" i="51"/>
  <c r="AA540" i="51"/>
  <c r="X302" i="51"/>
  <c r="X681" i="51"/>
  <c r="Z678" i="51"/>
  <c r="Z523" i="51"/>
  <c r="W684" i="51"/>
  <c r="Y662" i="51"/>
  <c r="Z318" i="51"/>
  <c r="V327" i="51"/>
  <c r="W208" i="51"/>
  <c r="Z536" i="51"/>
  <c r="Z115" i="51"/>
  <c r="V25" i="51"/>
  <c r="Z312" i="51"/>
  <c r="AA34" i="51"/>
  <c r="AA545" i="51"/>
  <c r="AA685" i="51"/>
  <c r="AA523" i="51"/>
  <c r="W322" i="51"/>
  <c r="Y234" i="51"/>
  <c r="AA666" i="51"/>
  <c r="V656" i="51"/>
  <c r="W673" i="51"/>
  <c r="V34" i="51"/>
  <c r="V518" i="51"/>
  <c r="AA659" i="51"/>
  <c r="Y41" i="51"/>
  <c r="X129" i="51"/>
  <c r="V113" i="51"/>
  <c r="Y44" i="51"/>
  <c r="X299" i="51"/>
  <c r="AA114" i="51"/>
  <c r="X49" i="51"/>
  <c r="X311" i="51"/>
  <c r="AA662" i="51"/>
  <c r="AA203" i="51"/>
  <c r="Y307" i="51"/>
  <c r="X128" i="51"/>
  <c r="X48" i="51"/>
  <c r="W125" i="51"/>
  <c r="Z520" i="51"/>
  <c r="X684" i="51"/>
  <c r="Y218" i="51"/>
  <c r="X678" i="51"/>
  <c r="AA548" i="51"/>
  <c r="Z49" i="51"/>
  <c r="X219" i="51"/>
  <c r="W127" i="51"/>
  <c r="V112" i="51"/>
  <c r="X126" i="51"/>
  <c r="V532" i="51"/>
  <c r="W303" i="51"/>
  <c r="W302" i="51"/>
  <c r="X39" i="51"/>
  <c r="Z131" i="51"/>
  <c r="Y204" i="51"/>
  <c r="AA531" i="51"/>
  <c r="W143" i="51"/>
  <c r="Y121" i="51"/>
  <c r="X46" i="51"/>
  <c r="Z551" i="51"/>
  <c r="AA546" i="51"/>
  <c r="X531" i="51"/>
  <c r="AA295" i="51"/>
  <c r="W28" i="51"/>
  <c r="Y130" i="51"/>
  <c r="AA33" i="51"/>
  <c r="AA27" i="51"/>
  <c r="Y22" i="51"/>
  <c r="W17" i="51"/>
  <c r="Y45" i="51"/>
  <c r="Y24" i="51"/>
  <c r="AA21" i="51"/>
  <c r="V21" i="51"/>
  <c r="W314" i="51"/>
  <c r="W122" i="51"/>
  <c r="V127" i="51"/>
  <c r="V114" i="51"/>
  <c r="AA24" i="51"/>
  <c r="Z31" i="51"/>
  <c r="V37" i="51"/>
  <c r="AA301" i="51"/>
  <c r="X326" i="51"/>
  <c r="AA300" i="51"/>
  <c r="X292" i="51"/>
  <c r="V326" i="51"/>
  <c r="X142" i="51"/>
  <c r="Y116" i="51"/>
  <c r="X120" i="51"/>
  <c r="Y49" i="51"/>
  <c r="X16" i="51"/>
  <c r="W301" i="51"/>
  <c r="W18" i="51"/>
  <c r="Y36" i="51"/>
  <c r="Z27" i="51"/>
  <c r="Y316" i="51"/>
  <c r="W316" i="51"/>
  <c r="AA124" i="51"/>
  <c r="W135" i="51"/>
  <c r="V42" i="51"/>
  <c r="Z21" i="51"/>
  <c r="V130" i="51"/>
  <c r="X110" i="51"/>
  <c r="W34" i="51"/>
  <c r="W309" i="51"/>
  <c r="Z33" i="51"/>
  <c r="AA37" i="51"/>
  <c r="AA308" i="51"/>
  <c r="X308" i="51"/>
  <c r="W48" i="51"/>
  <c r="AA316" i="51"/>
  <c r="X235" i="51"/>
  <c r="W116" i="51"/>
  <c r="X305" i="51"/>
  <c r="V297" i="51"/>
  <c r="V222" i="51"/>
  <c r="AA236" i="51"/>
  <c r="AA299" i="51"/>
  <c r="W231" i="51"/>
  <c r="AA51" i="51"/>
  <c r="Z112" i="51"/>
  <c r="Z42" i="51"/>
  <c r="Y128" i="51"/>
  <c r="W305" i="51"/>
  <c r="AA48" i="51"/>
  <c r="AA233" i="51"/>
  <c r="X324" i="51"/>
  <c r="Z305" i="51"/>
  <c r="X205" i="51"/>
  <c r="W41" i="51"/>
  <c r="V137" i="51"/>
  <c r="Z543" i="51"/>
  <c r="V316" i="51"/>
  <c r="Y526" i="51"/>
  <c r="X125" i="51"/>
  <c r="V123" i="51"/>
  <c r="AA31" i="51"/>
  <c r="AA44" i="51"/>
  <c r="X539" i="51"/>
  <c r="W227" i="51"/>
  <c r="V44" i="51"/>
  <c r="AA228" i="51"/>
  <c r="Y14" i="51"/>
  <c r="X521" i="51"/>
  <c r="AA112" i="51"/>
  <c r="V43" i="51"/>
  <c r="X202" i="51"/>
  <c r="V540" i="51"/>
  <c r="W310" i="51"/>
  <c r="AA672" i="51"/>
  <c r="Z667" i="51"/>
  <c r="AA691" i="51"/>
  <c r="V314" i="51"/>
  <c r="Z20" i="51"/>
  <c r="X307" i="51"/>
  <c r="V121" i="51"/>
  <c r="W27" i="51"/>
  <c r="AA530" i="51"/>
  <c r="X143" i="51"/>
  <c r="W134" i="51"/>
  <c r="X677" i="51"/>
  <c r="Y542" i="51"/>
  <c r="W233" i="51"/>
  <c r="AA29" i="51"/>
  <c r="Z18" i="51"/>
  <c r="AA49" i="51"/>
  <c r="X234" i="51"/>
  <c r="X200" i="51"/>
  <c r="Y527" i="51"/>
  <c r="AA15" i="51"/>
  <c r="Z296" i="51"/>
  <c r="Y31" i="51"/>
  <c r="W293" i="51"/>
  <c r="AQ698" i="51" a="1"/>
  <c r="AP426" i="51" a="1"/>
  <c r="AP438" i="51" s="1"/>
  <c r="AO335" i="51" a="1"/>
  <c r="AO175" i="51"/>
  <c r="AO160" i="51"/>
  <c r="AO185" i="51"/>
  <c r="AO163" i="51"/>
  <c r="AN244" i="51" a="1"/>
  <c r="AN270" i="51" s="1"/>
  <c r="E362" i="49"/>
  <c r="F372" i="49"/>
  <c r="E364" i="49"/>
  <c r="F374" i="49"/>
  <c r="F356" i="49"/>
  <c r="E367" i="49"/>
  <c r="F388" i="49"/>
  <c r="I358" i="49"/>
  <c r="E369" i="49"/>
  <c r="E359" i="49"/>
  <c r="F364" i="49"/>
  <c r="E370" i="49"/>
  <c r="F380" i="49"/>
  <c r="G360" i="49"/>
  <c r="E356" i="49"/>
  <c r="E361" i="49"/>
  <c r="F382" i="49"/>
  <c r="G368" i="49"/>
  <c r="I356" i="49"/>
  <c r="E527" i="49"/>
  <c r="D206" i="58"/>
  <c r="D218" i="58"/>
  <c r="D230" i="58"/>
  <c r="D197" i="58"/>
  <c r="D201" i="58"/>
  <c r="D205" i="58"/>
  <c r="D209" i="58"/>
  <c r="D213" i="58"/>
  <c r="D217" i="58"/>
  <c r="D221" i="58"/>
  <c r="D225" i="58"/>
  <c r="D229" i="58"/>
  <c r="D202" i="58"/>
  <c r="D210" i="58"/>
  <c r="D222" i="58"/>
  <c r="D195" i="58"/>
  <c r="D199" i="58"/>
  <c r="D203" i="58"/>
  <c r="D207" i="58"/>
  <c r="D211" i="58"/>
  <c r="D215" i="58"/>
  <c r="D219" i="58"/>
  <c r="D223" i="58"/>
  <c r="D227" i="58"/>
  <c r="D231" i="58"/>
  <c r="D198" i="58"/>
  <c r="D214" i="58"/>
  <c r="D226" i="58"/>
  <c r="D196" i="58"/>
  <c r="D200" i="58"/>
  <c r="D204" i="58"/>
  <c r="D208" i="58"/>
  <c r="D212" i="58"/>
  <c r="D216" i="58"/>
  <c r="D220" i="58"/>
  <c r="D224" i="58"/>
  <c r="D228" i="58"/>
  <c r="D158" i="58"/>
  <c r="D182" i="58"/>
  <c r="D147" i="58"/>
  <c r="D151" i="58"/>
  <c r="D155" i="58"/>
  <c r="D159" i="58"/>
  <c r="D163" i="58"/>
  <c r="D167" i="58"/>
  <c r="D171" i="58"/>
  <c r="D175" i="58"/>
  <c r="D179" i="58"/>
  <c r="D183" i="58"/>
  <c r="D149" i="58"/>
  <c r="D153" i="58"/>
  <c r="D157" i="58"/>
  <c r="D161" i="58"/>
  <c r="D165" i="58"/>
  <c r="D169" i="58"/>
  <c r="D173" i="58"/>
  <c r="D177" i="58"/>
  <c r="D181" i="58"/>
  <c r="D150" i="58"/>
  <c r="D154" i="58"/>
  <c r="D162" i="58"/>
  <c r="D166" i="58"/>
  <c r="D170" i="58"/>
  <c r="D174" i="58"/>
  <c r="D178" i="58"/>
  <c r="D148" i="58"/>
  <c r="D152" i="58"/>
  <c r="D156" i="58"/>
  <c r="D160" i="58"/>
  <c r="D164" i="58"/>
  <c r="D168" i="58"/>
  <c r="D172" i="58"/>
  <c r="D176" i="58"/>
  <c r="D180" i="58"/>
  <c r="D106" i="58"/>
  <c r="D110" i="58"/>
  <c r="D114" i="58"/>
  <c r="D118" i="58"/>
  <c r="D122" i="58"/>
  <c r="D126" i="58"/>
  <c r="D130" i="58"/>
  <c r="D134" i="58"/>
  <c r="D138" i="58"/>
  <c r="D109" i="58"/>
  <c r="D113" i="58"/>
  <c r="D117" i="58"/>
  <c r="D121" i="58"/>
  <c r="D125" i="58"/>
  <c r="D129" i="58"/>
  <c r="D137" i="58"/>
  <c r="D103" i="58"/>
  <c r="D107" i="58"/>
  <c r="D111" i="58"/>
  <c r="D115" i="58"/>
  <c r="D119" i="58"/>
  <c r="D123" i="58"/>
  <c r="D127" i="58"/>
  <c r="D131" i="58"/>
  <c r="D135" i="58"/>
  <c r="D139" i="58"/>
  <c r="D105" i="58"/>
  <c r="D133" i="58"/>
  <c r="D104" i="58"/>
  <c r="D108" i="58"/>
  <c r="D112" i="58"/>
  <c r="D116" i="58"/>
  <c r="D120" i="58"/>
  <c r="D124" i="58"/>
  <c r="D128" i="58"/>
  <c r="D132" i="58"/>
  <c r="D136" i="58"/>
  <c r="D58" i="58"/>
  <c r="D60" i="58"/>
  <c r="D64" i="58"/>
  <c r="D68" i="58"/>
  <c r="D61" i="58"/>
  <c r="D65" i="58"/>
  <c r="D69" i="58"/>
  <c r="D73" i="58"/>
  <c r="D77" i="58"/>
  <c r="D81" i="58"/>
  <c r="D85" i="58"/>
  <c r="D89" i="58"/>
  <c r="D93" i="58"/>
  <c r="D72" i="58"/>
  <c r="D76" i="58"/>
  <c r="D80" i="58"/>
  <c r="D84" i="58"/>
  <c r="D88" i="58"/>
  <c r="D92" i="58"/>
  <c r="D62" i="58"/>
  <c r="D66" i="58"/>
  <c r="D70" i="58"/>
  <c r="D74" i="58"/>
  <c r="D78" i="58"/>
  <c r="D82" i="58"/>
  <c r="D86" i="58"/>
  <c r="D90" i="58"/>
  <c r="D94" i="58"/>
  <c r="D59" i="58"/>
  <c r="D63" i="58"/>
  <c r="D67" i="58"/>
  <c r="D71" i="58"/>
  <c r="D75" i="58"/>
  <c r="D79" i="58"/>
  <c r="D83" i="58"/>
  <c r="D87" i="58"/>
  <c r="D91" i="58"/>
  <c r="C612" i="51"/>
  <c r="C620" i="51"/>
  <c r="C628" i="51"/>
  <c r="C636" i="51"/>
  <c r="C607" i="51"/>
  <c r="C615" i="51"/>
  <c r="C623" i="51"/>
  <c r="C631" i="51"/>
  <c r="C639" i="51"/>
  <c r="C608" i="51"/>
  <c r="C616" i="51"/>
  <c r="C624" i="51"/>
  <c r="C632" i="51"/>
  <c r="C640" i="51"/>
  <c r="C611" i="51"/>
  <c r="C619" i="51"/>
  <c r="C627" i="51"/>
  <c r="C635" i="51"/>
  <c r="C643" i="51"/>
  <c r="C609" i="51"/>
  <c r="C613" i="51"/>
  <c r="C617" i="51"/>
  <c r="C621" i="51"/>
  <c r="C625" i="51"/>
  <c r="C629" i="51"/>
  <c r="C633" i="51"/>
  <c r="C637" i="51"/>
  <c r="C641" i="51"/>
  <c r="C606" i="51"/>
  <c r="C610" i="51"/>
  <c r="C614" i="51"/>
  <c r="C618" i="51"/>
  <c r="C622" i="51"/>
  <c r="C626" i="51"/>
  <c r="C630" i="51"/>
  <c r="C634" i="51"/>
  <c r="C638" i="51"/>
  <c r="D36" i="58"/>
  <c r="D28" i="58"/>
  <c r="D16" i="58"/>
  <c r="D47" i="58"/>
  <c r="D43" i="58"/>
  <c r="D39" i="58"/>
  <c r="D35" i="58"/>
  <c r="D31" i="58"/>
  <c r="D27" i="58"/>
  <c r="D23" i="58"/>
  <c r="D19" i="58"/>
  <c r="D15" i="58"/>
  <c r="D44" i="58"/>
  <c r="D24" i="58"/>
  <c r="D50" i="58"/>
  <c r="D46" i="58"/>
  <c r="D42" i="58"/>
  <c r="D38" i="58"/>
  <c r="D34" i="58"/>
  <c r="D30" i="58"/>
  <c r="D26" i="58"/>
  <c r="D22" i="58"/>
  <c r="D18" i="58"/>
  <c r="D14" i="58"/>
  <c r="D48" i="58"/>
  <c r="D40" i="58"/>
  <c r="D32" i="58"/>
  <c r="D20" i="58"/>
  <c r="D49" i="58"/>
  <c r="D45" i="58"/>
  <c r="D41" i="58"/>
  <c r="D37" i="58"/>
  <c r="D33" i="58"/>
  <c r="D29" i="58"/>
  <c r="D25" i="58"/>
  <c r="D21" i="58"/>
  <c r="D17" i="58"/>
  <c r="C657" i="51"/>
  <c r="C661" i="51"/>
  <c r="C665" i="51"/>
  <c r="C669" i="51"/>
  <c r="C673" i="51"/>
  <c r="C677" i="51"/>
  <c r="C681" i="51"/>
  <c r="C685" i="51"/>
  <c r="C689" i="51"/>
  <c r="C654" i="51"/>
  <c r="C658" i="51"/>
  <c r="C662" i="51"/>
  <c r="C666" i="51"/>
  <c r="C670" i="51"/>
  <c r="C674" i="51"/>
  <c r="C678" i="51"/>
  <c r="C682" i="51"/>
  <c r="C686" i="51"/>
  <c r="C690" i="51"/>
  <c r="C656" i="51"/>
  <c r="C660" i="51"/>
  <c r="C664" i="51"/>
  <c r="C668" i="51"/>
  <c r="C672" i="51"/>
  <c r="C676" i="51"/>
  <c r="C680" i="51"/>
  <c r="C684" i="51"/>
  <c r="C688" i="51"/>
  <c r="C655" i="51"/>
  <c r="C659" i="51"/>
  <c r="C663" i="51"/>
  <c r="C667" i="51"/>
  <c r="C671" i="51"/>
  <c r="C675" i="51"/>
  <c r="C679" i="51"/>
  <c r="C683" i="51"/>
  <c r="C687" i="51"/>
  <c r="C483" i="49"/>
  <c r="C503" i="49"/>
  <c r="C361" i="49"/>
  <c r="C487" i="49"/>
  <c r="C507" i="49"/>
  <c r="C393" i="49"/>
  <c r="C372" i="49"/>
  <c r="C491" i="49"/>
  <c r="C515" i="49"/>
  <c r="C384" i="49"/>
  <c r="C499" i="49"/>
  <c r="C519" i="49"/>
  <c r="H393" i="49"/>
  <c r="G370" i="49"/>
  <c r="G362" i="49"/>
  <c r="G358" i="49"/>
  <c r="H392" i="49"/>
  <c r="H388" i="49"/>
  <c r="H384" i="49"/>
  <c r="H380" i="49"/>
  <c r="H376" i="49"/>
  <c r="H372" i="49"/>
  <c r="H368" i="49"/>
  <c r="H364" i="49"/>
  <c r="H360" i="49"/>
  <c r="H356" i="49"/>
  <c r="H362" i="49"/>
  <c r="H370" i="49"/>
  <c r="H378" i="49"/>
  <c r="H390" i="49"/>
  <c r="C356" i="49"/>
  <c r="C368" i="49"/>
  <c r="C377" i="49"/>
  <c r="G356" i="49"/>
  <c r="G364" i="49"/>
  <c r="C391" i="49"/>
  <c r="C389" i="49"/>
  <c r="C381" i="49"/>
  <c r="C373" i="49"/>
  <c r="C365" i="49"/>
  <c r="C357" i="49"/>
  <c r="C364" i="49"/>
  <c r="C376" i="49"/>
  <c r="C385" i="49"/>
  <c r="C360" i="49"/>
  <c r="C369" i="49"/>
  <c r="C380" i="49"/>
  <c r="C392" i="49"/>
  <c r="H358" i="49"/>
  <c r="H374" i="49"/>
  <c r="H382" i="49"/>
  <c r="E357" i="49"/>
  <c r="E360" i="49"/>
  <c r="F362" i="49"/>
  <c r="E365" i="49"/>
  <c r="E368" i="49"/>
  <c r="F370" i="49"/>
  <c r="F378" i="49"/>
  <c r="F386" i="49"/>
  <c r="I360" i="49"/>
  <c r="I368" i="49"/>
  <c r="C495" i="49"/>
  <c r="C511" i="49"/>
  <c r="E531" i="49"/>
  <c r="E358" i="49"/>
  <c r="F360" i="49"/>
  <c r="E363" i="49"/>
  <c r="F368" i="49"/>
  <c r="F376" i="49"/>
  <c r="F384" i="49"/>
  <c r="I362" i="49"/>
  <c r="I370" i="49"/>
  <c r="E535" i="49"/>
  <c r="E539" i="49"/>
  <c r="F528" i="49"/>
  <c r="F532" i="49"/>
  <c r="F536" i="49"/>
  <c r="F540" i="49"/>
  <c r="F544" i="49"/>
  <c r="F548" i="49"/>
  <c r="F552" i="49"/>
  <c r="F556" i="49"/>
  <c r="F560" i="49"/>
  <c r="F564" i="49"/>
  <c r="E541" i="49"/>
  <c r="E542" i="49"/>
  <c r="E540" i="49"/>
  <c r="E538" i="49"/>
  <c r="E536" i="49"/>
  <c r="E534" i="49"/>
  <c r="E532" i="49"/>
  <c r="E530" i="49"/>
  <c r="E528" i="49"/>
  <c r="F563" i="49"/>
  <c r="F561" i="49"/>
  <c r="F557" i="49"/>
  <c r="F555" i="49"/>
  <c r="F553" i="49"/>
  <c r="F551" i="49"/>
  <c r="F549" i="49"/>
  <c r="F547" i="49"/>
  <c r="F545" i="49"/>
  <c r="F543" i="49"/>
  <c r="F541" i="49"/>
  <c r="F539" i="49"/>
  <c r="F535" i="49"/>
  <c r="F533" i="49"/>
  <c r="F529" i="49"/>
  <c r="F527" i="49"/>
  <c r="F530" i="49"/>
  <c r="F534" i="49"/>
  <c r="F538" i="49"/>
  <c r="F542" i="49"/>
  <c r="F546" i="49"/>
  <c r="F550" i="49"/>
  <c r="F554" i="49"/>
  <c r="F558" i="49"/>
  <c r="F562" i="49"/>
  <c r="F531" i="49"/>
  <c r="F537" i="49"/>
  <c r="E529" i="49"/>
  <c r="E533" i="49"/>
  <c r="F559" i="49"/>
  <c r="C530" i="49"/>
  <c r="C534" i="49"/>
  <c r="C538" i="49"/>
  <c r="C542" i="49"/>
  <c r="C546" i="49"/>
  <c r="C550" i="49"/>
  <c r="C554" i="49"/>
  <c r="C558" i="49"/>
  <c r="C562" i="49"/>
  <c r="C484" i="49"/>
  <c r="C488" i="49"/>
  <c r="C492" i="49"/>
  <c r="C496" i="49"/>
  <c r="C500" i="49"/>
  <c r="C504" i="49"/>
  <c r="C508" i="49"/>
  <c r="C512" i="49"/>
  <c r="C516" i="49"/>
  <c r="C527" i="49"/>
  <c r="C531" i="49"/>
  <c r="C535" i="49"/>
  <c r="C539" i="49"/>
  <c r="C543" i="49"/>
  <c r="C547" i="49"/>
  <c r="C551" i="49"/>
  <c r="C555" i="49"/>
  <c r="C559" i="49"/>
  <c r="C563" i="49"/>
  <c r="C485" i="49"/>
  <c r="C489" i="49"/>
  <c r="C493" i="49"/>
  <c r="C497" i="49"/>
  <c r="C501" i="49"/>
  <c r="C505" i="49"/>
  <c r="C509" i="49"/>
  <c r="C513" i="49"/>
  <c r="C517" i="49"/>
  <c r="C528" i="49"/>
  <c r="C532" i="49"/>
  <c r="C536" i="49"/>
  <c r="C540" i="49"/>
  <c r="C544" i="49"/>
  <c r="C548" i="49"/>
  <c r="C552" i="49"/>
  <c r="C556" i="49"/>
  <c r="C560" i="49"/>
  <c r="C564" i="49"/>
  <c r="C482" i="49"/>
  <c r="C486" i="49"/>
  <c r="C490" i="49"/>
  <c r="C494" i="49"/>
  <c r="C498" i="49"/>
  <c r="C502" i="49"/>
  <c r="C506" i="49"/>
  <c r="C510" i="49"/>
  <c r="C514" i="49"/>
  <c r="C529" i="49"/>
  <c r="C533" i="49"/>
  <c r="C537" i="49"/>
  <c r="C541" i="49"/>
  <c r="C545" i="49"/>
  <c r="C549" i="49"/>
  <c r="C553" i="49"/>
  <c r="C557" i="49"/>
  <c r="F363" i="49"/>
  <c r="F365" i="49"/>
  <c r="F367" i="49"/>
  <c r="F369" i="49"/>
  <c r="F371" i="49"/>
  <c r="F373" i="49"/>
  <c r="F375" i="49"/>
  <c r="F377" i="49"/>
  <c r="F379" i="49"/>
  <c r="F381" i="49"/>
  <c r="F383" i="49"/>
  <c r="F385" i="49"/>
  <c r="F387" i="49"/>
  <c r="F389" i="49"/>
  <c r="F391" i="49"/>
  <c r="F393" i="49"/>
  <c r="G357" i="49"/>
  <c r="G359" i="49"/>
  <c r="G361" i="49"/>
  <c r="G363" i="49"/>
  <c r="G365" i="49"/>
  <c r="G367" i="49"/>
  <c r="G369" i="49"/>
  <c r="G371" i="49"/>
  <c r="J356" i="49"/>
  <c r="J358" i="49"/>
  <c r="J360" i="49"/>
  <c r="J362" i="49"/>
  <c r="J364" i="49"/>
  <c r="J368" i="49"/>
  <c r="J370" i="49"/>
  <c r="J372" i="49"/>
  <c r="J374" i="49"/>
  <c r="J376" i="49"/>
  <c r="J378" i="49"/>
  <c r="J380" i="49"/>
  <c r="J382" i="49"/>
  <c r="J384" i="49"/>
  <c r="J386" i="49"/>
  <c r="J388" i="49"/>
  <c r="J390" i="49"/>
  <c r="J392" i="49"/>
  <c r="K356" i="49"/>
  <c r="K358" i="49"/>
  <c r="K360" i="49"/>
  <c r="K362" i="49"/>
  <c r="K364" i="49"/>
  <c r="K368" i="49"/>
  <c r="K370" i="49"/>
  <c r="H357" i="49"/>
  <c r="H359" i="49"/>
  <c r="H361" i="49"/>
  <c r="H363" i="49"/>
  <c r="H365" i="49"/>
  <c r="H367" i="49"/>
  <c r="H369" i="49"/>
  <c r="H371" i="49"/>
  <c r="H373" i="49"/>
  <c r="H375" i="49"/>
  <c r="H377" i="49"/>
  <c r="H379" i="49"/>
  <c r="H381" i="49"/>
  <c r="H383" i="49"/>
  <c r="H385" i="49"/>
  <c r="H387" i="49"/>
  <c r="H389" i="49"/>
  <c r="H391" i="49"/>
  <c r="I357" i="49"/>
  <c r="I359" i="49"/>
  <c r="I361" i="49"/>
  <c r="I363" i="49"/>
  <c r="I365" i="49"/>
  <c r="I367" i="49"/>
  <c r="I369" i="49"/>
  <c r="I371" i="49"/>
  <c r="L356" i="49"/>
  <c r="L358" i="49"/>
  <c r="L360" i="49"/>
  <c r="L362" i="49"/>
  <c r="L364" i="49"/>
  <c r="L368" i="49"/>
  <c r="L370" i="49"/>
  <c r="L372" i="49"/>
  <c r="L374" i="49"/>
  <c r="L376" i="49"/>
  <c r="L378" i="49"/>
  <c r="L380" i="49"/>
  <c r="L382" i="49"/>
  <c r="L384" i="49"/>
  <c r="L386" i="49"/>
  <c r="L388" i="49"/>
  <c r="L390" i="49"/>
  <c r="L392" i="49"/>
  <c r="F390" i="49"/>
  <c r="F392" i="49"/>
  <c r="J357" i="49"/>
  <c r="J359" i="49"/>
  <c r="J361" i="49"/>
  <c r="J363" i="49"/>
  <c r="J365" i="49"/>
  <c r="J367" i="49"/>
  <c r="J369" i="49"/>
  <c r="J371" i="49"/>
  <c r="J373" i="49"/>
  <c r="J375" i="49"/>
  <c r="J377" i="49"/>
  <c r="J379" i="49"/>
  <c r="J381" i="49"/>
  <c r="J383" i="49"/>
  <c r="J385" i="49"/>
  <c r="J387" i="49"/>
  <c r="J389" i="49"/>
  <c r="J391" i="49"/>
  <c r="J393" i="49"/>
  <c r="K357" i="49"/>
  <c r="K359" i="49"/>
  <c r="K361" i="49"/>
  <c r="K363" i="49"/>
  <c r="K365" i="49"/>
  <c r="K367" i="49"/>
  <c r="K369" i="49"/>
  <c r="K371" i="49"/>
  <c r="L357" i="49"/>
  <c r="L359" i="49"/>
  <c r="L361" i="49"/>
  <c r="L363" i="49"/>
  <c r="L365" i="49"/>
  <c r="L367" i="49"/>
  <c r="L369" i="49"/>
  <c r="L371" i="49"/>
  <c r="L373" i="49"/>
  <c r="L375" i="49"/>
  <c r="L377" i="49"/>
  <c r="L379" i="49"/>
  <c r="L381" i="49"/>
  <c r="L383" i="49"/>
  <c r="L385" i="49"/>
  <c r="L387" i="49"/>
  <c r="L389" i="49"/>
  <c r="L391" i="49"/>
  <c r="F357" i="49"/>
  <c r="F359" i="49"/>
  <c r="F361" i="49"/>
  <c r="C346" i="49"/>
  <c r="C342" i="49"/>
  <c r="C338" i="49"/>
  <c r="C334" i="49"/>
  <c r="C330" i="49"/>
  <c r="C326" i="49"/>
  <c r="C322" i="49"/>
  <c r="C318" i="49"/>
  <c r="C314" i="49"/>
  <c r="C310" i="49"/>
  <c r="C345" i="49"/>
  <c r="C340" i="49"/>
  <c r="C335" i="49"/>
  <c r="C329" i="49"/>
  <c r="C324" i="49"/>
  <c r="C319" i="49"/>
  <c r="C313" i="49"/>
  <c r="C341" i="49"/>
  <c r="C333" i="49"/>
  <c r="C327" i="49"/>
  <c r="C320" i="49"/>
  <c r="C312" i="49"/>
  <c r="C343" i="49"/>
  <c r="C336" i="49"/>
  <c r="C328" i="49"/>
  <c r="C321" i="49"/>
  <c r="C315" i="49"/>
  <c r="C323" i="49"/>
  <c r="C337" i="49"/>
  <c r="I364" i="49"/>
  <c r="C311" i="49"/>
  <c r="C325" i="49"/>
  <c r="C339" i="49"/>
  <c r="C316" i="49"/>
  <c r="C331" i="49"/>
  <c r="C344" i="49"/>
  <c r="L393" i="49"/>
  <c r="C317" i="49"/>
  <c r="C332" i="49"/>
  <c r="C347" i="49"/>
  <c r="E371" i="49"/>
  <c r="F358" i="49"/>
  <c r="C358" i="49"/>
  <c r="C362" i="49"/>
  <c r="C366" i="49"/>
  <c r="C370" i="49"/>
  <c r="C374" i="49"/>
  <c r="C378" i="49"/>
  <c r="C382" i="49"/>
  <c r="C386" i="49"/>
  <c r="C390" i="49"/>
  <c r="C359" i="49"/>
  <c r="C363" i="49"/>
  <c r="C367" i="49"/>
  <c r="C371" i="49"/>
  <c r="C375" i="49"/>
  <c r="C379" i="49"/>
  <c r="C383" i="49"/>
  <c r="C387" i="49"/>
  <c r="C141" i="49"/>
  <c r="C145" i="49"/>
  <c r="C149" i="49"/>
  <c r="C153" i="49"/>
  <c r="C157" i="49"/>
  <c r="C161" i="49"/>
  <c r="C165" i="49"/>
  <c r="C169" i="49"/>
  <c r="C173" i="49"/>
  <c r="C138" i="49"/>
  <c r="C142" i="49"/>
  <c r="C146" i="49"/>
  <c r="C150" i="49"/>
  <c r="C154" i="49"/>
  <c r="C158" i="49"/>
  <c r="C162" i="49"/>
  <c r="C166" i="49"/>
  <c r="C170" i="49"/>
  <c r="C174" i="49"/>
  <c r="C140" i="49"/>
  <c r="C144" i="49"/>
  <c r="C148" i="49"/>
  <c r="C152" i="49"/>
  <c r="C156" i="49"/>
  <c r="C160" i="49"/>
  <c r="C164" i="49"/>
  <c r="C168" i="49"/>
  <c r="C172" i="49"/>
  <c r="C139" i="49"/>
  <c r="C143" i="49"/>
  <c r="C147" i="49"/>
  <c r="C151" i="49"/>
  <c r="C155" i="49"/>
  <c r="C159" i="49"/>
  <c r="C163" i="49"/>
  <c r="C167" i="49"/>
  <c r="C171" i="49"/>
  <c r="C203" i="49"/>
  <c r="C199" i="49"/>
  <c r="C191" i="49"/>
  <c r="C187" i="49"/>
  <c r="C195" i="49"/>
  <c r="C218" i="49"/>
  <c r="C214" i="49"/>
  <c r="C210" i="49"/>
  <c r="C206" i="49"/>
  <c r="C202" i="49"/>
  <c r="C198" i="49"/>
  <c r="C194" i="49"/>
  <c r="C190" i="49"/>
  <c r="C186" i="49"/>
  <c r="C221" i="49"/>
  <c r="C217" i="49"/>
  <c r="C213" i="49"/>
  <c r="C209" i="49"/>
  <c r="C205" i="49"/>
  <c r="C201" i="49"/>
  <c r="C197" i="49"/>
  <c r="C193" i="49"/>
  <c r="C189" i="49"/>
  <c r="C185" i="49"/>
  <c r="C220" i="49"/>
  <c r="C216" i="49"/>
  <c r="C212" i="49"/>
  <c r="C208" i="49"/>
  <c r="C204" i="49"/>
  <c r="C200" i="49"/>
  <c r="C196" i="49"/>
  <c r="C192" i="49"/>
  <c r="C188" i="49"/>
  <c r="C184" i="49"/>
  <c r="C219" i="49"/>
  <c r="C215" i="49"/>
  <c r="C211" i="49"/>
  <c r="J195" i="49"/>
  <c r="J185" i="49"/>
  <c r="J197" i="49"/>
  <c r="J187" i="49"/>
  <c r="J191" i="49"/>
  <c r="J189" i="49"/>
  <c r="L221" i="49"/>
  <c r="L219" i="49"/>
  <c r="L217" i="49"/>
  <c r="L215" i="49"/>
  <c r="L213" i="49"/>
  <c r="L211" i="49"/>
  <c r="L209" i="49"/>
  <c r="L207" i="49"/>
  <c r="L205" i="49"/>
  <c r="L203" i="49"/>
  <c r="L201" i="49"/>
  <c r="L199" i="49"/>
  <c r="L197" i="49"/>
  <c r="L195" i="49"/>
  <c r="L193" i="49"/>
  <c r="L191" i="49"/>
  <c r="L189" i="49"/>
  <c r="L187" i="49"/>
  <c r="L185" i="49"/>
  <c r="K199" i="49"/>
  <c r="K197" i="49"/>
  <c r="K195" i="49"/>
  <c r="K193" i="49"/>
  <c r="K191" i="49"/>
  <c r="K189" i="49"/>
  <c r="K187" i="49"/>
  <c r="K185" i="49"/>
  <c r="L220" i="49"/>
  <c r="L218" i="49"/>
  <c r="L216" i="49"/>
  <c r="L214" i="49"/>
  <c r="L212" i="49"/>
  <c r="L210" i="49"/>
  <c r="L208" i="49"/>
  <c r="L206" i="49"/>
  <c r="L204" i="49"/>
  <c r="L202" i="49"/>
  <c r="L200" i="49"/>
  <c r="L198" i="49"/>
  <c r="L196" i="49"/>
  <c r="L194" i="49"/>
  <c r="L192" i="49"/>
  <c r="L190" i="49"/>
  <c r="L188" i="49"/>
  <c r="L186" i="49"/>
  <c r="L184" i="49"/>
  <c r="K198" i="49"/>
  <c r="K196" i="49"/>
  <c r="K194" i="49"/>
  <c r="K192" i="49"/>
  <c r="K190" i="49"/>
  <c r="K188" i="49"/>
  <c r="K186" i="49"/>
  <c r="I199" i="49"/>
  <c r="I197" i="49"/>
  <c r="I195" i="49"/>
  <c r="I193" i="49"/>
  <c r="I191" i="49"/>
  <c r="I189" i="49"/>
  <c r="I187" i="49"/>
  <c r="I185" i="49"/>
  <c r="J220" i="49"/>
  <c r="J218" i="49"/>
  <c r="J216" i="49"/>
  <c r="J214" i="49"/>
  <c r="J212" i="49"/>
  <c r="J210" i="49"/>
  <c r="J208" i="49"/>
  <c r="J206" i="49"/>
  <c r="J204" i="49"/>
  <c r="J202" i="49"/>
  <c r="J200" i="49"/>
  <c r="J198" i="49"/>
  <c r="J196" i="49"/>
  <c r="J194" i="49"/>
  <c r="J192" i="49"/>
  <c r="J190" i="49"/>
  <c r="J188" i="49"/>
  <c r="J186" i="49"/>
  <c r="J184" i="49"/>
  <c r="I198" i="49"/>
  <c r="I196" i="49"/>
  <c r="I194" i="49"/>
  <c r="I192" i="49"/>
  <c r="I190" i="49"/>
  <c r="I188" i="49"/>
  <c r="I186" i="49"/>
  <c r="I184" i="49"/>
  <c r="J221" i="49"/>
  <c r="J219" i="49"/>
  <c r="J217" i="49"/>
  <c r="J215" i="49"/>
  <c r="J213" i="49"/>
  <c r="J211" i="49"/>
  <c r="J209" i="49"/>
  <c r="J207" i="49"/>
  <c r="J205" i="49"/>
  <c r="J203" i="49"/>
  <c r="J201" i="49"/>
  <c r="J199" i="49"/>
  <c r="H221" i="49"/>
  <c r="H219" i="49"/>
  <c r="H217" i="49"/>
  <c r="H215" i="49"/>
  <c r="H213" i="49"/>
  <c r="H211" i="49"/>
  <c r="H209" i="49"/>
  <c r="H207" i="49"/>
  <c r="H205" i="49"/>
  <c r="H203" i="49"/>
  <c r="H201" i="49"/>
  <c r="H199" i="49"/>
  <c r="H197" i="49"/>
  <c r="H195" i="49"/>
  <c r="H193" i="49"/>
  <c r="H191" i="49"/>
  <c r="H189" i="49"/>
  <c r="H187" i="49"/>
  <c r="H185" i="49"/>
  <c r="G199" i="49"/>
  <c r="G197" i="49"/>
  <c r="G195" i="49"/>
  <c r="G193" i="49"/>
  <c r="G191" i="49"/>
  <c r="G189" i="49"/>
  <c r="G187" i="49"/>
  <c r="G185" i="49"/>
  <c r="H220" i="49"/>
  <c r="H218" i="49"/>
  <c r="H216" i="49"/>
  <c r="H214" i="49"/>
  <c r="H212" i="49"/>
  <c r="H210" i="49"/>
  <c r="H208" i="49"/>
  <c r="H206" i="49"/>
  <c r="H204" i="49"/>
  <c r="H202" i="49"/>
  <c r="H200" i="49"/>
  <c r="H198" i="49"/>
  <c r="H196" i="49"/>
  <c r="H194" i="49"/>
  <c r="H192" i="49"/>
  <c r="H190" i="49"/>
  <c r="H188" i="49"/>
  <c r="H186" i="49"/>
  <c r="H184" i="49"/>
  <c r="G198" i="49"/>
  <c r="G196" i="49"/>
  <c r="G194" i="49"/>
  <c r="G192" i="49"/>
  <c r="G190" i="49"/>
  <c r="G188" i="49"/>
  <c r="G186" i="49"/>
  <c r="F221" i="49"/>
  <c r="F219" i="49"/>
  <c r="F217" i="49"/>
  <c r="F215" i="49"/>
  <c r="F213" i="49"/>
  <c r="F211" i="49"/>
  <c r="F209" i="49"/>
  <c r="F207" i="49"/>
  <c r="F205" i="49"/>
  <c r="F203" i="49"/>
  <c r="F201" i="49"/>
  <c r="F199" i="49"/>
  <c r="F197" i="49"/>
  <c r="F195" i="49"/>
  <c r="F193" i="49"/>
  <c r="F191" i="49"/>
  <c r="F189" i="49"/>
  <c r="F187" i="49"/>
  <c r="F185" i="49"/>
  <c r="E199" i="49"/>
  <c r="E197" i="49"/>
  <c r="E195" i="49"/>
  <c r="E193" i="49"/>
  <c r="E191" i="49"/>
  <c r="E189" i="49"/>
  <c r="E187" i="49"/>
  <c r="E185" i="49"/>
  <c r="F220" i="49"/>
  <c r="F218" i="49"/>
  <c r="F216" i="49"/>
  <c r="F214" i="49"/>
  <c r="F212" i="49"/>
  <c r="F210" i="49"/>
  <c r="F208" i="49"/>
  <c r="F206" i="49"/>
  <c r="F204" i="49"/>
  <c r="F202" i="49"/>
  <c r="F200" i="49"/>
  <c r="F198" i="49"/>
  <c r="F196" i="49"/>
  <c r="F194" i="49"/>
  <c r="F192" i="49"/>
  <c r="F190" i="49"/>
  <c r="F188" i="49"/>
  <c r="F186" i="49"/>
  <c r="F184" i="49"/>
  <c r="E198" i="49"/>
  <c r="E196" i="49"/>
  <c r="E194" i="49"/>
  <c r="E192" i="49"/>
  <c r="E190" i="49"/>
  <c r="E188" i="49"/>
  <c r="E186" i="49"/>
  <c r="AP162" i="51" l="1"/>
  <c r="AM707" i="51"/>
  <c r="AO353" i="51"/>
  <c r="AO88" i="51"/>
  <c r="AN170" i="51"/>
  <c r="AO82" i="51"/>
  <c r="AN167" i="51"/>
  <c r="AO177" i="51"/>
  <c r="AO157" i="51"/>
  <c r="AO170" i="51"/>
  <c r="AP177" i="51"/>
  <c r="AN177" i="51"/>
  <c r="AN187" i="51"/>
  <c r="AN190" i="51"/>
  <c r="AN165" i="51"/>
  <c r="AN175" i="51"/>
  <c r="AN176" i="51"/>
  <c r="AP184" i="51"/>
  <c r="AN160" i="51"/>
  <c r="AN173" i="51"/>
  <c r="AN157" i="51"/>
  <c r="AO95" i="51"/>
  <c r="AO83" i="51"/>
  <c r="AN154" i="51"/>
  <c r="AN168" i="51"/>
  <c r="AN181" i="51"/>
  <c r="AN156" i="51"/>
  <c r="AN162" i="51"/>
  <c r="AN169" i="51"/>
  <c r="AN158" i="51"/>
  <c r="AN153" i="51"/>
  <c r="AO181" i="51"/>
  <c r="AO156" i="51"/>
  <c r="AN161" i="51"/>
  <c r="AN171" i="51"/>
  <c r="AN188" i="51"/>
  <c r="AN159" i="51"/>
  <c r="AN179" i="51"/>
  <c r="AN163" i="51"/>
  <c r="AN183" i="51"/>
  <c r="AN182" i="51"/>
  <c r="AN164" i="51"/>
  <c r="AO162" i="51"/>
  <c r="AO179" i="51"/>
  <c r="AO172" i="51"/>
  <c r="AO178" i="51"/>
  <c r="AO153" i="51"/>
  <c r="AO180" i="51"/>
  <c r="AO182" i="51"/>
  <c r="AO155" i="51"/>
  <c r="AO187" i="51"/>
  <c r="AO154" i="51"/>
  <c r="AO159" i="51"/>
  <c r="AO168" i="51"/>
  <c r="AO190" i="51"/>
  <c r="AO188" i="51"/>
  <c r="AO171" i="51"/>
  <c r="AO173" i="51"/>
  <c r="AO165" i="51"/>
  <c r="AO169" i="51"/>
  <c r="AO184" i="51"/>
  <c r="AO186" i="51"/>
  <c r="AP159" i="51"/>
  <c r="AO166" i="51"/>
  <c r="AO183" i="51"/>
  <c r="AO176" i="51"/>
  <c r="AO158" i="51"/>
  <c r="AO164" i="51"/>
  <c r="AO189" i="51"/>
  <c r="AO174" i="51"/>
  <c r="AO167" i="51"/>
  <c r="AO161" i="51"/>
  <c r="AM168" i="51"/>
  <c r="AM172" i="51"/>
  <c r="AM153" i="51"/>
  <c r="AM179" i="51"/>
  <c r="AM177" i="51"/>
  <c r="AM169" i="51"/>
  <c r="AM175" i="51"/>
  <c r="AM178" i="51"/>
  <c r="AM154" i="51"/>
  <c r="AM165" i="51"/>
  <c r="AQ183" i="51"/>
  <c r="AQ158" i="51"/>
  <c r="AQ186" i="51"/>
  <c r="AQ170" i="51"/>
  <c r="AQ173" i="51"/>
  <c r="AQ161" i="51"/>
  <c r="AQ177" i="51"/>
  <c r="AQ182" i="51"/>
  <c r="AQ185" i="51"/>
  <c r="AQ165" i="51"/>
  <c r="AQ167" i="51"/>
  <c r="AN244" i="51"/>
  <c r="AP155" i="51"/>
  <c r="AP170" i="51"/>
  <c r="AO92" i="51"/>
  <c r="AP182" i="51"/>
  <c r="AN245" i="51"/>
  <c r="AP172" i="51"/>
  <c r="AP187" i="51"/>
  <c r="AP163" i="51"/>
  <c r="AR562" i="51" a="1"/>
  <c r="AR580" i="51" s="1"/>
  <c r="AR153" i="51" a="1"/>
  <c r="AR165" i="51" s="1"/>
  <c r="AP190" i="51"/>
  <c r="AO67" i="51"/>
  <c r="AO58" i="51"/>
  <c r="AO64" i="51"/>
  <c r="AP175" i="51"/>
  <c r="AP166" i="51"/>
  <c r="AP188" i="51"/>
  <c r="AN272" i="51"/>
  <c r="AN248" i="51"/>
  <c r="AN265" i="51"/>
  <c r="AP169" i="51"/>
  <c r="AP168" i="51"/>
  <c r="AN426" i="51" a="1"/>
  <c r="AN458" i="51" s="1"/>
  <c r="AP174" i="51"/>
  <c r="AP165" i="51"/>
  <c r="AO81" i="51"/>
  <c r="AO562" i="51" a="1"/>
  <c r="AO573" i="51" s="1"/>
  <c r="AP164" i="51"/>
  <c r="AR598" i="51"/>
  <c r="AN264" i="51"/>
  <c r="AN255" i="51"/>
  <c r="AP153" i="51"/>
  <c r="AP178" i="51"/>
  <c r="AP180" i="51"/>
  <c r="AP154" i="51"/>
  <c r="AP179" i="51"/>
  <c r="AM336" i="51"/>
  <c r="AP181" i="51"/>
  <c r="AP183" i="51"/>
  <c r="AP156" i="51"/>
  <c r="AP189" i="51"/>
  <c r="AP157" i="51"/>
  <c r="AP173" i="51"/>
  <c r="AR578" i="51"/>
  <c r="AN252" i="51"/>
  <c r="AN261" i="51"/>
  <c r="AP176" i="51"/>
  <c r="AP185" i="51"/>
  <c r="AP171" i="51"/>
  <c r="AP161" i="51"/>
  <c r="AP186" i="51"/>
  <c r="AQ702" i="51"/>
  <c r="AP160" i="51"/>
  <c r="AP158" i="51"/>
  <c r="AP246" i="51"/>
  <c r="AP281" i="51"/>
  <c r="AP263" i="51"/>
  <c r="AP256" i="51"/>
  <c r="AP270" i="51"/>
  <c r="AP275" i="51"/>
  <c r="AP267" i="51"/>
  <c r="AO367" i="51"/>
  <c r="AO340" i="51"/>
  <c r="AO354" i="51"/>
  <c r="AO371" i="51"/>
  <c r="AO362" i="51"/>
  <c r="AO344" i="51"/>
  <c r="AO369" i="51"/>
  <c r="AO339" i="51"/>
  <c r="AO368" i="51"/>
  <c r="AO350" i="51"/>
  <c r="AO361" i="51"/>
  <c r="AO337" i="51"/>
  <c r="AO358" i="51"/>
  <c r="AO347" i="51"/>
  <c r="AO351" i="51"/>
  <c r="AO372" i="51"/>
  <c r="AO359" i="51"/>
  <c r="AM156" i="51"/>
  <c r="AM181" i="51"/>
  <c r="AM183" i="51"/>
  <c r="AM184" i="51"/>
  <c r="AO345" i="51"/>
  <c r="AO370" i="51"/>
  <c r="AM58" i="51" a="1"/>
  <c r="AM87" i="51" s="1"/>
  <c r="AR153" i="51"/>
  <c r="AR155" i="51"/>
  <c r="AR182" i="51"/>
  <c r="AR166" i="51"/>
  <c r="AR168" i="51"/>
  <c r="AR176" i="51"/>
  <c r="AR159" i="51"/>
  <c r="AM160" i="51"/>
  <c r="AM171" i="51"/>
  <c r="AM163" i="51"/>
  <c r="AM180" i="51"/>
  <c r="AM185" i="51"/>
  <c r="AM164" i="51"/>
  <c r="AM159" i="51"/>
  <c r="AM182" i="51"/>
  <c r="AM167" i="51"/>
  <c r="AM155" i="51"/>
  <c r="AM187" i="51"/>
  <c r="AM186" i="51"/>
  <c r="AM190" i="51"/>
  <c r="AM189" i="51"/>
  <c r="AM166" i="51"/>
  <c r="AM176" i="51"/>
  <c r="AM157" i="51"/>
  <c r="AM162" i="51"/>
  <c r="AM170" i="51"/>
  <c r="AM158" i="51"/>
  <c r="AM174" i="51"/>
  <c r="AM161" i="51"/>
  <c r="AM188" i="51"/>
  <c r="AM173" i="51"/>
  <c r="AN588" i="51"/>
  <c r="AN562" i="51" a="1"/>
  <c r="AR160" i="51"/>
  <c r="AN437" i="51"/>
  <c r="AN432" i="51"/>
  <c r="AO342" i="51"/>
  <c r="AQ244" i="51" a="1"/>
  <c r="AQ268" i="51" s="1"/>
  <c r="AQ58" i="51" a="1"/>
  <c r="AQ85" i="51" s="1"/>
  <c r="AQ176" i="51"/>
  <c r="AQ164" i="51"/>
  <c r="AQ189" i="51"/>
  <c r="AQ154" i="51"/>
  <c r="AQ187" i="51"/>
  <c r="AQ163" i="51"/>
  <c r="AQ166" i="51"/>
  <c r="AQ155" i="51"/>
  <c r="AQ171" i="51"/>
  <c r="AQ179" i="51"/>
  <c r="AQ184" i="51"/>
  <c r="AQ180" i="51"/>
  <c r="AQ181" i="51"/>
  <c r="AQ178" i="51"/>
  <c r="AQ157" i="51"/>
  <c r="AQ168" i="51"/>
  <c r="AQ190" i="51"/>
  <c r="AR58" i="51" a="1"/>
  <c r="AR86" i="51" s="1"/>
  <c r="AO426" i="51" a="1"/>
  <c r="AO458" i="51" s="1"/>
  <c r="AQ156" i="51"/>
  <c r="AQ159" i="51"/>
  <c r="AQ162" i="51"/>
  <c r="AQ720" i="51"/>
  <c r="AM562" i="51" a="1"/>
  <c r="AM586" i="51" s="1"/>
  <c r="AN273" i="51"/>
  <c r="AN335" i="51" a="1"/>
  <c r="AN359" i="51" s="1"/>
  <c r="AO244" i="51" a="1"/>
  <c r="AO272" i="51" s="1"/>
  <c r="AQ160" i="51"/>
  <c r="AQ175" i="51"/>
  <c r="AQ172" i="51"/>
  <c r="AQ188" i="51"/>
  <c r="AQ562" i="51" a="1"/>
  <c r="AQ335" i="51" a="1"/>
  <c r="AQ356" i="51" s="1"/>
  <c r="AQ153" i="51"/>
  <c r="AO698" i="51" a="1"/>
  <c r="AQ174" i="51"/>
  <c r="AO578" i="51"/>
  <c r="AO595" i="51"/>
  <c r="AO591" i="51"/>
  <c r="AQ169" i="51"/>
  <c r="AR335" i="51" a="1"/>
  <c r="AR360" i="51" s="1"/>
  <c r="AN457" i="51"/>
  <c r="AM359" i="51"/>
  <c r="AR244" i="51" a="1"/>
  <c r="AR268" i="51" s="1"/>
  <c r="AN58" i="51" a="1"/>
  <c r="AN88" i="51" s="1"/>
  <c r="AO77" i="51"/>
  <c r="AN731" i="51"/>
  <c r="AP335" i="51" a="1"/>
  <c r="AP359" i="51" s="1"/>
  <c r="AP453" i="51"/>
  <c r="AM700" i="51"/>
  <c r="AR698" i="51" a="1"/>
  <c r="AR710" i="51" s="1"/>
  <c r="AR426" i="51" a="1"/>
  <c r="AR436" i="51" s="1"/>
  <c r="AP167" i="51"/>
  <c r="Z238" i="51"/>
  <c r="AN251" i="51"/>
  <c r="AN256" i="51"/>
  <c r="AN246" i="51"/>
  <c r="AN260" i="51"/>
  <c r="AN249" i="51"/>
  <c r="AN269" i="51"/>
  <c r="AN247" i="51"/>
  <c r="AN267" i="51"/>
  <c r="AN253" i="51"/>
  <c r="AN369" i="51"/>
  <c r="AN341" i="51"/>
  <c r="AN348" i="51"/>
  <c r="AP279" i="51"/>
  <c r="AP274" i="51"/>
  <c r="AO567" i="51"/>
  <c r="AP255" i="51"/>
  <c r="AM717" i="51"/>
  <c r="AM735" i="51"/>
  <c r="AM730" i="51"/>
  <c r="AM705" i="51"/>
  <c r="AM731" i="51"/>
  <c r="AN345" i="51"/>
  <c r="AN365" i="51"/>
  <c r="AO66" i="51"/>
  <c r="AO76" i="51"/>
  <c r="AP271" i="51"/>
  <c r="AO78" i="51"/>
  <c r="AO72" i="51"/>
  <c r="AO65" i="51"/>
  <c r="AO79" i="51"/>
  <c r="AO74" i="51"/>
  <c r="AQ265" i="51"/>
  <c r="AO80" i="51"/>
  <c r="AO61" i="51"/>
  <c r="AP273" i="51"/>
  <c r="AO93" i="51"/>
  <c r="AN268" i="51"/>
  <c r="AN277" i="51"/>
  <c r="AN262" i="51"/>
  <c r="AN274" i="51"/>
  <c r="AN257" i="51"/>
  <c r="AN250" i="51"/>
  <c r="AN259" i="51"/>
  <c r="AN271" i="51"/>
  <c r="AN275" i="51"/>
  <c r="AN342" i="51"/>
  <c r="AN367" i="51"/>
  <c r="AN335" i="51"/>
  <c r="AN371" i="51"/>
  <c r="AP264" i="51"/>
  <c r="AP262" i="51"/>
  <c r="AP260" i="51"/>
  <c r="AP251" i="51"/>
  <c r="AP265" i="51"/>
  <c r="AM701" i="51"/>
  <c r="AM715" i="51"/>
  <c r="AM714" i="51"/>
  <c r="AM724" i="51"/>
  <c r="AM711" i="51"/>
  <c r="AQ704" i="51"/>
  <c r="AM575" i="51"/>
  <c r="AN350" i="51"/>
  <c r="AN370" i="51"/>
  <c r="AP252" i="51"/>
  <c r="AO89" i="51"/>
  <c r="AO60" i="51"/>
  <c r="AO62" i="51"/>
  <c r="AO91" i="51"/>
  <c r="AO84" i="51"/>
  <c r="AO94" i="51"/>
  <c r="AO68" i="51"/>
  <c r="AO59" i="51"/>
  <c r="AO86" i="51"/>
  <c r="AO70" i="51"/>
  <c r="AN280" i="51"/>
  <c r="AN276" i="51"/>
  <c r="AN278" i="51"/>
  <c r="AN281" i="51"/>
  <c r="AN279" i="51"/>
  <c r="AN266" i="51"/>
  <c r="AN258" i="51"/>
  <c r="AN263" i="51"/>
  <c r="AN254" i="51"/>
  <c r="AN362" i="51"/>
  <c r="AN346" i="51"/>
  <c r="AN358" i="51"/>
  <c r="AM66" i="51"/>
  <c r="AP266" i="51"/>
  <c r="AP261" i="51"/>
  <c r="AM76" i="51"/>
  <c r="AP269" i="51"/>
  <c r="AM710" i="51"/>
  <c r="AM720" i="51"/>
  <c r="AM698" i="51"/>
  <c r="AM708" i="51"/>
  <c r="AO733" i="51"/>
  <c r="AO698" i="51"/>
  <c r="AN460" i="51"/>
  <c r="AN351" i="51"/>
  <c r="AM348" i="51"/>
  <c r="AO599" i="51"/>
  <c r="AM61" i="51"/>
  <c r="AO73" i="51"/>
  <c r="AO87" i="51"/>
  <c r="AO85" i="51"/>
  <c r="AO71" i="51"/>
  <c r="AO90" i="51"/>
  <c r="AO75" i="51"/>
  <c r="AO69" i="51"/>
  <c r="AO63" i="51"/>
  <c r="AO264" i="51"/>
  <c r="AO260" i="51"/>
  <c r="AM63" i="51"/>
  <c r="Z692" i="51"/>
  <c r="AQ91" i="51"/>
  <c r="AR597" i="51"/>
  <c r="AR564" i="51"/>
  <c r="AO356" i="51"/>
  <c r="AO349" i="51"/>
  <c r="AO366" i="51"/>
  <c r="AO346" i="51"/>
  <c r="AO365" i="51"/>
  <c r="AQ93" i="51"/>
  <c r="AQ79" i="51"/>
  <c r="AQ94" i="51"/>
  <c r="AQ80" i="51"/>
  <c r="AQ712" i="51"/>
  <c r="AO338" i="51"/>
  <c r="AO585" i="51"/>
  <c r="AP280" i="51"/>
  <c r="AP245" i="51"/>
  <c r="AP258" i="51"/>
  <c r="AO352" i="51"/>
  <c r="AO597" i="51"/>
  <c r="AP276" i="51"/>
  <c r="AP278" i="51"/>
  <c r="AP253" i="51"/>
  <c r="AR255" i="51"/>
  <c r="AO341" i="51"/>
  <c r="AO579" i="51"/>
  <c r="AP272" i="51"/>
  <c r="AP257" i="51"/>
  <c r="AP247" i="51"/>
  <c r="AO357" i="51"/>
  <c r="AO336" i="51"/>
  <c r="AM366" i="51"/>
  <c r="AM347" i="51"/>
  <c r="AM362" i="51"/>
  <c r="AP259" i="51"/>
  <c r="AQ69" i="51"/>
  <c r="AQ274" i="51"/>
  <c r="AP250" i="51"/>
  <c r="AQ92" i="51"/>
  <c r="AQ89" i="51"/>
  <c r="AQ244" i="51"/>
  <c r="AQ82" i="51"/>
  <c r="AP268" i="51"/>
  <c r="AM370" i="51"/>
  <c r="AM356" i="51"/>
  <c r="AM369" i="51"/>
  <c r="AQ68" i="51"/>
  <c r="AR581" i="51"/>
  <c r="AR599" i="51"/>
  <c r="AR596" i="51"/>
  <c r="AO363" i="51"/>
  <c r="AO355" i="51"/>
  <c r="AO364" i="51"/>
  <c r="AO343" i="51"/>
  <c r="AQ81" i="51"/>
  <c r="AQ86" i="51"/>
  <c r="AQ62" i="51"/>
  <c r="AQ87" i="51"/>
  <c r="AP430" i="51"/>
  <c r="AQ735" i="51"/>
  <c r="AO360" i="51"/>
  <c r="AO598" i="51"/>
  <c r="AP248" i="51"/>
  <c r="AP254" i="51"/>
  <c r="AO348" i="51"/>
  <c r="AO571" i="51"/>
  <c r="AP244" i="51"/>
  <c r="AP249" i="51"/>
  <c r="AO335" i="51"/>
  <c r="AP277" i="51"/>
  <c r="AQ723" i="51"/>
  <c r="AM337" i="51"/>
  <c r="AM357" i="51"/>
  <c r="AQ90" i="51"/>
  <c r="AQ67" i="51"/>
  <c r="AQ247" i="51"/>
  <c r="AQ77" i="51"/>
  <c r="AQ59" i="51"/>
  <c r="AR79" i="51"/>
  <c r="AO590" i="51"/>
  <c r="AO586" i="51"/>
  <c r="AR275" i="51"/>
  <c r="AR253" i="51"/>
  <c r="AO581" i="51"/>
  <c r="AO569" i="51"/>
  <c r="AO587" i="51"/>
  <c r="AN70" i="51"/>
  <c r="AR274" i="51"/>
  <c r="AR256" i="51"/>
  <c r="AO562" i="51"/>
  <c r="AO564" i="51"/>
  <c r="AR251" i="51"/>
  <c r="AR280" i="51"/>
  <c r="AO596" i="51"/>
  <c r="AO568" i="51"/>
  <c r="AR265" i="51"/>
  <c r="AR247" i="51"/>
  <c r="AM340" i="51"/>
  <c r="AM352" i="51"/>
  <c r="AM367" i="51"/>
  <c r="AM346" i="51"/>
  <c r="AM344" i="51"/>
  <c r="AM338" i="51"/>
  <c r="AM349" i="51"/>
  <c r="AM360" i="51"/>
  <c r="AM354" i="51"/>
  <c r="AM339" i="51"/>
  <c r="W556" i="51"/>
  <c r="X556" i="51"/>
  <c r="Y692" i="51"/>
  <c r="AO592" i="51"/>
  <c r="AR88" i="51"/>
  <c r="AO570" i="51"/>
  <c r="AO582" i="51"/>
  <c r="AR259" i="51"/>
  <c r="AR257" i="51"/>
  <c r="AR244" i="51"/>
  <c r="AO584" i="51"/>
  <c r="AO575" i="51"/>
  <c r="AR258" i="51"/>
  <c r="AR277" i="51"/>
  <c r="AO593" i="51"/>
  <c r="AO583" i="51"/>
  <c r="AO563" i="51"/>
  <c r="AR270" i="51"/>
  <c r="AR248" i="51"/>
  <c r="AR263" i="51"/>
  <c r="AM372" i="51"/>
  <c r="AN81" i="51"/>
  <c r="AM355" i="51"/>
  <c r="AM353" i="51"/>
  <c r="AM350" i="51"/>
  <c r="AM342" i="51"/>
  <c r="AM368" i="51"/>
  <c r="AM351" i="51"/>
  <c r="AM335" i="51"/>
  <c r="AM363" i="51"/>
  <c r="AO574" i="51"/>
  <c r="AR80" i="51"/>
  <c r="AO594" i="51"/>
  <c r="AO580" i="51"/>
  <c r="AR278" i="51"/>
  <c r="AR264" i="51"/>
  <c r="AO566" i="51"/>
  <c r="AO572" i="51"/>
  <c r="AR271" i="51"/>
  <c r="AR281" i="51"/>
  <c r="AR245" i="51"/>
  <c r="AO577" i="51"/>
  <c r="AO565" i="51"/>
  <c r="AO576" i="51"/>
  <c r="AR254" i="51"/>
  <c r="AR269" i="51"/>
  <c r="V692" i="51"/>
  <c r="AA556" i="51"/>
  <c r="Z420" i="51"/>
  <c r="AO589" i="51"/>
  <c r="AR266" i="51"/>
  <c r="AM341" i="51"/>
  <c r="AM345" i="51"/>
  <c r="AM358" i="51"/>
  <c r="AM365" i="51"/>
  <c r="AM371" i="51"/>
  <c r="AM343" i="51"/>
  <c r="AM364" i="51"/>
  <c r="AM361" i="51"/>
  <c r="AR428" i="51"/>
  <c r="AR440" i="51"/>
  <c r="AR566" i="51"/>
  <c r="AR591" i="51"/>
  <c r="AR565" i="51"/>
  <c r="AR562" i="51"/>
  <c r="AR583" i="51"/>
  <c r="AR563" i="51"/>
  <c r="AR585" i="51"/>
  <c r="AR568" i="51"/>
  <c r="AR584" i="51"/>
  <c r="AR711" i="51"/>
  <c r="AP429" i="51"/>
  <c r="AP434" i="51"/>
  <c r="AQ706" i="51"/>
  <c r="AQ734" i="51"/>
  <c r="AR456" i="51"/>
  <c r="AR460" i="51"/>
  <c r="Z52" i="51"/>
  <c r="X692" i="51"/>
  <c r="AA147" i="51"/>
  <c r="Z147" i="51"/>
  <c r="Z153" i="51" s="1" a="1"/>
  <c r="Z172" i="51" s="1"/>
  <c r="W147" i="51"/>
  <c r="Y329" i="51"/>
  <c r="V556" i="51"/>
  <c r="V238" i="51"/>
  <c r="AQ729" i="51"/>
  <c r="AQ708" i="51"/>
  <c r="AN456" i="51"/>
  <c r="AN448" i="51"/>
  <c r="AN435" i="51"/>
  <c r="AN441" i="51"/>
  <c r="AM722" i="51"/>
  <c r="AR577" i="51"/>
  <c r="AR571" i="51"/>
  <c r="AR575" i="51"/>
  <c r="AR567" i="51"/>
  <c r="AR589" i="51"/>
  <c r="AR569" i="51"/>
  <c r="AR590" i="51"/>
  <c r="AR572" i="51"/>
  <c r="AR588" i="51"/>
  <c r="AP431" i="51"/>
  <c r="AP445" i="51"/>
  <c r="AP455" i="51"/>
  <c r="AQ733" i="51"/>
  <c r="AQ709" i="51"/>
  <c r="AR439" i="51"/>
  <c r="AR429" i="51"/>
  <c r="AR463" i="51"/>
  <c r="AQ713" i="51"/>
  <c r="AQ699" i="51"/>
  <c r="AN430" i="51"/>
  <c r="AN461" i="51"/>
  <c r="AN447" i="51"/>
  <c r="AR587" i="51"/>
  <c r="AR570" i="51"/>
  <c r="AR582" i="51"/>
  <c r="AR586" i="51"/>
  <c r="AR573" i="51"/>
  <c r="AR594" i="51"/>
  <c r="AR574" i="51"/>
  <c r="AR595" i="51"/>
  <c r="AR576" i="51"/>
  <c r="AR592" i="51"/>
  <c r="AR727" i="51"/>
  <c r="AP451" i="51"/>
  <c r="AP426" i="51"/>
  <c r="AQ711" i="51"/>
  <c r="AQ725" i="51"/>
  <c r="AR437" i="51"/>
  <c r="AR457" i="51"/>
  <c r="AR445" i="51"/>
  <c r="AR438" i="51"/>
  <c r="Y238" i="51"/>
  <c r="Y244" i="51" s="1" a="1"/>
  <c r="AQ707" i="51"/>
  <c r="AQ731" i="51"/>
  <c r="AR448" i="51"/>
  <c r="AN462" i="51"/>
  <c r="AN446" i="51"/>
  <c r="AN434" i="51"/>
  <c r="AQ726" i="51"/>
  <c r="AR250" i="51"/>
  <c r="AR279" i="51"/>
  <c r="AR261" i="51"/>
  <c r="V52" i="51"/>
  <c r="X238" i="51"/>
  <c r="X244" i="51" s="1" a="1"/>
  <c r="W692" i="51"/>
  <c r="Y420" i="51"/>
  <c r="Z556" i="51"/>
  <c r="Z562" i="51" s="1" a="1"/>
  <c r="Y52" i="51"/>
  <c r="Y58" i="51" s="1" a="1"/>
  <c r="AR94" i="51"/>
  <c r="AR95" i="51"/>
  <c r="AR85" i="51"/>
  <c r="AR71" i="51"/>
  <c r="AR61" i="51"/>
  <c r="AQ732" i="51"/>
  <c r="AQ701" i="51"/>
  <c r="AQ727" i="51"/>
  <c r="AQ728" i="51"/>
  <c r="AQ703" i="51"/>
  <c r="AR66" i="51"/>
  <c r="AQ710" i="51"/>
  <c r="AQ700" i="51"/>
  <c r="AP443" i="51"/>
  <c r="AN427" i="51"/>
  <c r="AN453" i="51"/>
  <c r="AN455" i="51"/>
  <c r="AN429" i="51"/>
  <c r="AN426" i="51"/>
  <c r="AN459" i="51"/>
  <c r="AN428" i="51"/>
  <c r="AO722" i="51"/>
  <c r="AO729" i="51"/>
  <c r="X329" i="51"/>
  <c r="W420" i="51"/>
  <c r="AN452" i="51"/>
  <c r="AN431" i="51"/>
  <c r="AN436" i="51"/>
  <c r="AN438" i="51"/>
  <c r="AN449" i="51"/>
  <c r="AN450" i="51"/>
  <c r="AN451" i="51"/>
  <c r="AN433" i="51"/>
  <c r="AN463" i="51"/>
  <c r="AQ715" i="51"/>
  <c r="AQ716" i="51"/>
  <c r="AQ721" i="51"/>
  <c r="AQ714" i="51"/>
  <c r="AR82" i="51"/>
  <c r="AR72" i="51"/>
  <c r="AR62" i="51"/>
  <c r="AR87" i="51"/>
  <c r="AQ718" i="51"/>
  <c r="AQ717" i="51"/>
  <c r="AQ724" i="51"/>
  <c r="AQ722" i="51"/>
  <c r="AQ719" i="51"/>
  <c r="W329" i="51"/>
  <c r="AA52" i="51"/>
  <c r="AA238" i="51"/>
  <c r="AA244" i="51" s="1" a="1"/>
  <c r="Y556" i="51"/>
  <c r="Y562" i="51" s="1" a="1"/>
  <c r="AA329" i="51"/>
  <c r="AA335" i="51" s="1" a="1"/>
  <c r="V147" i="51"/>
  <c r="W52" i="51"/>
  <c r="X147" i="51"/>
  <c r="AA692" i="51"/>
  <c r="Z329" i="51"/>
  <c r="Z335" i="51" s="1" a="1"/>
  <c r="X52" i="51"/>
  <c r="X58" i="51" s="1" a="1"/>
  <c r="V329" i="51"/>
  <c r="Y147" i="51"/>
  <c r="V420" i="51"/>
  <c r="V426" i="51" s="1" a="1"/>
  <c r="AA420" i="51"/>
  <c r="X420" i="51"/>
  <c r="AQ698" i="51"/>
  <c r="AQ730" i="51"/>
  <c r="AQ705" i="51"/>
  <c r="AN439" i="51"/>
  <c r="AN443" i="51"/>
  <c r="AN442" i="51"/>
  <c r="AN445" i="51"/>
  <c r="AN440" i="51"/>
  <c r="AN454" i="51"/>
  <c r="AN444" i="51"/>
  <c r="AM726" i="51"/>
  <c r="AM729" i="51"/>
  <c r="AM732" i="51"/>
  <c r="AM718" i="51"/>
  <c r="AM725" i="51"/>
  <c r="AM728" i="51"/>
  <c r="AM723" i="51"/>
  <c r="AM727" i="51"/>
  <c r="AM702" i="51"/>
  <c r="AM709" i="51"/>
  <c r="AM703" i="51"/>
  <c r="AM706" i="51"/>
  <c r="AM713" i="51"/>
  <c r="AM716" i="51"/>
  <c r="AM719" i="51"/>
  <c r="AM734" i="51"/>
  <c r="AM712" i="51"/>
  <c r="AM699" i="51"/>
  <c r="AM431" i="51"/>
  <c r="AM456" i="51"/>
  <c r="AM442" i="51"/>
  <c r="AM447" i="51"/>
  <c r="AM457" i="51"/>
  <c r="AM446" i="51"/>
  <c r="AM434" i="51"/>
  <c r="AM453" i="51"/>
  <c r="AM426" i="51"/>
  <c r="AM436" i="51"/>
  <c r="AM433" i="51"/>
  <c r="AM444" i="51"/>
  <c r="AM454" i="51"/>
  <c r="AM432" i="51"/>
  <c r="AM441" i="51"/>
  <c r="AM430" i="51"/>
  <c r="AM438" i="51"/>
  <c r="AM463" i="51"/>
  <c r="AM452" i="51"/>
  <c r="AM451" i="51"/>
  <c r="AM427" i="51"/>
  <c r="AM449" i="51"/>
  <c r="AM450" i="51"/>
  <c r="AM439" i="51"/>
  <c r="AM459" i="51"/>
  <c r="AM428" i="51"/>
  <c r="AM461" i="51"/>
  <c r="AM448" i="51"/>
  <c r="AM440" i="51"/>
  <c r="AM435" i="51"/>
  <c r="AM443" i="51"/>
  <c r="AM460" i="51"/>
  <c r="AM445" i="51"/>
  <c r="AM462" i="51"/>
  <c r="AM455" i="51"/>
  <c r="AM429" i="51"/>
  <c r="AM279" i="51"/>
  <c r="AQ595" i="51"/>
  <c r="AQ563" i="51"/>
  <c r="AQ581" i="51"/>
  <c r="AQ574" i="51"/>
  <c r="AQ582" i="51"/>
  <c r="AQ568" i="51"/>
  <c r="AQ584" i="51"/>
  <c r="AQ591" i="51"/>
  <c r="AQ597" i="51"/>
  <c r="AQ573" i="51"/>
  <c r="AQ599" i="51"/>
  <c r="AQ583" i="51"/>
  <c r="AQ586" i="51"/>
  <c r="AQ565" i="51"/>
  <c r="AQ580" i="51"/>
  <c r="AQ578" i="51"/>
  <c r="AQ577" i="51"/>
  <c r="AQ594" i="51"/>
  <c r="AQ576" i="51"/>
  <c r="AQ569" i="51"/>
  <c r="AQ598" i="51"/>
  <c r="AQ589" i="51"/>
  <c r="AQ562" i="51"/>
  <c r="AQ564" i="51"/>
  <c r="AQ588" i="51"/>
  <c r="AQ587" i="51"/>
  <c r="AQ585" i="51"/>
  <c r="AP447" i="51"/>
  <c r="AP444" i="51"/>
  <c r="AP452" i="51"/>
  <c r="AP448" i="51"/>
  <c r="W238" i="51"/>
  <c r="W244" i="51" s="1" a="1"/>
  <c r="AN593" i="51"/>
  <c r="AN574" i="51"/>
  <c r="AN576" i="51"/>
  <c r="AN570" i="51"/>
  <c r="AN568" i="51"/>
  <c r="AN575" i="51"/>
  <c r="AN572" i="51"/>
  <c r="AN581" i="51"/>
  <c r="AN599" i="51"/>
  <c r="AN592" i="51"/>
  <c r="AN567" i="51"/>
  <c r="AN587" i="51"/>
  <c r="AN595" i="51"/>
  <c r="AN589" i="51"/>
  <c r="AN573" i="51"/>
  <c r="AN586" i="51"/>
  <c r="AN578" i="51"/>
  <c r="AN594" i="51"/>
  <c r="AN591" i="51"/>
  <c r="AN564" i="51"/>
  <c r="AN580" i="51"/>
  <c r="AN571" i="51"/>
  <c r="AN582" i="51"/>
  <c r="AN562" i="51"/>
  <c r="AN590" i="51"/>
  <c r="AN577" i="51"/>
  <c r="AN598" i="51"/>
  <c r="AN597" i="51"/>
  <c r="AN569" i="51"/>
  <c r="AN585" i="51"/>
  <c r="AN583" i="51"/>
  <c r="AN563" i="51"/>
  <c r="AN596" i="51"/>
  <c r="AN566" i="51"/>
  <c r="AN565" i="51"/>
  <c r="AN584" i="51"/>
  <c r="AN579" i="51"/>
  <c r="AP346" i="51"/>
  <c r="AP372" i="51"/>
  <c r="AP364" i="51"/>
  <c r="AQ590" i="51"/>
  <c r="AP87" i="51"/>
  <c r="AP71" i="51"/>
  <c r="AP94" i="51"/>
  <c r="AP78" i="51"/>
  <c r="AP62" i="51"/>
  <c r="AP85" i="51"/>
  <c r="AP69" i="51"/>
  <c r="AP68" i="51"/>
  <c r="AP92" i="51"/>
  <c r="AP67" i="51"/>
  <c r="AP58" i="51"/>
  <c r="AP65" i="51"/>
  <c r="AP76" i="51"/>
  <c r="AP91" i="51"/>
  <c r="AP75" i="51"/>
  <c r="AP59" i="51"/>
  <c r="AP82" i="51"/>
  <c r="AP89" i="51"/>
  <c r="AP73" i="51"/>
  <c r="AP84" i="51"/>
  <c r="AP72" i="51"/>
  <c r="AP88" i="51"/>
  <c r="AP83" i="51"/>
  <c r="AP90" i="51"/>
  <c r="AP74" i="51"/>
  <c r="AP81" i="51"/>
  <c r="AP80" i="51"/>
  <c r="AP79" i="51"/>
  <c r="AP93" i="51"/>
  <c r="AP60" i="51"/>
  <c r="AP61" i="51"/>
  <c r="AP95" i="51"/>
  <c r="AP64" i="51"/>
  <c r="AP63" i="51"/>
  <c r="AP77" i="51"/>
  <c r="AP86" i="51"/>
  <c r="AP70" i="51"/>
  <c r="AM437" i="51"/>
  <c r="AO435" i="51"/>
  <c r="AO456" i="51"/>
  <c r="AO427" i="51"/>
  <c r="AR369" i="51"/>
  <c r="AR355" i="51"/>
  <c r="AR339" i="51"/>
  <c r="AR364" i="51"/>
  <c r="AR346" i="51"/>
  <c r="AR368" i="51"/>
  <c r="AR335" i="51"/>
  <c r="AM277" i="51"/>
  <c r="AM261" i="51"/>
  <c r="AM245" i="51"/>
  <c r="AM260" i="51"/>
  <c r="AM267" i="51"/>
  <c r="AM270" i="51"/>
  <c r="AM248" i="51"/>
  <c r="AM274" i="51"/>
  <c r="AM252" i="51"/>
  <c r="AM251" i="51"/>
  <c r="AM273" i="51"/>
  <c r="AM276" i="51"/>
  <c r="AM246" i="51"/>
  <c r="AM268" i="51"/>
  <c r="AM281" i="51"/>
  <c r="AM265" i="51"/>
  <c r="AM249" i="51"/>
  <c r="AM266" i="51"/>
  <c r="AM244" i="51"/>
  <c r="AM275" i="51"/>
  <c r="AM254" i="51"/>
  <c r="AM258" i="51"/>
  <c r="AM262" i="51"/>
  <c r="AM257" i="51"/>
  <c r="AM255" i="51"/>
  <c r="AM264" i="51"/>
  <c r="AM272" i="51"/>
  <c r="AM247" i="51"/>
  <c r="AM253" i="51"/>
  <c r="AM259" i="51"/>
  <c r="AM263" i="51"/>
  <c r="AM278" i="51"/>
  <c r="AM271" i="51"/>
  <c r="AM256" i="51"/>
  <c r="AM250" i="51"/>
  <c r="AM269" i="51"/>
  <c r="AM280" i="51"/>
  <c r="AQ426" i="51" a="1"/>
  <c r="AQ428" i="51" s="1"/>
  <c r="AQ463" i="51"/>
  <c r="AQ441" i="51"/>
  <c r="AQ437" i="51"/>
  <c r="AQ436" i="51"/>
  <c r="AQ446" i="51"/>
  <c r="AQ455" i="51"/>
  <c r="AQ451" i="51"/>
  <c r="AQ459" i="51"/>
  <c r="AQ461" i="51"/>
  <c r="AQ460" i="51"/>
  <c r="AQ450" i="51"/>
  <c r="AP562" i="51" a="1"/>
  <c r="AP593" i="51" s="1"/>
  <c r="AP595" i="51"/>
  <c r="AP581" i="51"/>
  <c r="AP591" i="51"/>
  <c r="AP564" i="51"/>
  <c r="AP589" i="51"/>
  <c r="AP580" i="51"/>
  <c r="AP597" i="51"/>
  <c r="AP698" i="51" a="1"/>
  <c r="AP730" i="51" s="1"/>
  <c r="AN720" i="51"/>
  <c r="AN734" i="51"/>
  <c r="AN713" i="51"/>
  <c r="AN733" i="51"/>
  <c r="AN711" i="51"/>
  <c r="AN710" i="51"/>
  <c r="AN700" i="51"/>
  <c r="AN709" i="51"/>
  <c r="AN732" i="51"/>
  <c r="AN729" i="51"/>
  <c r="AN727" i="51"/>
  <c r="AN726" i="51"/>
  <c r="AN735" i="51"/>
  <c r="AN724" i="51"/>
  <c r="AN708" i="51"/>
  <c r="AN718" i="51"/>
  <c r="AN699" i="51"/>
  <c r="AN717" i="51"/>
  <c r="AN698" i="51"/>
  <c r="AN715" i="51"/>
  <c r="AN719" i="51"/>
  <c r="AN730" i="51"/>
  <c r="AN716" i="51"/>
  <c r="AN707" i="51"/>
  <c r="AN706" i="51"/>
  <c r="AN705" i="51"/>
  <c r="AN725" i="51"/>
  <c r="AN728" i="51"/>
  <c r="AN722" i="51"/>
  <c r="AN714" i="51"/>
  <c r="AN701" i="51"/>
  <c r="AN712" i="51"/>
  <c r="AN702" i="51"/>
  <c r="AN704" i="51"/>
  <c r="AN723" i="51"/>
  <c r="AN721" i="51"/>
  <c r="AN703" i="51"/>
  <c r="AP441" i="51"/>
  <c r="AP439" i="51"/>
  <c r="AP432" i="51"/>
  <c r="AP436" i="51"/>
  <c r="AP463" i="51"/>
  <c r="AP462" i="51"/>
  <c r="AP450" i="51"/>
  <c r="AP458" i="51"/>
  <c r="AP442" i="51"/>
  <c r="AP433" i="51"/>
  <c r="AP428" i="51"/>
  <c r="AP456" i="51"/>
  <c r="AP460" i="51"/>
  <c r="AP457" i="51"/>
  <c r="AP454" i="51"/>
  <c r="AP440" i="51"/>
  <c r="AP435" i="51"/>
  <c r="AP446" i="51"/>
  <c r="AP459" i="51"/>
  <c r="AP461" i="51"/>
  <c r="AP427" i="51"/>
  <c r="AP437" i="51"/>
  <c r="AR65" i="51"/>
  <c r="AR68" i="51"/>
  <c r="AR75" i="51"/>
  <c r="AR89" i="51"/>
  <c r="AR60" i="51"/>
  <c r="AR58" i="51"/>
  <c r="AR73" i="51"/>
  <c r="AR76" i="51"/>
  <c r="AR83" i="51"/>
  <c r="AR70" i="51"/>
  <c r="AR74" i="51"/>
  <c r="AR92" i="51"/>
  <c r="AR67" i="51"/>
  <c r="AR91" i="51"/>
  <c r="AR81" i="51"/>
  <c r="AR59" i="51"/>
  <c r="AR78" i="51"/>
  <c r="AR84" i="51"/>
  <c r="AP569" i="51"/>
  <c r="AP66" i="51"/>
  <c r="AP449" i="51"/>
  <c r="AM458" i="51"/>
  <c r="AQ338" i="51"/>
  <c r="AQ354" i="51"/>
  <c r="AQ335" i="51"/>
  <c r="AQ340" i="51"/>
  <c r="AQ361" i="51"/>
  <c r="AQ368" i="51"/>
  <c r="AQ360" i="51"/>
  <c r="AQ365" i="51"/>
  <c r="AQ350" i="51"/>
  <c r="AQ366" i="51"/>
  <c r="W562" i="51" a="1"/>
  <c r="X153" i="51" a="1"/>
  <c r="W153" i="51" a="1"/>
  <c r="W58" i="51" a="1"/>
  <c r="W698" i="51" a="1"/>
  <c r="D527" i="49" a="1"/>
  <c r="D564" i="49" s="1"/>
  <c r="D356" i="49" a="1"/>
  <c r="D358" i="49" s="1"/>
  <c r="D367" i="49" a="1"/>
  <c r="D385" i="49" s="1"/>
  <c r="D184" i="49" a="1"/>
  <c r="D210" i="49" s="1"/>
  <c r="AR452" i="51" l="1"/>
  <c r="AR183" i="51"/>
  <c r="D556" i="49"/>
  <c r="D529" i="49"/>
  <c r="D538" i="49"/>
  <c r="AQ453" i="51"/>
  <c r="AQ448" i="51"/>
  <c r="AQ440" i="51"/>
  <c r="AQ458" i="51"/>
  <c r="AR432" i="51"/>
  <c r="AR449" i="51"/>
  <c r="AR246" i="51"/>
  <c r="AR272" i="51"/>
  <c r="AR252" i="51"/>
  <c r="AR273" i="51"/>
  <c r="AN58" i="51"/>
  <c r="AN65" i="51"/>
  <c r="D527" i="49"/>
  <c r="AR189" i="51"/>
  <c r="AQ362" i="51"/>
  <c r="AQ357" i="51"/>
  <c r="AQ349" i="51"/>
  <c r="AQ343" i="51"/>
  <c r="AQ367" i="51"/>
  <c r="AQ359" i="51"/>
  <c r="AQ344" i="51"/>
  <c r="AP709" i="51"/>
  <c r="AP703" i="51"/>
  <c r="AP699" i="51"/>
  <c r="AP708" i="51"/>
  <c r="AP707" i="51"/>
  <c r="AP715" i="51"/>
  <c r="AP720" i="51"/>
  <c r="AQ246" i="51"/>
  <c r="AQ364" i="51"/>
  <c r="AR190" i="51"/>
  <c r="AR167" i="51"/>
  <c r="AR178" i="51"/>
  <c r="AR162" i="51"/>
  <c r="AR177" i="51"/>
  <c r="AR156" i="51"/>
  <c r="AR184" i="51"/>
  <c r="AR154" i="51"/>
  <c r="AR171" i="51"/>
  <c r="AR170" i="51"/>
  <c r="D528" i="49"/>
  <c r="D547" i="49"/>
  <c r="D558" i="49"/>
  <c r="Y698" i="51" a="1"/>
  <c r="Y723" i="51" s="1"/>
  <c r="AQ358" i="51"/>
  <c r="AQ352" i="51"/>
  <c r="AQ369" i="51"/>
  <c r="AQ345" i="51"/>
  <c r="AQ342" i="51"/>
  <c r="AQ353" i="51"/>
  <c r="AQ336" i="51"/>
  <c r="AQ337" i="51"/>
  <c r="AQ346" i="51"/>
  <c r="AP712" i="51"/>
  <c r="AP717" i="51"/>
  <c r="AP701" i="51"/>
  <c r="AP724" i="51"/>
  <c r="AP700" i="51"/>
  <c r="AP725" i="51"/>
  <c r="AP698" i="51"/>
  <c r="AP562" i="51"/>
  <c r="AP577" i="51"/>
  <c r="AQ432" i="51"/>
  <c r="AQ445" i="51"/>
  <c r="AQ430" i="51"/>
  <c r="AQ435" i="51"/>
  <c r="AQ442" i="51"/>
  <c r="AO439" i="51"/>
  <c r="AO443" i="51"/>
  <c r="X172" i="51"/>
  <c r="AM562" i="51"/>
  <c r="AO445" i="51"/>
  <c r="AN92" i="51"/>
  <c r="AN84" i="51"/>
  <c r="AQ278" i="51"/>
  <c r="AM95" i="51"/>
  <c r="AQ251" i="51"/>
  <c r="AM588" i="51"/>
  <c r="AM93" i="51"/>
  <c r="AM62" i="51"/>
  <c r="AM91" i="51"/>
  <c r="AN354" i="51"/>
  <c r="AQ280" i="51"/>
  <c r="AQ254" i="51"/>
  <c r="AM594" i="51"/>
  <c r="AN353" i="51"/>
  <c r="AN363" i="51"/>
  <c r="AM595" i="51"/>
  <c r="AN368" i="51"/>
  <c r="AN344" i="51"/>
  <c r="AN366" i="51"/>
  <c r="AR187" i="51"/>
  <c r="AR175" i="51"/>
  <c r="AR180" i="51"/>
  <c r="AR163" i="51"/>
  <c r="AR181" i="51"/>
  <c r="AR158" i="51"/>
  <c r="AR172" i="51"/>
  <c r="AR161" i="51"/>
  <c r="AM77" i="51"/>
  <c r="AR173" i="51"/>
  <c r="AO588" i="51"/>
  <c r="AR579" i="51"/>
  <c r="AR593" i="51"/>
  <c r="AP731" i="51"/>
  <c r="AP722" i="51"/>
  <c r="AP716" i="51"/>
  <c r="AP721" i="51"/>
  <c r="AP734" i="51"/>
  <c r="AP726" i="51"/>
  <c r="AP704" i="51"/>
  <c r="D533" i="49"/>
  <c r="D561" i="49"/>
  <c r="D554" i="49"/>
  <c r="D560" i="49"/>
  <c r="AQ355" i="51"/>
  <c r="AQ370" i="51"/>
  <c r="AR719" i="51"/>
  <c r="AA153" i="51" a="1"/>
  <c r="AA175" i="51" s="1"/>
  <c r="AN68" i="51"/>
  <c r="AN73" i="51"/>
  <c r="AN79" i="51"/>
  <c r="AN77" i="51"/>
  <c r="AQ256" i="51"/>
  <c r="AQ252" i="51"/>
  <c r="AM585" i="51"/>
  <c r="AQ269" i="51"/>
  <c r="AQ253" i="51"/>
  <c r="V698" i="51" a="1"/>
  <c r="V726" i="51" s="1"/>
  <c r="D551" i="49"/>
  <c r="D555" i="49"/>
  <c r="D540" i="49"/>
  <c r="AQ363" i="51"/>
  <c r="AQ351" i="51"/>
  <c r="AQ339" i="51"/>
  <c r="AQ372" i="51"/>
  <c r="AQ371" i="51"/>
  <c r="AQ347" i="51"/>
  <c r="AQ341" i="51"/>
  <c r="AQ348" i="51"/>
  <c r="AP729" i="51"/>
  <c r="AP705" i="51"/>
  <c r="AP733" i="51"/>
  <c r="AP718" i="51"/>
  <c r="AP732" i="51"/>
  <c r="AP719" i="51"/>
  <c r="AO461" i="51"/>
  <c r="AR718" i="51"/>
  <c r="AM571" i="51"/>
  <c r="AN85" i="51"/>
  <c r="AN62" i="51"/>
  <c r="AN72" i="51"/>
  <c r="AQ250" i="51"/>
  <c r="AQ258" i="51"/>
  <c r="AQ266" i="51"/>
  <c r="AQ277" i="51"/>
  <c r="AN364" i="51"/>
  <c r="AM567" i="51"/>
  <c r="AM90" i="51"/>
  <c r="AN360" i="51"/>
  <c r="AN336" i="51"/>
  <c r="AM576" i="51"/>
  <c r="AN340" i="51"/>
  <c r="AN337" i="51"/>
  <c r="AN347" i="51"/>
  <c r="AA562" i="51" a="1"/>
  <c r="AA581" i="51" s="1"/>
  <c r="AR77" i="51"/>
  <c r="Y335" i="51" a="1"/>
  <c r="Y372" i="51" s="1"/>
  <c r="AQ76" i="51"/>
  <c r="AR179" i="51"/>
  <c r="AR164" i="51"/>
  <c r="AR188" i="51"/>
  <c r="AR186" i="51"/>
  <c r="AR157" i="51"/>
  <c r="AR185" i="51"/>
  <c r="AR174" i="51"/>
  <c r="AR169" i="51"/>
  <c r="Z174" i="51"/>
  <c r="W576" i="51"/>
  <c r="Z167" i="51"/>
  <c r="AA345" i="51"/>
  <c r="Y364" i="51"/>
  <c r="Z170" i="51"/>
  <c r="Z153" i="51"/>
  <c r="Y63" i="51"/>
  <c r="Z357" i="51"/>
  <c r="Z351" i="51"/>
  <c r="Z369" i="51"/>
  <c r="AP570" i="51"/>
  <c r="AP596" i="51"/>
  <c r="AP567" i="51"/>
  <c r="AP590" i="51"/>
  <c r="AP592" i="51"/>
  <c r="AP563" i="51"/>
  <c r="AP578" i="51"/>
  <c r="AP594" i="51"/>
  <c r="AP575" i="51"/>
  <c r="AP572" i="51"/>
  <c r="AP566" i="51"/>
  <c r="AP574" i="51"/>
  <c r="AP568" i="51"/>
  <c r="AP584" i="51"/>
  <c r="AP573" i="51"/>
  <c r="AP335" i="51"/>
  <c r="AP336" i="51"/>
  <c r="AP370" i="51"/>
  <c r="AP337" i="51"/>
  <c r="V453" i="51"/>
  <c r="Z365" i="51"/>
  <c r="AA58" i="51" a="1"/>
  <c r="W426" i="51" a="1"/>
  <c r="W457" i="51" s="1"/>
  <c r="W570" i="51"/>
  <c r="V714" i="51"/>
  <c r="V724" i="51"/>
  <c r="V712" i="51"/>
  <c r="V725" i="51"/>
  <c r="AO455" i="51"/>
  <c r="AO430" i="51"/>
  <c r="AO449" i="51"/>
  <c r="AO452" i="51"/>
  <c r="AO462" i="51"/>
  <c r="AO451" i="51"/>
  <c r="AO460" i="51"/>
  <c r="AO440" i="51"/>
  <c r="AO434" i="51"/>
  <c r="AO436" i="51"/>
  <c r="AO447" i="51"/>
  <c r="AO433" i="51"/>
  <c r="AO438" i="51"/>
  <c r="AO437" i="51"/>
  <c r="AO454" i="51"/>
  <c r="AO441" i="51"/>
  <c r="AO459" i="51"/>
  <c r="AO442" i="51"/>
  <c r="AO448" i="51"/>
  <c r="AO446" i="51"/>
  <c r="AO463" i="51"/>
  <c r="AO429" i="51"/>
  <c r="AO432" i="51"/>
  <c r="AO457" i="51"/>
  <c r="Z426" i="51" a="1"/>
  <c r="Z440" i="51" s="1"/>
  <c r="V153" i="51" a="1"/>
  <c r="V172" i="51" s="1"/>
  <c r="V716" i="51"/>
  <c r="V706" i="51"/>
  <c r="AP588" i="51"/>
  <c r="AP565" i="51"/>
  <c r="AP579" i="51"/>
  <c r="AP576" i="51"/>
  <c r="AP571" i="51"/>
  <c r="AP585" i="51"/>
  <c r="AP587" i="51"/>
  <c r="AR359" i="51"/>
  <c r="AR354" i="51"/>
  <c r="AO450" i="51"/>
  <c r="AO431" i="51"/>
  <c r="AO428" i="51"/>
  <c r="AP342" i="51"/>
  <c r="AP355" i="51"/>
  <c r="AP363" i="51"/>
  <c r="AR714" i="51"/>
  <c r="AO700" i="51"/>
  <c r="AO727" i="51"/>
  <c r="AO712" i="51"/>
  <c r="AO730" i="51"/>
  <c r="AO734" i="51"/>
  <c r="AO701" i="51"/>
  <c r="AO705" i="51"/>
  <c r="AO717" i="51"/>
  <c r="AO731" i="51"/>
  <c r="AO718" i="51"/>
  <c r="AO726" i="51"/>
  <c r="AO728" i="51"/>
  <c r="AO716" i="51"/>
  <c r="AO706" i="51"/>
  <c r="AO704" i="51"/>
  <c r="AO714" i="51"/>
  <c r="AO724" i="51"/>
  <c r="AO699" i="51"/>
  <c r="AO719" i="51"/>
  <c r="AO721" i="51"/>
  <c r="AO725" i="51"/>
  <c r="AO703" i="51"/>
  <c r="AO710" i="51"/>
  <c r="AO711" i="51"/>
  <c r="AO708" i="51"/>
  <c r="AO702" i="51"/>
  <c r="AO709" i="51"/>
  <c r="AO713" i="51"/>
  <c r="AO707" i="51"/>
  <c r="AO720" i="51"/>
  <c r="AO715" i="51"/>
  <c r="AO732" i="51"/>
  <c r="AO723" i="51"/>
  <c r="AO735" i="51"/>
  <c r="Z592" i="51"/>
  <c r="V58" i="51" a="1"/>
  <c r="V89" i="51" s="1"/>
  <c r="V562" i="51" a="1"/>
  <c r="V583" i="51" s="1"/>
  <c r="AP369" i="51"/>
  <c r="AP340" i="51"/>
  <c r="AP341" i="51"/>
  <c r="AP354" i="51"/>
  <c r="AP357" i="51"/>
  <c r="AP362" i="51"/>
  <c r="AP358" i="51"/>
  <c r="AP360" i="51"/>
  <c r="AP353" i="51"/>
  <c r="AP366" i="51"/>
  <c r="AP343" i="51"/>
  <c r="AP339" i="51"/>
  <c r="AP347" i="51"/>
  <c r="AP352" i="51"/>
  <c r="AP361" i="51"/>
  <c r="AP351" i="51"/>
  <c r="AP348" i="51"/>
  <c r="AP350" i="51"/>
  <c r="AP344" i="51"/>
  <c r="AP368" i="51"/>
  <c r="AP338" i="51"/>
  <c r="AP371" i="51"/>
  <c r="AP356" i="51"/>
  <c r="AP367" i="51"/>
  <c r="AA568" i="51"/>
  <c r="AR366" i="51"/>
  <c r="AR337" i="51"/>
  <c r="AR351" i="51"/>
  <c r="AR340" i="51"/>
  <c r="AR338" i="51"/>
  <c r="AR363" i="51"/>
  <c r="AR349" i="51"/>
  <c r="AR336" i="51"/>
  <c r="AR343" i="51"/>
  <c r="AR341" i="51"/>
  <c r="AR350" i="51"/>
  <c r="AR344" i="51"/>
  <c r="AR372" i="51"/>
  <c r="AR357" i="51"/>
  <c r="AR367" i="51"/>
  <c r="AR361" i="51"/>
  <c r="AR358" i="51"/>
  <c r="AR347" i="51"/>
  <c r="AR353" i="51"/>
  <c r="AR362" i="51"/>
  <c r="AR370" i="51"/>
  <c r="AR348" i="51"/>
  <c r="AR356" i="51"/>
  <c r="AR342" i="51"/>
  <c r="AR352" i="51"/>
  <c r="Y341" i="51"/>
  <c r="Y365" i="51"/>
  <c r="Y346" i="51"/>
  <c r="Y335" i="51"/>
  <c r="Z368" i="51"/>
  <c r="X157" i="51"/>
  <c r="X162" i="51"/>
  <c r="V702" i="51"/>
  <c r="AA597" i="51"/>
  <c r="Y347" i="51"/>
  <c r="AP583" i="51"/>
  <c r="AP582" i="51"/>
  <c r="AP599" i="51"/>
  <c r="AP598" i="51"/>
  <c r="AP586" i="51"/>
  <c r="AR345" i="51"/>
  <c r="AR371" i="51"/>
  <c r="AR365" i="51"/>
  <c r="AO444" i="51"/>
  <c r="AO453" i="51"/>
  <c r="AO426" i="51"/>
  <c r="AP365" i="51"/>
  <c r="AP345" i="51"/>
  <c r="AP349" i="51"/>
  <c r="Z244" i="51" a="1"/>
  <c r="Z246" i="51" s="1"/>
  <c r="AR716" i="51"/>
  <c r="AR717" i="51"/>
  <c r="AR722" i="51"/>
  <c r="AR723" i="51"/>
  <c r="AR735" i="51"/>
  <c r="AR700" i="51"/>
  <c r="AR706" i="51"/>
  <c r="AR699" i="51"/>
  <c r="AR704" i="51"/>
  <c r="AR707" i="51"/>
  <c r="AR708" i="51"/>
  <c r="AR709" i="51"/>
  <c r="AR715" i="51"/>
  <c r="AR712" i="51"/>
  <c r="AR732" i="51"/>
  <c r="AR725" i="51"/>
  <c r="AR731" i="51"/>
  <c r="AR720" i="51"/>
  <c r="AR701" i="51"/>
  <c r="AR698" i="51"/>
  <c r="AR724" i="51"/>
  <c r="AR733" i="51"/>
  <c r="AR702" i="51"/>
  <c r="AR729" i="51"/>
  <c r="AR703" i="51"/>
  <c r="AR726" i="51"/>
  <c r="AR713" i="51"/>
  <c r="AR721" i="51"/>
  <c r="AR728" i="51"/>
  <c r="AR705" i="51"/>
  <c r="AR730" i="51"/>
  <c r="AR734" i="51"/>
  <c r="AM596" i="51"/>
  <c r="AM574" i="51"/>
  <c r="AM565" i="51"/>
  <c r="AM570" i="51"/>
  <c r="AM579" i="51"/>
  <c r="AM583" i="51"/>
  <c r="AM593" i="51"/>
  <c r="AM580" i="51"/>
  <c r="AM597" i="51"/>
  <c r="AM589" i="51"/>
  <c r="AM591" i="51"/>
  <c r="AM569" i="51"/>
  <c r="AM584" i="51"/>
  <c r="AM598" i="51"/>
  <c r="AM577" i="51"/>
  <c r="AM587" i="51"/>
  <c r="AM568" i="51"/>
  <c r="AM578" i="51"/>
  <c r="AM566" i="51"/>
  <c r="AM590" i="51"/>
  <c r="AM573" i="51"/>
  <c r="AM564" i="51"/>
  <c r="AM582" i="51"/>
  <c r="AM563" i="51"/>
  <c r="AM599" i="51"/>
  <c r="AM581" i="51"/>
  <c r="AM572" i="51"/>
  <c r="AM592" i="51"/>
  <c r="AP714" i="51"/>
  <c r="AP713" i="51"/>
  <c r="AP723" i="51"/>
  <c r="AP711" i="51"/>
  <c r="AP702" i="51"/>
  <c r="AP727" i="51"/>
  <c r="AP710" i="51"/>
  <c r="AP728" i="51"/>
  <c r="AP706" i="51"/>
  <c r="AP735" i="51"/>
  <c r="AQ434" i="51"/>
  <c r="AQ452" i="51"/>
  <c r="AQ454" i="51"/>
  <c r="AQ447" i="51"/>
  <c r="AQ429" i="51"/>
  <c r="AQ439" i="51"/>
  <c r="AQ443" i="51"/>
  <c r="AQ433" i="51"/>
  <c r="Y153" i="51" a="1"/>
  <c r="Y187" i="51" s="1"/>
  <c r="AA698" i="51" a="1"/>
  <c r="AA706" i="51" s="1"/>
  <c r="AA369" i="51"/>
  <c r="W335" i="51" a="1"/>
  <c r="W344" i="51" s="1"/>
  <c r="X335" i="51" a="1"/>
  <c r="X341" i="51" s="1"/>
  <c r="X698" i="51" a="1"/>
  <c r="X714" i="51" s="1"/>
  <c r="AQ579" i="51"/>
  <c r="AQ596" i="51"/>
  <c r="AQ566" i="51"/>
  <c r="AQ572" i="51"/>
  <c r="AQ567" i="51"/>
  <c r="AQ593" i="51"/>
  <c r="AQ575" i="51"/>
  <c r="AQ592" i="51"/>
  <c r="AQ570" i="51"/>
  <c r="AQ571" i="51"/>
  <c r="Z698" i="51" a="1"/>
  <c r="Z710" i="51" s="1"/>
  <c r="AQ245" i="51"/>
  <c r="AQ262" i="51"/>
  <c r="AQ281" i="51"/>
  <c r="AQ260" i="51"/>
  <c r="AQ255" i="51"/>
  <c r="AQ259" i="51"/>
  <c r="AQ276" i="51"/>
  <c r="AQ248" i="51"/>
  <c r="AQ271" i="51"/>
  <c r="AQ261" i="51"/>
  <c r="AQ267" i="51"/>
  <c r="AQ264" i="51"/>
  <c r="AQ279" i="51"/>
  <c r="AQ257" i="51"/>
  <c r="AQ273" i="51"/>
  <c r="AQ263" i="51"/>
  <c r="AQ270" i="51"/>
  <c r="AQ275" i="51"/>
  <c r="AQ272" i="51"/>
  <c r="AQ249" i="51"/>
  <c r="AQ426" i="51"/>
  <c r="AQ444" i="51"/>
  <c r="AQ438" i="51"/>
  <c r="AQ462" i="51"/>
  <c r="AQ427" i="51"/>
  <c r="AQ449" i="51"/>
  <c r="AQ457" i="51"/>
  <c r="AQ431" i="51"/>
  <c r="AQ456" i="51"/>
  <c r="AA426" i="51" a="1"/>
  <c r="AA435" i="51" s="1"/>
  <c r="X86" i="51"/>
  <c r="W59" i="51"/>
  <c r="AA265" i="51"/>
  <c r="AR453" i="51"/>
  <c r="AR433" i="51"/>
  <c r="AR458" i="51"/>
  <c r="AR451" i="51"/>
  <c r="AR454" i="51"/>
  <c r="AR444" i="51"/>
  <c r="AR434" i="51"/>
  <c r="AR430" i="51"/>
  <c r="AR459" i="51"/>
  <c r="AR426" i="51"/>
  <c r="AR427" i="51"/>
  <c r="AR461" i="51"/>
  <c r="AR441" i="51"/>
  <c r="AR431" i="51"/>
  <c r="AR450" i="51"/>
  <c r="AR435" i="51"/>
  <c r="AR442" i="51"/>
  <c r="AR446" i="51"/>
  <c r="AR462" i="51"/>
  <c r="AR447" i="51"/>
  <c r="AR455" i="51"/>
  <c r="AR443" i="51"/>
  <c r="AN69" i="51"/>
  <c r="AN87" i="51"/>
  <c r="AN66" i="51"/>
  <c r="AN59" i="51"/>
  <c r="AN76" i="51"/>
  <c r="AN61" i="51"/>
  <c r="AN89" i="51"/>
  <c r="AN63" i="51"/>
  <c r="AN78" i="51"/>
  <c r="AN80" i="51"/>
  <c r="AN83" i="51"/>
  <c r="AN94" i="51"/>
  <c r="AN67" i="51"/>
  <c r="AN95" i="51"/>
  <c r="AN93" i="51"/>
  <c r="AN74" i="51"/>
  <c r="AN71" i="51"/>
  <c r="AN60" i="51"/>
  <c r="AN91" i="51"/>
  <c r="AN82" i="51"/>
  <c r="AN86" i="51"/>
  <c r="AN64" i="51"/>
  <c r="AN90" i="51"/>
  <c r="AN75" i="51"/>
  <c r="AO262" i="51"/>
  <c r="AO261" i="51"/>
  <c r="AO273" i="51"/>
  <c r="AO250" i="51"/>
  <c r="AO266" i="51"/>
  <c r="AO275" i="51"/>
  <c r="AO277" i="51"/>
  <c r="AO281" i="51"/>
  <c r="AO247" i="51"/>
  <c r="AO253" i="51"/>
  <c r="AO258" i="51"/>
  <c r="AO269" i="51"/>
  <c r="AO244" i="51"/>
  <c r="AO268" i="51"/>
  <c r="AO263" i="51"/>
  <c r="AO271" i="51"/>
  <c r="AO257" i="51"/>
  <c r="AO256" i="51"/>
  <c r="AO274" i="51"/>
  <c r="AO249" i="51"/>
  <c r="AO259" i="51"/>
  <c r="AO251" i="51"/>
  <c r="AO255" i="51"/>
  <c r="AO270" i="51"/>
  <c r="AO254" i="51"/>
  <c r="AO280" i="51"/>
  <c r="AO267" i="51"/>
  <c r="AO248" i="51"/>
  <c r="AO276" i="51"/>
  <c r="AO246" i="51"/>
  <c r="AO278" i="51"/>
  <c r="AO252" i="51"/>
  <c r="AO265" i="51"/>
  <c r="AO245" i="51"/>
  <c r="AO279" i="51"/>
  <c r="Y426" i="51" a="1"/>
  <c r="Y432" i="51" s="1"/>
  <c r="W252" i="51"/>
  <c r="X426" i="51" a="1"/>
  <c r="X436" i="51" s="1"/>
  <c r="V335" i="51" a="1"/>
  <c r="V346" i="51" s="1"/>
  <c r="X159" i="51"/>
  <c r="Y566" i="51"/>
  <c r="W701" i="51"/>
  <c r="W165" i="51"/>
  <c r="AA572" i="51"/>
  <c r="AR69" i="51"/>
  <c r="AR64" i="51"/>
  <c r="Y731" i="51"/>
  <c r="AQ72" i="51"/>
  <c r="AQ66" i="51"/>
  <c r="Z58" i="51" a="1"/>
  <c r="Z78" i="51" s="1"/>
  <c r="AR267" i="51"/>
  <c r="AR260" i="51"/>
  <c r="AR276" i="51"/>
  <c r="AR262" i="51"/>
  <c r="AR249" i="51"/>
  <c r="AN357" i="51"/>
  <c r="AN355" i="51"/>
  <c r="AN339" i="51"/>
  <c r="AN356" i="51"/>
  <c r="AN349" i="51"/>
  <c r="AN352" i="51"/>
  <c r="AN361" i="51"/>
  <c r="AN343" i="51"/>
  <c r="AN338" i="51"/>
  <c r="AN372" i="51"/>
  <c r="AM88" i="51"/>
  <c r="AM86" i="51"/>
  <c r="AM58" i="51"/>
  <c r="AM60" i="51"/>
  <c r="AM85" i="51"/>
  <c r="AM64" i="51"/>
  <c r="AM73" i="51"/>
  <c r="AM68" i="51"/>
  <c r="AM89" i="51"/>
  <c r="AM72" i="51"/>
  <c r="AM79" i="51"/>
  <c r="AM83" i="51"/>
  <c r="AM71" i="51"/>
  <c r="AM82" i="51"/>
  <c r="AM78" i="51"/>
  <c r="AM75" i="51"/>
  <c r="AM70" i="51"/>
  <c r="AM69" i="51"/>
  <c r="AM92" i="51"/>
  <c r="AM65" i="51"/>
  <c r="AM80" i="51"/>
  <c r="AM59" i="51"/>
  <c r="AM74" i="51"/>
  <c r="AM67" i="51"/>
  <c r="AM84" i="51"/>
  <c r="AM94" i="51"/>
  <c r="AM81" i="51"/>
  <c r="Y90" i="51"/>
  <c r="X260" i="51"/>
  <c r="Y265" i="51"/>
  <c r="Z186" i="51"/>
  <c r="V734" i="51"/>
  <c r="V244" i="51" a="1"/>
  <c r="V271" i="51" s="1"/>
  <c r="AR93" i="51"/>
  <c r="AR90" i="51"/>
  <c r="AR63" i="51"/>
  <c r="AQ84" i="51"/>
  <c r="AQ83" i="51"/>
  <c r="AQ71" i="51"/>
  <c r="AQ95" i="51"/>
  <c r="AQ65" i="51"/>
  <c r="AQ74" i="51"/>
  <c r="AQ61" i="51"/>
  <c r="AQ73" i="51"/>
  <c r="AQ63" i="51"/>
  <c r="AQ88" i="51"/>
  <c r="AQ60" i="51"/>
  <c r="AQ58" i="51"/>
  <c r="AQ64" i="51"/>
  <c r="AQ75" i="51"/>
  <c r="AQ78" i="51"/>
  <c r="AQ70" i="51"/>
  <c r="X562" i="51" a="1"/>
  <c r="X588" i="51" s="1"/>
  <c r="AA595" i="51"/>
  <c r="AA582" i="51"/>
  <c r="AA594" i="51"/>
  <c r="AA587" i="51"/>
  <c r="Y586" i="51"/>
  <c r="AA566" i="51"/>
  <c r="AA564" i="51"/>
  <c r="AA441" i="51"/>
  <c r="AA459" i="51"/>
  <c r="AA426" i="51"/>
  <c r="AA462" i="51"/>
  <c r="AA440" i="51"/>
  <c r="Z362" i="51"/>
  <c r="Z360" i="51"/>
  <c r="Z337" i="51"/>
  <c r="Z352" i="51"/>
  <c r="Z341" i="51"/>
  <c r="V175" i="51"/>
  <c r="V155" i="51"/>
  <c r="V154" i="51"/>
  <c r="V190" i="51"/>
  <c r="V174" i="51"/>
  <c r="V183" i="51"/>
  <c r="X173" i="51"/>
  <c r="V153" i="51"/>
  <c r="V188" i="51"/>
  <c r="V160" i="51"/>
  <c r="V179" i="51"/>
  <c r="AA83" i="51"/>
  <c r="W730" i="51"/>
  <c r="Y724" i="51"/>
  <c r="W714" i="51"/>
  <c r="Y732" i="51"/>
  <c r="Y585" i="51"/>
  <c r="AA590" i="51"/>
  <c r="AA589" i="51"/>
  <c r="AA570" i="51"/>
  <c r="AA571" i="51"/>
  <c r="Z564" i="51"/>
  <c r="W579" i="51"/>
  <c r="AA585" i="51"/>
  <c r="AA573" i="51"/>
  <c r="AA599" i="51"/>
  <c r="AA596" i="51"/>
  <c r="AA588" i="51"/>
  <c r="V568" i="51"/>
  <c r="V459" i="51"/>
  <c r="W461" i="51"/>
  <c r="W460" i="51"/>
  <c r="Z359" i="51"/>
  <c r="Z366" i="51"/>
  <c r="Z349" i="51"/>
  <c r="Z350" i="51"/>
  <c r="Z342" i="51"/>
  <c r="Z356" i="51"/>
  <c r="Z372" i="51"/>
  <c r="Z371" i="51"/>
  <c r="X277" i="51"/>
  <c r="Y246" i="51"/>
  <c r="Y269" i="51"/>
  <c r="Y247" i="51"/>
  <c r="X281" i="51"/>
  <c r="W260" i="51"/>
  <c r="Y258" i="51"/>
  <c r="X181" i="51"/>
  <c r="X161" i="51"/>
  <c r="Z156" i="51"/>
  <c r="Z184" i="51"/>
  <c r="X155" i="51"/>
  <c r="X156" i="51"/>
  <c r="X186" i="51"/>
  <c r="Z183" i="51"/>
  <c r="Z162" i="51"/>
  <c r="Y160" i="51"/>
  <c r="Y172" i="51"/>
  <c r="Y162" i="51"/>
  <c r="Y185" i="51"/>
  <c r="AA153" i="51"/>
  <c r="Y189" i="51"/>
  <c r="Y184" i="51"/>
  <c r="Y74" i="51"/>
  <c r="Y75" i="51"/>
  <c r="W94" i="51"/>
  <c r="Y71" i="51"/>
  <c r="Y79" i="51"/>
  <c r="Y67" i="51"/>
  <c r="Y713" i="51"/>
  <c r="Y730" i="51"/>
  <c r="Y598" i="51"/>
  <c r="Y589" i="51"/>
  <c r="Y569" i="51"/>
  <c r="W567" i="51"/>
  <c r="Y594" i="51"/>
  <c r="Y573" i="51"/>
  <c r="Y593" i="51"/>
  <c r="Y574" i="51"/>
  <c r="W590" i="51"/>
  <c r="W566" i="51"/>
  <c r="V584" i="51"/>
  <c r="W456" i="51"/>
  <c r="Y451" i="51"/>
  <c r="AA460" i="51"/>
  <c r="W448" i="51"/>
  <c r="X435" i="51"/>
  <c r="AA457" i="51"/>
  <c r="Z339" i="51"/>
  <c r="Z364" i="51"/>
  <c r="Z363" i="51"/>
  <c r="Z354" i="51"/>
  <c r="Z344" i="51"/>
  <c r="Z347" i="51"/>
  <c r="Z353" i="51"/>
  <c r="Z370" i="51"/>
  <c r="Z358" i="51"/>
  <c r="Z340" i="51"/>
  <c r="Z345" i="51"/>
  <c r="Z367" i="51"/>
  <c r="Z361" i="51"/>
  <c r="Z346" i="51"/>
  <c r="Z355" i="51"/>
  <c r="Z338" i="51"/>
  <c r="Z343" i="51"/>
  <c r="Z348" i="51"/>
  <c r="Z335" i="51"/>
  <c r="V257" i="51"/>
  <c r="Y278" i="51"/>
  <c r="X250" i="51"/>
  <c r="X278" i="51"/>
  <c r="X274" i="51"/>
  <c r="X261" i="51"/>
  <c r="Y252" i="51"/>
  <c r="Y273" i="51"/>
  <c r="X264" i="51"/>
  <c r="X257" i="51"/>
  <c r="Y255" i="51"/>
  <c r="Y267" i="51"/>
  <c r="Y177" i="51"/>
  <c r="Y176" i="51"/>
  <c r="Y173" i="51"/>
  <c r="Y178" i="51"/>
  <c r="Y175" i="51"/>
  <c r="Y154" i="51"/>
  <c r="Y183" i="51"/>
  <c r="Y159" i="51"/>
  <c r="W169" i="51"/>
  <c r="AA66" i="51"/>
  <c r="AA75" i="51"/>
  <c r="X68" i="51"/>
  <c r="AA61" i="51"/>
  <c r="AA79" i="51"/>
  <c r="AA67" i="51"/>
  <c r="X80" i="51"/>
  <c r="AA78" i="51"/>
  <c r="AA95" i="51"/>
  <c r="W90" i="51"/>
  <c r="X59" i="51"/>
  <c r="AA58" i="51"/>
  <c r="AA92" i="51"/>
  <c r="AA64" i="51"/>
  <c r="AA74" i="51"/>
  <c r="AA84" i="51"/>
  <c r="AA94" i="51"/>
  <c r="AA73" i="51"/>
  <c r="AA93" i="51"/>
  <c r="AA77" i="51"/>
  <c r="V733" i="51"/>
  <c r="V708" i="51"/>
  <c r="V721" i="51"/>
  <c r="V709" i="51"/>
  <c r="V717" i="51"/>
  <c r="V715" i="51"/>
  <c r="V713" i="51"/>
  <c r="V711" i="51"/>
  <c r="V703" i="51"/>
  <c r="V723" i="51"/>
  <c r="Z698" i="51"/>
  <c r="Z431" i="51"/>
  <c r="Y431" i="51"/>
  <c r="Z429" i="51"/>
  <c r="Z448" i="51"/>
  <c r="Y445" i="51"/>
  <c r="Z336" i="51"/>
  <c r="W244" i="51"/>
  <c r="W177" i="51"/>
  <c r="W189" i="51"/>
  <c r="W188" i="51"/>
  <c r="AA180" i="51"/>
  <c r="V67" i="51"/>
  <c r="Y87" i="51"/>
  <c r="Y64" i="51"/>
  <c r="W68" i="51"/>
  <c r="Y81" i="51"/>
  <c r="Y88" i="51"/>
  <c r="V251" i="51"/>
  <c r="AA251" i="51"/>
  <c r="W711" i="51"/>
  <c r="W716" i="51"/>
  <c r="X702" i="51"/>
  <c r="Y248" i="51"/>
  <c r="Y263" i="51"/>
  <c r="W91" i="51"/>
  <c r="W71" i="51"/>
  <c r="X707" i="51"/>
  <c r="Z169" i="51"/>
  <c r="X727" i="51"/>
  <c r="V710" i="51"/>
  <c r="V700" i="51"/>
  <c r="V718" i="51"/>
  <c r="V699" i="51"/>
  <c r="V727" i="51"/>
  <c r="V701" i="51"/>
  <c r="V730" i="51"/>
  <c r="V728" i="51"/>
  <c r="V722" i="51"/>
  <c r="Y358" i="51"/>
  <c r="X730" i="51"/>
  <c r="Z190" i="51"/>
  <c r="Z159" i="51"/>
  <c r="Z181" i="51"/>
  <c r="Z180" i="51"/>
  <c r="Z164" i="51"/>
  <c r="Z155" i="51"/>
  <c r="Z161" i="51"/>
  <c r="Z163" i="51"/>
  <c r="Z185" i="51"/>
  <c r="Y359" i="51"/>
  <c r="Y353" i="51"/>
  <c r="Y354" i="51"/>
  <c r="Y344" i="51"/>
  <c r="Y350" i="51"/>
  <c r="Z437" i="51"/>
  <c r="Z720" i="51"/>
  <c r="Z713" i="51"/>
  <c r="Z443" i="51"/>
  <c r="X572" i="51"/>
  <c r="W357" i="51"/>
  <c r="X709" i="51"/>
  <c r="X67" i="51"/>
  <c r="AA443" i="51"/>
  <c r="Y281" i="51"/>
  <c r="Y254" i="51"/>
  <c r="Y264" i="51"/>
  <c r="Y249" i="51"/>
  <c r="Y268" i="51"/>
  <c r="Y257" i="51"/>
  <c r="AA277" i="51"/>
  <c r="V267" i="51"/>
  <c r="W698" i="51"/>
  <c r="W725" i="51"/>
  <c r="AA256" i="51"/>
  <c r="Y279" i="51"/>
  <c r="Y250" i="51"/>
  <c r="W75" i="51"/>
  <c r="W60" i="51"/>
  <c r="Z449" i="51"/>
  <c r="Z727" i="51"/>
  <c r="Z459" i="51"/>
  <c r="Z188" i="51"/>
  <c r="Z175" i="51"/>
  <c r="Z154" i="51"/>
  <c r="Z173" i="51"/>
  <c r="Z157" i="51"/>
  <c r="Z187" i="51"/>
  <c r="Z177" i="51"/>
  <c r="Z179" i="51"/>
  <c r="Z704" i="51"/>
  <c r="Z699" i="51"/>
  <c r="Z160" i="51"/>
  <c r="Y251" i="51"/>
  <c r="Y280" i="51"/>
  <c r="Y275" i="51"/>
  <c r="Y261" i="51"/>
  <c r="Y244" i="51"/>
  <c r="V244" i="51"/>
  <c r="W702" i="51"/>
  <c r="W728" i="51"/>
  <c r="X461" i="51"/>
  <c r="Y266" i="51"/>
  <c r="Y272" i="51"/>
  <c r="W67" i="51"/>
  <c r="W63" i="51"/>
  <c r="X728" i="51"/>
  <c r="Z438" i="51"/>
  <c r="X708" i="51"/>
  <c r="V731" i="51"/>
  <c r="V719" i="51"/>
  <c r="V707" i="51"/>
  <c r="V732" i="51"/>
  <c r="V705" i="51"/>
  <c r="V704" i="51"/>
  <c r="V698" i="51"/>
  <c r="V735" i="51"/>
  <c r="V729" i="51"/>
  <c r="Z171" i="51"/>
  <c r="Z434" i="51"/>
  <c r="Z165" i="51"/>
  <c r="Z166" i="51"/>
  <c r="Z178" i="51"/>
  <c r="Z158" i="51"/>
  <c r="Z189" i="51"/>
  <c r="Z168" i="51"/>
  <c r="Z182" i="51"/>
  <c r="Z176" i="51"/>
  <c r="Y370" i="51"/>
  <c r="Y362" i="51"/>
  <c r="Y343" i="51"/>
  <c r="Y340" i="51"/>
  <c r="Z711" i="51"/>
  <c r="Z706" i="51"/>
  <c r="Z734" i="51"/>
  <c r="X593" i="51"/>
  <c r="W345" i="51"/>
  <c r="X570" i="51"/>
  <c r="W712" i="51"/>
  <c r="Y277" i="51"/>
  <c r="Y259" i="51"/>
  <c r="Y271" i="51"/>
  <c r="Y262" i="51"/>
  <c r="Y260" i="51"/>
  <c r="Y270" i="51"/>
  <c r="AA250" i="51"/>
  <c r="AA276" i="51"/>
  <c r="V81" i="51"/>
  <c r="W715" i="51"/>
  <c r="W703" i="51"/>
  <c r="W719" i="51"/>
  <c r="W734" i="51"/>
  <c r="AA269" i="51"/>
  <c r="W83" i="51"/>
  <c r="W80" i="51"/>
  <c r="W95" i="51"/>
  <c r="W62" i="51"/>
  <c r="Y721" i="51"/>
  <c r="AA703" i="51"/>
  <c r="AA335" i="51"/>
  <c r="W172" i="51"/>
  <c r="W155" i="51"/>
  <c r="W587" i="51"/>
  <c r="W571" i="51"/>
  <c r="W251" i="51"/>
  <c r="W267" i="51"/>
  <c r="W76" i="51"/>
  <c r="AA591" i="51"/>
  <c r="AA598" i="51"/>
  <c r="AA583" i="51"/>
  <c r="AA574" i="51"/>
  <c r="AA579" i="51"/>
  <c r="AA565" i="51"/>
  <c r="AA586" i="51"/>
  <c r="AA575" i="51"/>
  <c r="AA562" i="51"/>
  <c r="AA158" i="51"/>
  <c r="AA190" i="51"/>
  <c r="AA259" i="51"/>
  <c r="Z590" i="51"/>
  <c r="X371" i="51"/>
  <c r="V563" i="51"/>
  <c r="W699" i="51"/>
  <c r="Y276" i="51"/>
  <c r="Y245" i="51"/>
  <c r="Y253" i="51"/>
  <c r="AA264" i="51"/>
  <c r="V461" i="51"/>
  <c r="AA258" i="51"/>
  <c r="W700" i="51"/>
  <c r="W732" i="51"/>
  <c r="W727" i="51"/>
  <c r="AA578" i="51"/>
  <c r="W58" i="51"/>
  <c r="W64" i="51"/>
  <c r="W65" i="51"/>
  <c r="W73" i="51"/>
  <c r="Y708" i="51"/>
  <c r="Y702" i="51"/>
  <c r="Z579" i="51"/>
  <c r="W175" i="51"/>
  <c r="W163" i="51"/>
  <c r="W586" i="51"/>
  <c r="W596" i="51"/>
  <c r="Z79" i="51"/>
  <c r="W257" i="51"/>
  <c r="AA584" i="51"/>
  <c r="AA569" i="51"/>
  <c r="AA592" i="51"/>
  <c r="AA567" i="51"/>
  <c r="AA576" i="51"/>
  <c r="AA593" i="51"/>
  <c r="AA580" i="51"/>
  <c r="AA577" i="51"/>
  <c r="AA159" i="51"/>
  <c r="W733" i="51"/>
  <c r="W731" i="51"/>
  <c r="AA339" i="51"/>
  <c r="X434" i="51"/>
  <c r="Y711" i="51"/>
  <c r="W708" i="51"/>
  <c r="W168" i="51"/>
  <c r="X449" i="51"/>
  <c r="W569" i="51"/>
  <c r="W186" i="51"/>
  <c r="W180" i="51"/>
  <c r="W158" i="51"/>
  <c r="W181" i="51"/>
  <c r="W156" i="51"/>
  <c r="W185" i="51"/>
  <c r="W167" i="51"/>
  <c r="W154" i="51"/>
  <c r="AA346" i="51"/>
  <c r="W572" i="51"/>
  <c r="W562" i="51"/>
  <c r="W592" i="51"/>
  <c r="W564" i="51"/>
  <c r="W584" i="51"/>
  <c r="W599" i="51"/>
  <c r="W593" i="51"/>
  <c r="W582" i="51"/>
  <c r="Z65" i="51"/>
  <c r="Z83" i="51"/>
  <c r="W577" i="51"/>
  <c r="Z596" i="51"/>
  <c r="Z593" i="51"/>
  <c r="X431" i="51"/>
  <c r="Z572" i="51"/>
  <c r="X443" i="51"/>
  <c r="V359" i="51"/>
  <c r="AA347" i="51"/>
  <c r="Z598" i="51"/>
  <c r="X454" i="51"/>
  <c r="W595" i="51"/>
  <c r="W157" i="51"/>
  <c r="W173" i="51"/>
  <c r="W166" i="51"/>
  <c r="W171" i="51"/>
  <c r="W174" i="51"/>
  <c r="W176" i="51"/>
  <c r="W162" i="51"/>
  <c r="W164" i="51"/>
  <c r="W170" i="51"/>
  <c r="W594" i="51"/>
  <c r="W585" i="51"/>
  <c r="W565" i="51"/>
  <c r="W563" i="51"/>
  <c r="W574" i="51"/>
  <c r="W589" i="51"/>
  <c r="W598" i="51"/>
  <c r="Z84" i="51"/>
  <c r="Z594" i="51"/>
  <c r="W568" i="51"/>
  <c r="AA340" i="51"/>
  <c r="Z582" i="51"/>
  <c r="Z568" i="51"/>
  <c r="V372" i="51"/>
  <c r="V351" i="51"/>
  <c r="AA364" i="51"/>
  <c r="W597" i="51"/>
  <c r="W184" i="51"/>
  <c r="AA698" i="51"/>
  <c r="AA344" i="51"/>
  <c r="W182" i="51"/>
  <c r="W179" i="51"/>
  <c r="W160" i="51"/>
  <c r="W187" i="51"/>
  <c r="W183" i="51"/>
  <c r="W159" i="51"/>
  <c r="W153" i="51"/>
  <c r="W178" i="51"/>
  <c r="W161" i="51"/>
  <c r="W190" i="51"/>
  <c r="W581" i="51"/>
  <c r="W575" i="51"/>
  <c r="W578" i="51"/>
  <c r="W591" i="51"/>
  <c r="W573" i="51"/>
  <c r="W588" i="51"/>
  <c r="W583" i="51"/>
  <c r="W580" i="51"/>
  <c r="Z76" i="51"/>
  <c r="Z75" i="51"/>
  <c r="AA370" i="51"/>
  <c r="Z580" i="51"/>
  <c r="Z563" i="51"/>
  <c r="AA336" i="51"/>
  <c r="X428" i="51"/>
  <c r="W347" i="51"/>
  <c r="V349" i="51"/>
  <c r="V428" i="51"/>
  <c r="V434" i="51"/>
  <c r="V455" i="51"/>
  <c r="Y597" i="51"/>
  <c r="Y563" i="51"/>
  <c r="Y572" i="51"/>
  <c r="Y587" i="51"/>
  <c r="Y571" i="51"/>
  <c r="Y576" i="51"/>
  <c r="Y581" i="51"/>
  <c r="Y565" i="51"/>
  <c r="Y564" i="51"/>
  <c r="Y590" i="51"/>
  <c r="X182" i="51"/>
  <c r="Z584" i="51"/>
  <c r="X276" i="51"/>
  <c r="X262" i="51"/>
  <c r="X246" i="51"/>
  <c r="X174" i="51"/>
  <c r="X176" i="51"/>
  <c r="X158" i="51"/>
  <c r="X189" i="51"/>
  <c r="X166" i="51"/>
  <c r="X177" i="51"/>
  <c r="X163" i="51"/>
  <c r="X153" i="51"/>
  <c r="X178" i="51"/>
  <c r="X77" i="51"/>
  <c r="X82" i="51"/>
  <c r="AA177" i="51"/>
  <c r="AA163" i="51"/>
  <c r="AA186" i="51"/>
  <c r="AA173" i="51"/>
  <c r="AA183" i="51"/>
  <c r="X254" i="51"/>
  <c r="Z589" i="51"/>
  <c r="Z567" i="51"/>
  <c r="Z562" i="51"/>
  <c r="Z565" i="51"/>
  <c r="Z570" i="51"/>
  <c r="Z583" i="51"/>
  <c r="Z588" i="51"/>
  <c r="W445" i="51"/>
  <c r="W441" i="51"/>
  <c r="W438" i="51"/>
  <c r="W455" i="51"/>
  <c r="W434" i="51"/>
  <c r="Y454" i="51"/>
  <c r="V576" i="51"/>
  <c r="Y448" i="51"/>
  <c r="V587" i="51"/>
  <c r="X245" i="51"/>
  <c r="V579" i="51"/>
  <c r="X259" i="51"/>
  <c r="X65" i="51"/>
  <c r="Y429" i="51"/>
  <c r="Y430" i="51"/>
  <c r="Z591" i="51"/>
  <c r="X78" i="51"/>
  <c r="X90" i="51"/>
  <c r="X92" i="51"/>
  <c r="AA433" i="51"/>
  <c r="Y463" i="51"/>
  <c r="Y456" i="51"/>
  <c r="X258" i="51"/>
  <c r="Y256" i="51"/>
  <c r="Y274" i="51"/>
  <c r="X265" i="51"/>
  <c r="V454" i="51"/>
  <c r="V463" i="51"/>
  <c r="Y568" i="51"/>
  <c r="Y595" i="51"/>
  <c r="Y588" i="51"/>
  <c r="Y577" i="51"/>
  <c r="Y567" i="51"/>
  <c r="Y592" i="51"/>
  <c r="Y583" i="51"/>
  <c r="Y579" i="51"/>
  <c r="Y580" i="51"/>
  <c r="X247" i="51"/>
  <c r="X263" i="51"/>
  <c r="X249" i="51"/>
  <c r="X272" i="51"/>
  <c r="X165" i="51"/>
  <c r="X164" i="51"/>
  <c r="X187" i="51"/>
  <c r="X179" i="51"/>
  <c r="X180" i="51"/>
  <c r="X154" i="51"/>
  <c r="X183" i="51"/>
  <c r="X169" i="51"/>
  <c r="X171" i="51"/>
  <c r="W450" i="51"/>
  <c r="X66" i="51"/>
  <c r="AA160" i="51"/>
  <c r="AA166" i="51"/>
  <c r="AA154" i="51"/>
  <c r="AA170" i="51"/>
  <c r="X266" i="51"/>
  <c r="X280" i="51"/>
  <c r="X267" i="51"/>
  <c r="Z576" i="51"/>
  <c r="Z578" i="51"/>
  <c r="Z581" i="51"/>
  <c r="Z597" i="51"/>
  <c r="Z569" i="51"/>
  <c r="Z599" i="51"/>
  <c r="Z586" i="51"/>
  <c r="W435" i="51"/>
  <c r="W462" i="51"/>
  <c r="W432" i="51"/>
  <c r="W453" i="51"/>
  <c r="W428" i="51"/>
  <c r="Y439" i="51"/>
  <c r="Y458" i="51"/>
  <c r="V592" i="51"/>
  <c r="V598" i="51"/>
  <c r="Y450" i="51"/>
  <c r="X275" i="51"/>
  <c r="X269" i="51"/>
  <c r="X244" i="51"/>
  <c r="Y452" i="51"/>
  <c r="Y434" i="51"/>
  <c r="Z571" i="51"/>
  <c r="X75" i="51"/>
  <c r="X64" i="51"/>
  <c r="X81" i="51"/>
  <c r="X71" i="51"/>
  <c r="X270" i="51"/>
  <c r="V571" i="51"/>
  <c r="V426" i="51"/>
  <c r="V442" i="51"/>
  <c r="V460" i="51"/>
  <c r="Y578" i="51"/>
  <c r="Y591" i="51"/>
  <c r="Y582" i="51"/>
  <c r="Y562" i="51"/>
  <c r="Y599" i="51"/>
  <c r="Y570" i="51"/>
  <c r="Y584" i="51"/>
  <c r="Y575" i="51"/>
  <c r="Y596" i="51"/>
  <c r="X251" i="51"/>
  <c r="X252" i="51"/>
  <c r="X256" i="51"/>
  <c r="X271" i="51"/>
  <c r="X190" i="51"/>
  <c r="X167" i="51"/>
  <c r="X184" i="51"/>
  <c r="X188" i="51"/>
  <c r="X160" i="51"/>
  <c r="X170" i="51"/>
  <c r="X168" i="51"/>
  <c r="X185" i="51"/>
  <c r="X63" i="51"/>
  <c r="AA178" i="51"/>
  <c r="AA168" i="51"/>
  <c r="AA174" i="51"/>
  <c r="AA161" i="51"/>
  <c r="X253" i="51"/>
  <c r="X268" i="51"/>
  <c r="Z573" i="51"/>
  <c r="Z587" i="51"/>
  <c r="Z575" i="51"/>
  <c r="Z595" i="51"/>
  <c r="Z585" i="51"/>
  <c r="Z574" i="51"/>
  <c r="Z577" i="51"/>
  <c r="W440" i="51"/>
  <c r="W430" i="51"/>
  <c r="W463" i="51"/>
  <c r="W426" i="51"/>
  <c r="X175" i="51"/>
  <c r="Y433" i="51"/>
  <c r="Y438" i="51"/>
  <c r="Y440" i="51"/>
  <c r="Z566" i="51"/>
  <c r="V570" i="51"/>
  <c r="Y462" i="51"/>
  <c r="V574" i="51"/>
  <c r="Y435" i="51"/>
  <c r="Y443" i="51"/>
  <c r="X279" i="51"/>
  <c r="X255" i="51"/>
  <c r="V597" i="51"/>
  <c r="X248" i="51"/>
  <c r="X273" i="51"/>
  <c r="Y428" i="51"/>
  <c r="X88" i="51"/>
  <c r="X76" i="51"/>
  <c r="X72" i="51"/>
  <c r="AA245" i="51"/>
  <c r="V448" i="51"/>
  <c r="V452" i="51"/>
  <c r="V458" i="51"/>
  <c r="V430" i="51"/>
  <c r="V450" i="51"/>
  <c r="AA257" i="51"/>
  <c r="V77" i="51"/>
  <c r="V68" i="51"/>
  <c r="W704" i="51"/>
  <c r="W713" i="51"/>
  <c r="W720" i="51"/>
  <c r="W723" i="51"/>
  <c r="W724" i="51"/>
  <c r="W705" i="51"/>
  <c r="W707" i="51"/>
  <c r="AA263" i="51"/>
  <c r="W81" i="51"/>
  <c r="W89" i="51"/>
  <c r="W72" i="51"/>
  <c r="W86" i="51"/>
  <c r="W66" i="51"/>
  <c r="W79" i="51"/>
  <c r="W84" i="51"/>
  <c r="W87" i="51"/>
  <c r="W92" i="51"/>
  <c r="X442" i="51"/>
  <c r="AA249" i="51"/>
  <c r="AA371" i="51"/>
  <c r="AA352" i="51"/>
  <c r="W276" i="51"/>
  <c r="W274" i="51"/>
  <c r="Y73" i="51"/>
  <c r="W710" i="51"/>
  <c r="AA337" i="51"/>
  <c r="AA365" i="51"/>
  <c r="Y95" i="51"/>
  <c r="Y62" i="51"/>
  <c r="Y93" i="51"/>
  <c r="Y69" i="51"/>
  <c r="X430" i="51"/>
  <c r="X440" i="51"/>
  <c r="X452" i="51"/>
  <c r="W82" i="51"/>
  <c r="W365" i="51"/>
  <c r="W336" i="51"/>
  <c r="V358" i="51"/>
  <c r="W735" i="51"/>
  <c r="AA348" i="51"/>
  <c r="AA252" i="51"/>
  <c r="AA271" i="51"/>
  <c r="V436" i="51"/>
  <c r="V444" i="51"/>
  <c r="V462" i="51"/>
  <c r="V447" i="51"/>
  <c r="AA244" i="51"/>
  <c r="V78" i="51"/>
  <c r="V70" i="51"/>
  <c r="V63" i="51"/>
  <c r="W722" i="51"/>
  <c r="W726" i="51"/>
  <c r="W721" i="51"/>
  <c r="W709" i="51"/>
  <c r="W717" i="51"/>
  <c r="W706" i="51"/>
  <c r="W718" i="51"/>
  <c r="AA262" i="51"/>
  <c r="W74" i="51"/>
  <c r="W69" i="51"/>
  <c r="W88" i="51"/>
  <c r="W77" i="51"/>
  <c r="W61" i="51"/>
  <c r="W70" i="51"/>
  <c r="W85" i="51"/>
  <c r="W78" i="51"/>
  <c r="AA342" i="51"/>
  <c r="W266" i="51"/>
  <c r="W273" i="51"/>
  <c r="W272" i="51"/>
  <c r="Y77" i="51"/>
  <c r="X427" i="51"/>
  <c r="AA372" i="51"/>
  <c r="AA350" i="51"/>
  <c r="AA281" i="51"/>
  <c r="Y86" i="51"/>
  <c r="Y84" i="51"/>
  <c r="Y82" i="51"/>
  <c r="Y58" i="51"/>
  <c r="X438" i="51"/>
  <c r="W729" i="51"/>
  <c r="W371" i="51"/>
  <c r="V354" i="51"/>
  <c r="V340" i="51"/>
  <c r="W93" i="51"/>
  <c r="AA341" i="51"/>
  <c r="W346" i="51"/>
  <c r="V431" i="51"/>
  <c r="AA248" i="51"/>
  <c r="AA261" i="51"/>
  <c r="V432" i="51"/>
  <c r="V443" i="51"/>
  <c r="V451" i="51"/>
  <c r="V435" i="51"/>
  <c r="V439" i="51"/>
  <c r="V457" i="51"/>
  <c r="V441" i="51"/>
  <c r="V437" i="51"/>
  <c r="V456" i="51"/>
  <c r="AA267" i="51"/>
  <c r="AA278" i="51"/>
  <c r="AA247" i="51"/>
  <c r="AA270" i="51"/>
  <c r="AA715" i="51"/>
  <c r="AA360" i="51"/>
  <c r="AA357" i="51"/>
  <c r="AA355" i="51"/>
  <c r="AA353" i="51"/>
  <c r="X84" i="51"/>
  <c r="X61" i="51"/>
  <c r="AA356" i="51"/>
  <c r="AA351" i="51"/>
  <c r="AA361" i="51"/>
  <c r="AA268" i="51"/>
  <c r="AA367" i="51"/>
  <c r="Y70" i="51"/>
  <c r="Y60" i="51"/>
  <c r="Y68" i="51"/>
  <c r="Y89" i="51"/>
  <c r="Y61" i="51"/>
  <c r="Y66" i="51"/>
  <c r="Y91" i="51"/>
  <c r="Y80" i="51"/>
  <c r="Y83" i="51"/>
  <c r="X463" i="51"/>
  <c r="X457" i="51"/>
  <c r="X447" i="51"/>
  <c r="X445" i="51"/>
  <c r="X350" i="51"/>
  <c r="V168" i="51"/>
  <c r="V165" i="51"/>
  <c r="V176" i="51"/>
  <c r="V159" i="51"/>
  <c r="X366" i="51"/>
  <c r="W348" i="51"/>
  <c r="W340" i="51"/>
  <c r="V355" i="51"/>
  <c r="V345" i="51"/>
  <c r="X89" i="51"/>
  <c r="X95" i="51"/>
  <c r="X91" i="51"/>
  <c r="X60" i="51"/>
  <c r="X73" i="51"/>
  <c r="X70" i="51"/>
  <c r="AA338" i="51"/>
  <c r="AA362" i="51"/>
  <c r="AA272" i="51"/>
  <c r="V182" i="51"/>
  <c r="V186" i="51"/>
  <c r="V164" i="51"/>
  <c r="V181" i="51"/>
  <c r="V185" i="51"/>
  <c r="X83" i="51"/>
  <c r="W351" i="51"/>
  <c r="W370" i="51"/>
  <c r="W342" i="51"/>
  <c r="W341" i="51"/>
  <c r="W360" i="51"/>
  <c r="W337" i="51"/>
  <c r="AA280" i="51"/>
  <c r="AA255" i="51"/>
  <c r="AA274" i="51"/>
  <c r="V427" i="51"/>
  <c r="V440" i="51"/>
  <c r="V449" i="51"/>
  <c r="V445" i="51"/>
  <c r="V446" i="51"/>
  <c r="V433" i="51"/>
  <c r="V429" i="51"/>
  <c r="V438" i="51"/>
  <c r="AA260" i="51"/>
  <c r="AA273" i="51"/>
  <c r="AA266" i="51"/>
  <c r="AA279" i="51"/>
  <c r="AA253" i="51"/>
  <c r="AA709" i="51"/>
  <c r="X453" i="51"/>
  <c r="AA275" i="51"/>
  <c r="AA363" i="51"/>
  <c r="AA354" i="51"/>
  <c r="AA254" i="51"/>
  <c r="AA343" i="51"/>
  <c r="X79" i="51"/>
  <c r="X93" i="51"/>
  <c r="X94" i="51"/>
  <c r="X448" i="51"/>
  <c r="AA246" i="51"/>
  <c r="AA358" i="51"/>
  <c r="AA349" i="51"/>
  <c r="AA368" i="51"/>
  <c r="AA366" i="51"/>
  <c r="Y65" i="51"/>
  <c r="Y92" i="51"/>
  <c r="Y76" i="51"/>
  <c r="Y94" i="51"/>
  <c r="Y78" i="51"/>
  <c r="Y72" i="51"/>
  <c r="Y59" i="51"/>
  <c r="Y85" i="51"/>
  <c r="X433" i="51"/>
  <c r="X450" i="51"/>
  <c r="X441" i="51"/>
  <c r="X455" i="51"/>
  <c r="V157" i="51"/>
  <c r="V163" i="51"/>
  <c r="V184" i="51"/>
  <c r="V338" i="51"/>
  <c r="X357" i="51"/>
  <c r="V170" i="51"/>
  <c r="V187" i="51"/>
  <c r="W352" i="51"/>
  <c r="W343" i="51"/>
  <c r="W339" i="51"/>
  <c r="W350" i="51"/>
  <c r="V363" i="51"/>
  <c r="X69" i="51"/>
  <c r="X74" i="51"/>
  <c r="X85" i="51"/>
  <c r="X62" i="51"/>
  <c r="X87" i="51"/>
  <c r="X58" i="51"/>
  <c r="AA359" i="51"/>
  <c r="V156" i="51"/>
  <c r="V173" i="51"/>
  <c r="V167" i="51"/>
  <c r="V161" i="51"/>
  <c r="W338" i="51"/>
  <c r="W355" i="51"/>
  <c r="W246" i="51"/>
  <c r="W254" i="51"/>
  <c r="W255" i="51"/>
  <c r="W280" i="51"/>
  <c r="W265" i="51"/>
  <c r="W258" i="51"/>
  <c r="W263" i="51"/>
  <c r="W262" i="51"/>
  <c r="W248" i="51"/>
  <c r="W270" i="51"/>
  <c r="W256" i="51"/>
  <c r="W278" i="51"/>
  <c r="W277" i="51"/>
  <c r="W264" i="51"/>
  <c r="W249" i="51"/>
  <c r="W275" i="51"/>
  <c r="W250" i="51"/>
  <c r="W247" i="51"/>
  <c r="W245" i="51"/>
  <c r="W271" i="51"/>
  <c r="W281" i="51"/>
  <c r="W268" i="51"/>
  <c r="W253" i="51"/>
  <c r="W279" i="51"/>
  <c r="W261" i="51"/>
  <c r="W259" i="51"/>
  <c r="W269" i="51"/>
  <c r="D557" i="49"/>
  <c r="D553" i="49"/>
  <c r="D534" i="49"/>
  <c r="D536" i="49"/>
  <c r="D365" i="49"/>
  <c r="D362" i="49"/>
  <c r="D541" i="49"/>
  <c r="D535" i="49"/>
  <c r="D537" i="49"/>
  <c r="D531" i="49"/>
  <c r="D563" i="49"/>
  <c r="D542" i="49"/>
  <c r="D562" i="49"/>
  <c r="D544" i="49"/>
  <c r="D549" i="49"/>
  <c r="D543" i="49"/>
  <c r="D545" i="49"/>
  <c r="D539" i="49"/>
  <c r="D530" i="49"/>
  <c r="D546" i="49"/>
  <c r="D532" i="49"/>
  <c r="D552" i="49"/>
  <c r="D360" i="49"/>
  <c r="D357" i="49"/>
  <c r="D559" i="49"/>
  <c r="D550" i="49"/>
  <c r="D548" i="49"/>
  <c r="D364" i="49"/>
  <c r="D356" i="49"/>
  <c r="D372" i="49"/>
  <c r="D375" i="49"/>
  <c r="D192" i="49"/>
  <c r="D363" i="49"/>
  <c r="D367" i="49"/>
  <c r="D370" i="49"/>
  <c r="D376" i="49"/>
  <c r="D377" i="49"/>
  <c r="D390" i="49"/>
  <c r="D380" i="49"/>
  <c r="D384" i="49"/>
  <c r="D391" i="49"/>
  <c r="D393" i="49"/>
  <c r="D373" i="49"/>
  <c r="D188" i="49"/>
  <c r="D386" i="49"/>
  <c r="D359" i="49"/>
  <c r="D369" i="49"/>
  <c r="D374" i="49"/>
  <c r="D361" i="49"/>
  <c r="D382" i="49"/>
  <c r="D378" i="49"/>
  <c r="D379" i="49"/>
  <c r="D212" i="49"/>
  <c r="D392" i="49"/>
  <c r="D388" i="49"/>
  <c r="D381" i="49"/>
  <c r="D387" i="49"/>
  <c r="D383" i="49"/>
  <c r="D368" i="49"/>
  <c r="D389" i="49"/>
  <c r="D371" i="49"/>
  <c r="D198" i="49"/>
  <c r="D184" i="49"/>
  <c r="D200" i="49"/>
  <c r="D196" i="49"/>
  <c r="D191" i="49"/>
  <c r="D194" i="49"/>
  <c r="D211" i="49"/>
  <c r="D221" i="49"/>
  <c r="D207" i="49"/>
  <c r="D216" i="49"/>
  <c r="D217" i="49"/>
  <c r="D220" i="49"/>
  <c r="D195" i="49"/>
  <c r="D205" i="49"/>
  <c r="D219" i="49"/>
  <c r="D187" i="49"/>
  <c r="D190" i="49"/>
  <c r="D197" i="49"/>
  <c r="D202" i="49"/>
  <c r="D185" i="49"/>
  <c r="D215" i="49"/>
  <c r="D218" i="49"/>
  <c r="D186" i="49"/>
  <c r="D193" i="49"/>
  <c r="D203" i="49"/>
  <c r="D206" i="49"/>
  <c r="D213" i="49"/>
  <c r="D199" i="49"/>
  <c r="D209" i="49"/>
  <c r="D208" i="49"/>
  <c r="D204" i="49"/>
  <c r="D214" i="49"/>
  <c r="D189" i="49"/>
  <c r="D201" i="49"/>
  <c r="C11" i="57" a="1"/>
  <c r="C48" i="57" s="1"/>
  <c r="Z74" i="51" l="1"/>
  <c r="Z716" i="51"/>
  <c r="V259" i="51"/>
  <c r="X584" i="51"/>
  <c r="Z725" i="51"/>
  <c r="AA447" i="51"/>
  <c r="AA563" i="51"/>
  <c r="X573" i="51"/>
  <c r="X592" i="51"/>
  <c r="Z90" i="51"/>
  <c r="Z85" i="51"/>
  <c r="V342" i="51"/>
  <c r="V250" i="51"/>
  <c r="Z729" i="51"/>
  <c r="Z708" i="51"/>
  <c r="V263" i="51"/>
  <c r="X575" i="51"/>
  <c r="Z723" i="51"/>
  <c r="Z88" i="51"/>
  <c r="V265" i="51"/>
  <c r="AA463" i="51"/>
  <c r="Y174" i="51"/>
  <c r="AA439" i="51"/>
  <c r="AA428" i="51"/>
  <c r="Z92" i="51"/>
  <c r="Y706" i="51"/>
  <c r="AA728" i="51"/>
  <c r="X349" i="51"/>
  <c r="AA705" i="51"/>
  <c r="AA725" i="51"/>
  <c r="V575" i="51"/>
  <c r="V578" i="51"/>
  <c r="V565" i="51"/>
  <c r="V567" i="51"/>
  <c r="AA724" i="51"/>
  <c r="X566" i="51"/>
  <c r="X717" i="51"/>
  <c r="V581" i="51"/>
  <c r="Y345" i="51"/>
  <c r="V356" i="51"/>
  <c r="AA720" i="51"/>
  <c r="W335" i="51"/>
  <c r="W364" i="51"/>
  <c r="X351" i="51"/>
  <c r="W359" i="51"/>
  <c r="X359" i="51"/>
  <c r="AA701" i="51"/>
  <c r="V360" i="51"/>
  <c r="AA714" i="51"/>
  <c r="X354" i="51"/>
  <c r="AA699" i="51"/>
  <c r="V585" i="51"/>
  <c r="Y437" i="51"/>
  <c r="AA187" i="51"/>
  <c r="V569" i="51"/>
  <c r="W449" i="51"/>
  <c r="W429" i="51"/>
  <c r="AA156" i="51"/>
  <c r="Y461" i="51"/>
  <c r="AA176" i="51"/>
  <c r="V590" i="51"/>
  <c r="Y453" i="51"/>
  <c r="AA164" i="51"/>
  <c r="V588" i="51"/>
  <c r="W446" i="51"/>
  <c r="AA171" i="51"/>
  <c r="W362" i="51"/>
  <c r="Z77" i="51"/>
  <c r="Z86" i="51"/>
  <c r="Z80" i="51"/>
  <c r="AA179" i="51"/>
  <c r="Y698" i="51"/>
  <c r="Y715" i="51"/>
  <c r="X586" i="51"/>
  <c r="Y352" i="51"/>
  <c r="V246" i="51"/>
  <c r="Z718" i="51"/>
  <c r="Y457" i="51"/>
  <c r="X590" i="51"/>
  <c r="Z709" i="51"/>
  <c r="Y342" i="51"/>
  <c r="Y338" i="51"/>
  <c r="Y355" i="51"/>
  <c r="X724" i="51"/>
  <c r="X725" i="51"/>
  <c r="V278" i="51"/>
  <c r="V276" i="51"/>
  <c r="V566" i="51"/>
  <c r="X591" i="51"/>
  <c r="V591" i="51"/>
  <c r="Z728" i="51"/>
  <c r="AA182" i="51"/>
  <c r="Y158" i="51"/>
  <c r="AA169" i="51"/>
  <c r="Y190" i="51"/>
  <c r="Y165" i="51"/>
  <c r="Y449" i="51"/>
  <c r="X565" i="51"/>
  <c r="X577" i="51"/>
  <c r="Y701" i="51"/>
  <c r="Y712" i="51"/>
  <c r="Y161" i="51"/>
  <c r="Y153" i="51"/>
  <c r="Y164" i="51"/>
  <c r="Y726" i="51"/>
  <c r="Y716" i="51"/>
  <c r="Y729" i="51"/>
  <c r="W451" i="51"/>
  <c r="Y351" i="51"/>
  <c r="W354" i="51"/>
  <c r="Y171" i="51"/>
  <c r="Y363" i="51"/>
  <c r="Y361" i="51"/>
  <c r="Y360" i="51"/>
  <c r="Y356" i="51"/>
  <c r="W444" i="51"/>
  <c r="Y348" i="51"/>
  <c r="V720" i="51"/>
  <c r="Y718" i="51"/>
  <c r="Y725" i="51"/>
  <c r="Y722" i="51"/>
  <c r="V595" i="51"/>
  <c r="Y710" i="51"/>
  <c r="Y717" i="51"/>
  <c r="X713" i="51"/>
  <c r="V253" i="51"/>
  <c r="V273" i="51"/>
  <c r="X342" i="51"/>
  <c r="V268" i="51"/>
  <c r="X704" i="51"/>
  <c r="X564" i="51"/>
  <c r="X701" i="51"/>
  <c r="X698" i="51"/>
  <c r="V281" i="51"/>
  <c r="V248" i="51"/>
  <c r="X563" i="51"/>
  <c r="V599" i="51"/>
  <c r="V277" i="51"/>
  <c r="V258" i="51"/>
  <c r="X562" i="51"/>
  <c r="X589" i="51"/>
  <c r="Y728" i="51"/>
  <c r="Y699" i="51"/>
  <c r="Y709" i="51"/>
  <c r="Y727" i="51"/>
  <c r="X569" i="51"/>
  <c r="W363" i="51"/>
  <c r="V343" i="51"/>
  <c r="V361" i="51"/>
  <c r="V366" i="51"/>
  <c r="Y447" i="51"/>
  <c r="AA172" i="51"/>
  <c r="Y426" i="51"/>
  <c r="Y444" i="51"/>
  <c r="V596" i="51"/>
  <c r="W436" i="51"/>
  <c r="W431" i="51"/>
  <c r="AA157" i="51"/>
  <c r="Y442" i="51"/>
  <c r="W458" i="51"/>
  <c r="AA162" i="51"/>
  <c r="V564" i="51"/>
  <c r="Y720" i="51"/>
  <c r="Y703" i="51"/>
  <c r="Z67" i="51"/>
  <c r="Y705" i="51"/>
  <c r="X581" i="51"/>
  <c r="X571" i="51"/>
  <c r="Z712" i="51"/>
  <c r="Z700" i="51"/>
  <c r="Y349" i="51"/>
  <c r="X733" i="51"/>
  <c r="X716" i="51"/>
  <c r="V247" i="51"/>
  <c r="Z703" i="51"/>
  <c r="Z730" i="51"/>
  <c r="V279" i="51"/>
  <c r="V269" i="51"/>
  <c r="Z721" i="51"/>
  <c r="W353" i="51"/>
  <c r="V350" i="51"/>
  <c r="W366" i="51"/>
  <c r="X451" i="51"/>
  <c r="X460" i="51"/>
  <c r="AA708" i="51"/>
  <c r="W358" i="51"/>
  <c r="W349" i="51"/>
  <c r="W369" i="51"/>
  <c r="V347" i="51"/>
  <c r="W372" i="51"/>
  <c r="W368" i="51"/>
  <c r="X432" i="51"/>
  <c r="X456" i="51"/>
  <c r="AA710" i="51"/>
  <c r="AA711" i="51"/>
  <c r="W356" i="51"/>
  <c r="X429" i="51"/>
  <c r="AA735" i="51"/>
  <c r="W361" i="51"/>
  <c r="V580" i="51"/>
  <c r="V594" i="51"/>
  <c r="V589" i="51"/>
  <c r="Y436" i="51"/>
  <c r="V572" i="51"/>
  <c r="W452" i="51"/>
  <c r="W459" i="51"/>
  <c r="AA185" i="51"/>
  <c r="AA188" i="51"/>
  <c r="V562" i="51"/>
  <c r="Y459" i="51"/>
  <c r="Y446" i="51"/>
  <c r="V593" i="51"/>
  <c r="W427" i="51"/>
  <c r="W447" i="51"/>
  <c r="AA184" i="51"/>
  <c r="AA155" i="51"/>
  <c r="W443" i="51"/>
  <c r="AA189" i="51"/>
  <c r="AA450" i="51"/>
  <c r="V573" i="51"/>
  <c r="V586" i="51"/>
  <c r="Y460" i="51"/>
  <c r="Y427" i="51"/>
  <c r="W433" i="51"/>
  <c r="W454" i="51"/>
  <c r="AA181" i="51"/>
  <c r="AA165" i="51"/>
  <c r="V362" i="51"/>
  <c r="X426" i="51"/>
  <c r="Z64" i="51"/>
  <c r="Z60" i="51"/>
  <c r="Z89" i="51"/>
  <c r="W367" i="51"/>
  <c r="Z73" i="51"/>
  <c r="V582" i="51"/>
  <c r="Y707" i="51"/>
  <c r="Y735" i="51"/>
  <c r="Y714" i="51"/>
  <c r="V76" i="51"/>
  <c r="V353" i="51"/>
  <c r="V577" i="51"/>
  <c r="AA167" i="51"/>
  <c r="Y704" i="51"/>
  <c r="Y733" i="51"/>
  <c r="X580" i="51"/>
  <c r="X596" i="51"/>
  <c r="Z722" i="51"/>
  <c r="Y336" i="51"/>
  <c r="Y339" i="51"/>
  <c r="X721" i="51"/>
  <c r="X729" i="51"/>
  <c r="V245" i="51"/>
  <c r="V272" i="51"/>
  <c r="X369" i="51"/>
  <c r="Z733" i="51"/>
  <c r="V256" i="51"/>
  <c r="V264" i="51"/>
  <c r="X582" i="51"/>
  <c r="X574" i="51"/>
  <c r="Z701" i="51"/>
  <c r="Y368" i="51"/>
  <c r="Y369" i="51"/>
  <c r="X723" i="51"/>
  <c r="AA733" i="51"/>
  <c r="V252" i="51"/>
  <c r="Y455" i="51"/>
  <c r="Y441" i="51"/>
  <c r="X579" i="51"/>
  <c r="X583" i="51"/>
  <c r="X599" i="51"/>
  <c r="Y179" i="51"/>
  <c r="Y168" i="51"/>
  <c r="Y157" i="51"/>
  <c r="W439" i="51"/>
  <c r="AA461" i="51"/>
  <c r="W442" i="51"/>
  <c r="X597" i="51"/>
  <c r="X576" i="51"/>
  <c r="Y734" i="51"/>
  <c r="Y719" i="51"/>
  <c r="Y181" i="51"/>
  <c r="Y163" i="51"/>
  <c r="Y156" i="51"/>
  <c r="V254" i="51"/>
  <c r="V249" i="51"/>
  <c r="W437" i="51"/>
  <c r="Y700" i="51"/>
  <c r="V158" i="51"/>
  <c r="V162" i="51"/>
  <c r="V262" i="51"/>
  <c r="AA458" i="51"/>
  <c r="AA437" i="51"/>
  <c r="AA452" i="51"/>
  <c r="X459" i="51"/>
  <c r="AA448" i="51"/>
  <c r="Y366" i="51"/>
  <c r="Y371" i="51"/>
  <c r="Y367" i="51"/>
  <c r="Y357" i="51"/>
  <c r="Y337" i="51"/>
  <c r="X343" i="51"/>
  <c r="X368" i="51"/>
  <c r="X361" i="51"/>
  <c r="X370" i="51"/>
  <c r="X338" i="51"/>
  <c r="X364" i="51"/>
  <c r="V74" i="51"/>
  <c r="V62" i="51"/>
  <c r="X352" i="51"/>
  <c r="X344" i="51"/>
  <c r="V93" i="51"/>
  <c r="X363" i="51"/>
  <c r="V80" i="51"/>
  <c r="Z428" i="51"/>
  <c r="Z427" i="51"/>
  <c r="Z456" i="51"/>
  <c r="Z444" i="51"/>
  <c r="V79" i="51"/>
  <c r="Z436" i="51"/>
  <c r="Z463" i="51"/>
  <c r="V90" i="51"/>
  <c r="Z460" i="51"/>
  <c r="Z454" i="51"/>
  <c r="X372" i="51"/>
  <c r="V95" i="51"/>
  <c r="AA72" i="51"/>
  <c r="AA82" i="51"/>
  <c r="V368" i="51"/>
  <c r="V339" i="51"/>
  <c r="V371" i="51"/>
  <c r="X356" i="51"/>
  <c r="X446" i="51"/>
  <c r="AA700" i="51"/>
  <c r="AA717" i="51"/>
  <c r="AA713" i="51"/>
  <c r="V357" i="51"/>
  <c r="V336" i="51"/>
  <c r="X337" i="51"/>
  <c r="X347" i="51"/>
  <c r="AA722" i="51"/>
  <c r="X439" i="51"/>
  <c r="X437" i="51"/>
  <c r="AA702" i="51"/>
  <c r="AA719" i="51"/>
  <c r="V341" i="51"/>
  <c r="X367" i="51"/>
  <c r="X462" i="51"/>
  <c r="AA726" i="51"/>
  <c r="X458" i="51"/>
  <c r="V73" i="51"/>
  <c r="V71" i="51"/>
  <c r="V348" i="51"/>
  <c r="AA704" i="51"/>
  <c r="V69" i="51"/>
  <c r="V83" i="51"/>
  <c r="AA455" i="51"/>
  <c r="Z81" i="51"/>
  <c r="Z63" i="51"/>
  <c r="Z93" i="51"/>
  <c r="AA716" i="51"/>
  <c r="X444" i="51"/>
  <c r="Z70" i="51"/>
  <c r="Z58" i="51"/>
  <c r="AA729" i="51"/>
  <c r="Z69" i="51"/>
  <c r="Z82" i="51"/>
  <c r="X335" i="51"/>
  <c r="V85" i="51"/>
  <c r="X348" i="51"/>
  <c r="X340" i="51"/>
  <c r="X360" i="51"/>
  <c r="Z95" i="51"/>
  <c r="V88" i="51"/>
  <c r="V66" i="51"/>
  <c r="X598" i="51"/>
  <c r="Z450" i="51"/>
  <c r="Z715" i="51"/>
  <c r="Z717" i="51"/>
  <c r="Z452" i="51"/>
  <c r="Z461" i="51"/>
  <c r="Z447" i="51"/>
  <c r="V91" i="51"/>
  <c r="V275" i="51"/>
  <c r="V280" i="51"/>
  <c r="Z441" i="51"/>
  <c r="X353" i="51"/>
  <c r="Z702" i="51"/>
  <c r="Z719" i="51"/>
  <c r="Z458" i="51"/>
  <c r="Z462" i="51"/>
  <c r="V86" i="51"/>
  <c r="V270" i="51"/>
  <c r="V255" i="51"/>
  <c r="AA454" i="51"/>
  <c r="X594" i="51"/>
  <c r="X365" i="51"/>
  <c r="Z724" i="51"/>
  <c r="Z726" i="51"/>
  <c r="Z430" i="51"/>
  <c r="V94" i="51"/>
  <c r="V260" i="51"/>
  <c r="V274" i="51"/>
  <c r="X346" i="51"/>
  <c r="Z445" i="51"/>
  <c r="Z442" i="51"/>
  <c r="Z435" i="51"/>
  <c r="X595" i="51"/>
  <c r="X578" i="51"/>
  <c r="Z705" i="51"/>
  <c r="AA65" i="51"/>
  <c r="AA60" i="51"/>
  <c r="AA90" i="51"/>
  <c r="AA62" i="51"/>
  <c r="AA87" i="51"/>
  <c r="AA59" i="51"/>
  <c r="V87" i="51"/>
  <c r="AA80" i="51"/>
  <c r="AA86" i="51"/>
  <c r="Y169" i="51"/>
  <c r="Y166" i="51"/>
  <c r="Y180" i="51"/>
  <c r="Y186" i="51"/>
  <c r="V266" i="51"/>
  <c r="AA434" i="51"/>
  <c r="AA449" i="51"/>
  <c r="AA445" i="51"/>
  <c r="X587" i="51"/>
  <c r="Y167" i="51"/>
  <c r="Y155" i="51"/>
  <c r="Y182" i="51"/>
  <c r="Y170" i="51"/>
  <c r="Y188" i="51"/>
  <c r="AA68" i="51"/>
  <c r="V261" i="51"/>
  <c r="AA432" i="51"/>
  <c r="AA438" i="51"/>
  <c r="V365" i="51"/>
  <c r="X718" i="51"/>
  <c r="X732" i="51"/>
  <c r="X715" i="51"/>
  <c r="X734" i="51"/>
  <c r="X699" i="51"/>
  <c r="X710" i="51"/>
  <c r="X720" i="51"/>
  <c r="X712" i="51"/>
  <c r="X719" i="51"/>
  <c r="X731" i="51"/>
  <c r="X703" i="51"/>
  <c r="X722" i="51"/>
  <c r="X706" i="51"/>
  <c r="X726" i="51"/>
  <c r="X735" i="51"/>
  <c r="X711" i="51"/>
  <c r="X700" i="51"/>
  <c r="X705" i="51"/>
  <c r="AA718" i="51"/>
  <c r="Z446" i="51"/>
  <c r="AA89" i="51"/>
  <c r="X345" i="51"/>
  <c r="V72" i="51"/>
  <c r="V65" i="51"/>
  <c r="V60" i="51"/>
  <c r="V344" i="51"/>
  <c r="V352" i="51"/>
  <c r="AA707" i="51"/>
  <c r="AA727" i="51"/>
  <c r="AA731" i="51"/>
  <c r="V370" i="51"/>
  <c r="V364" i="51"/>
  <c r="V337" i="51"/>
  <c r="V367" i="51"/>
  <c r="X355" i="51"/>
  <c r="X336" i="51"/>
  <c r="AA732" i="51"/>
  <c r="AA712" i="51"/>
  <c r="AA730" i="51"/>
  <c r="V369" i="51"/>
  <c r="X339" i="51"/>
  <c r="AA734" i="51"/>
  <c r="V59" i="51"/>
  <c r="V82" i="51"/>
  <c r="V75" i="51"/>
  <c r="V335" i="51"/>
  <c r="X362" i="51"/>
  <c r="X358" i="51"/>
  <c r="AA723" i="51"/>
  <c r="V92" i="51"/>
  <c r="V64" i="51"/>
  <c r="Z66" i="51"/>
  <c r="Z87" i="51"/>
  <c r="AA721" i="51"/>
  <c r="Z94" i="51"/>
  <c r="Z61" i="51"/>
  <c r="Z62" i="51"/>
  <c r="Z72" i="51"/>
  <c r="Z91" i="51"/>
  <c r="V84" i="51"/>
  <c r="Z71" i="51"/>
  <c r="V58" i="51"/>
  <c r="Z426" i="51"/>
  <c r="Z455" i="51"/>
  <c r="V61" i="51"/>
  <c r="Z439" i="51"/>
  <c r="Z432" i="51"/>
  <c r="Z433" i="51"/>
  <c r="Z451" i="51"/>
  <c r="Z68" i="51"/>
  <c r="Z59" i="51"/>
  <c r="Z453" i="51"/>
  <c r="Z457" i="51"/>
  <c r="AA63" i="51"/>
  <c r="AA91" i="51"/>
  <c r="AA81" i="51"/>
  <c r="AA88" i="51"/>
  <c r="AA85" i="51"/>
  <c r="AA71" i="51"/>
  <c r="AA69" i="51"/>
  <c r="AA76" i="51"/>
  <c r="AA70" i="51"/>
  <c r="X568" i="51"/>
  <c r="X585" i="51"/>
  <c r="X567" i="51"/>
  <c r="AA430" i="51"/>
  <c r="AA436" i="51"/>
  <c r="AA444" i="51"/>
  <c r="AA427" i="51"/>
  <c r="AA451" i="51"/>
  <c r="AA456" i="51"/>
  <c r="AA453" i="51"/>
  <c r="AA446" i="51"/>
  <c r="AA442" i="51"/>
  <c r="AA431" i="51"/>
  <c r="AA429" i="51"/>
  <c r="Z731" i="51"/>
  <c r="Z732" i="51"/>
  <c r="Z714" i="51"/>
  <c r="Z735" i="51"/>
  <c r="Z707" i="51"/>
  <c r="Z263" i="51"/>
  <c r="Z272" i="51"/>
  <c r="Z267" i="51"/>
  <c r="Z259" i="51"/>
  <c r="Z252" i="51"/>
  <c r="Z251" i="51"/>
  <c r="Z271" i="51"/>
  <c r="Z266" i="51"/>
  <c r="Z249" i="51"/>
  <c r="Z278" i="51"/>
  <c r="Z277" i="51"/>
  <c r="Z245" i="51"/>
  <c r="Z280" i="51"/>
  <c r="Z261" i="51"/>
  <c r="Z256" i="51"/>
  <c r="Z275" i="51"/>
  <c r="Z257" i="51"/>
  <c r="Z274" i="51"/>
  <c r="Z281" i="51"/>
  <c r="Z247" i="51"/>
  <c r="Z254" i="51"/>
  <c r="Z268" i="51"/>
  <c r="Z260" i="51"/>
  <c r="Z264" i="51"/>
  <c r="Z244" i="51"/>
  <c r="Z250" i="51"/>
  <c r="Z265" i="51"/>
  <c r="Z253" i="51"/>
  <c r="Z255" i="51"/>
  <c r="Z248" i="51"/>
  <c r="Z273" i="51"/>
  <c r="Z279" i="51"/>
  <c r="Z269" i="51"/>
  <c r="Z262" i="51"/>
  <c r="Z276" i="51"/>
  <c r="Z258" i="51"/>
  <c r="Z270" i="51"/>
  <c r="V169" i="51"/>
  <c r="V177" i="51"/>
  <c r="V178" i="51"/>
  <c r="V180" i="51"/>
  <c r="V189" i="51"/>
  <c r="V171" i="51"/>
  <c r="V166" i="51"/>
  <c r="C14" i="57"/>
  <c r="C18" i="57"/>
  <c r="C22" i="57"/>
  <c r="C26" i="57"/>
  <c r="C30" i="57"/>
  <c r="C34" i="57"/>
  <c r="C38" i="57"/>
  <c r="C42" i="57"/>
  <c r="C46" i="57"/>
  <c r="C13" i="57"/>
  <c r="C17" i="57"/>
  <c r="C21" i="57"/>
  <c r="C25" i="57"/>
  <c r="C29" i="57"/>
  <c r="C33" i="57"/>
  <c r="C37" i="57"/>
  <c r="C41" i="57"/>
  <c r="C45" i="57"/>
  <c r="C11" i="57"/>
  <c r="C15" i="57"/>
  <c r="C19" i="57"/>
  <c r="C23" i="57"/>
  <c r="C27" i="57"/>
  <c r="C31" i="57"/>
  <c r="C35" i="57"/>
  <c r="C39" i="57"/>
  <c r="C43" i="57"/>
  <c r="C47" i="57"/>
  <c r="C12" i="57"/>
  <c r="C16" i="57"/>
  <c r="C20" i="57"/>
  <c r="C24" i="57"/>
  <c r="C28" i="57"/>
  <c r="C32" i="57"/>
  <c r="C36" i="57"/>
  <c r="C40" i="57"/>
  <c r="C44" i="57"/>
  <c r="E382" i="49" l="1"/>
  <c r="E389" i="49"/>
  <c r="E373" i="49"/>
  <c r="E380" i="49"/>
  <c r="E387" i="49"/>
  <c r="E393" i="49"/>
  <c r="E384" i="49"/>
  <c r="E391" i="49"/>
  <c r="E378" i="49"/>
  <c r="E385" i="49"/>
  <c r="E392" i="49"/>
  <c r="E376" i="49"/>
  <c r="E383" i="49"/>
  <c r="E390" i="49"/>
  <c r="E374" i="49"/>
  <c r="E381" i="49"/>
  <c r="E388" i="49"/>
  <c r="E372" i="49"/>
  <c r="E379" i="49"/>
  <c r="E386" i="49"/>
  <c r="E377" i="49"/>
  <c r="E375" i="49"/>
  <c r="C14" i="51" a="1"/>
  <c r="C51" i="51" s="1"/>
  <c r="C109" i="51" a="1"/>
  <c r="C146" i="51" s="1"/>
  <c r="C200" i="51" a="1"/>
  <c r="C237" i="51" s="1"/>
  <c r="C291" i="51" a="1"/>
  <c r="C328" i="51" s="1"/>
  <c r="C382" i="51" a="1"/>
  <c r="C415" i="51" s="1"/>
  <c r="C698" i="51" a="1"/>
  <c r="C733" i="51" s="1"/>
  <c r="C562" i="51" a="1"/>
  <c r="C594" i="51" s="1"/>
  <c r="C426" i="51" a="1"/>
  <c r="C434" i="51" s="1"/>
  <c r="C335" i="51" a="1"/>
  <c r="C367" i="51" s="1"/>
  <c r="C244" i="51" a="1"/>
  <c r="C261" i="51" s="1"/>
  <c r="C153" i="51" a="1"/>
  <c r="C187" i="51" s="1"/>
  <c r="C58" i="51" a="1"/>
  <c r="C93" i="51" s="1"/>
  <c r="C470" i="51" a="1"/>
  <c r="C500" i="51" s="1"/>
  <c r="F240" i="58" l="1" a="1"/>
  <c r="I203" i="49"/>
  <c r="E203" i="49"/>
  <c r="E546" i="49" s="1"/>
  <c r="K203" i="49"/>
  <c r="G203" i="49"/>
  <c r="K209" i="49"/>
  <c r="G209" i="49"/>
  <c r="I209" i="49"/>
  <c r="E209" i="49"/>
  <c r="E552" i="49" s="1"/>
  <c r="K220" i="49"/>
  <c r="I220" i="49"/>
  <c r="G220" i="49"/>
  <c r="E220" i="49"/>
  <c r="E563" i="49" s="1"/>
  <c r="K206" i="49"/>
  <c r="G206" i="49"/>
  <c r="E206" i="49"/>
  <c r="E549" i="49" s="1"/>
  <c r="I206" i="49"/>
  <c r="G210" i="49"/>
  <c r="E210" i="49"/>
  <c r="E553" i="49" s="1"/>
  <c r="I210" i="49"/>
  <c r="K210" i="49"/>
  <c r="K214" i="49"/>
  <c r="I214" i="49"/>
  <c r="G214" i="49"/>
  <c r="E214" i="49"/>
  <c r="E557" i="49" s="1"/>
  <c r="K200" i="49"/>
  <c r="E200" i="49"/>
  <c r="I200" i="49"/>
  <c r="G200" i="49"/>
  <c r="I211" i="49"/>
  <c r="E211" i="49"/>
  <c r="E554" i="49" s="1"/>
  <c r="G211" i="49"/>
  <c r="K211" i="49"/>
  <c r="I219" i="49"/>
  <c r="E219" i="49"/>
  <c r="E562" i="49" s="1"/>
  <c r="K219" i="49"/>
  <c r="G219" i="49"/>
  <c r="I215" i="49"/>
  <c r="E215" i="49"/>
  <c r="E558" i="49" s="1"/>
  <c r="G215" i="49"/>
  <c r="K215" i="49"/>
  <c r="K201" i="49"/>
  <c r="G201" i="49"/>
  <c r="I201" i="49"/>
  <c r="E201" i="49"/>
  <c r="E544" i="49" s="1"/>
  <c r="K216" i="49"/>
  <c r="E216" i="49"/>
  <c r="E559" i="49" s="1"/>
  <c r="I216" i="49"/>
  <c r="G216" i="49"/>
  <c r="I202" i="49"/>
  <c r="K202" i="49"/>
  <c r="G202" i="49"/>
  <c r="E202" i="49"/>
  <c r="E545" i="49" s="1"/>
  <c r="K213" i="49"/>
  <c r="G213" i="49"/>
  <c r="I213" i="49"/>
  <c r="E213" i="49"/>
  <c r="E556" i="49" s="1"/>
  <c r="K212" i="49"/>
  <c r="I212" i="49"/>
  <c r="G212" i="49"/>
  <c r="E212" i="49"/>
  <c r="E555" i="49" s="1"/>
  <c r="K217" i="49"/>
  <c r="G217" i="49"/>
  <c r="E217" i="49"/>
  <c r="E560" i="49" s="1"/>
  <c r="I217" i="49"/>
  <c r="K205" i="49"/>
  <c r="G205" i="49"/>
  <c r="E205" i="49"/>
  <c r="E548" i="49" s="1"/>
  <c r="I205" i="49"/>
  <c r="I207" i="49"/>
  <c r="E207" i="49"/>
  <c r="E550" i="49" s="1"/>
  <c r="K207" i="49"/>
  <c r="G207" i="49"/>
  <c r="I218" i="49"/>
  <c r="K218" i="49"/>
  <c r="G218" i="49"/>
  <c r="E218" i="49"/>
  <c r="E561" i="49" s="1"/>
  <c r="K204" i="49"/>
  <c r="I204" i="49"/>
  <c r="G204" i="49"/>
  <c r="E204" i="49"/>
  <c r="E547" i="49" s="1"/>
  <c r="K221" i="49"/>
  <c r="G221" i="49"/>
  <c r="E221" i="49"/>
  <c r="E564" i="49" s="1"/>
  <c r="I221" i="49"/>
  <c r="K208" i="49"/>
  <c r="I208" i="49"/>
  <c r="G208" i="49"/>
  <c r="E208" i="49"/>
  <c r="E551" i="49" s="1"/>
  <c r="C317" i="51"/>
  <c r="C571" i="51"/>
  <c r="C707" i="51"/>
  <c r="C296" i="51"/>
  <c r="C578" i="51"/>
  <c r="C723" i="51"/>
  <c r="C304" i="51"/>
  <c r="C711" i="51"/>
  <c r="C727" i="51"/>
  <c r="C297" i="51"/>
  <c r="C305" i="51"/>
  <c r="C321" i="51"/>
  <c r="C584" i="51"/>
  <c r="C699" i="51"/>
  <c r="C715" i="51"/>
  <c r="C731" i="51"/>
  <c r="C292" i="51"/>
  <c r="C300" i="51"/>
  <c r="C309" i="51"/>
  <c r="C325" i="51"/>
  <c r="C563" i="51"/>
  <c r="C592" i="51"/>
  <c r="C703" i="51"/>
  <c r="C719" i="51"/>
  <c r="C735" i="51"/>
  <c r="C293" i="51"/>
  <c r="C301" i="51"/>
  <c r="C313" i="51"/>
  <c r="C16" i="51"/>
  <c r="C20" i="51"/>
  <c r="C24" i="51"/>
  <c r="C28" i="51"/>
  <c r="C32" i="51"/>
  <c r="C36" i="51"/>
  <c r="C40" i="51"/>
  <c r="C44" i="51"/>
  <c r="C48" i="51"/>
  <c r="C17" i="51"/>
  <c r="C25" i="51"/>
  <c r="C37" i="51"/>
  <c r="C49" i="51"/>
  <c r="C14" i="51"/>
  <c r="C18" i="51"/>
  <c r="C22" i="51"/>
  <c r="C26" i="51"/>
  <c r="C30" i="51"/>
  <c r="C34" i="51"/>
  <c r="C38" i="51"/>
  <c r="C42" i="51"/>
  <c r="C46" i="51"/>
  <c r="C50" i="51"/>
  <c r="C21" i="51"/>
  <c r="C29" i="51"/>
  <c r="C33" i="51"/>
  <c r="C41" i="51"/>
  <c r="C45" i="51"/>
  <c r="C15" i="51"/>
  <c r="C19" i="51"/>
  <c r="C23" i="51"/>
  <c r="C27" i="51"/>
  <c r="C31" i="51"/>
  <c r="C35" i="51"/>
  <c r="C39" i="51"/>
  <c r="C43" i="51"/>
  <c r="C47" i="51"/>
  <c r="C116" i="51"/>
  <c r="C124" i="51"/>
  <c r="C128" i="51"/>
  <c r="C136" i="51"/>
  <c r="C144" i="51"/>
  <c r="C109" i="51"/>
  <c r="C113" i="51"/>
  <c r="C117" i="51"/>
  <c r="C121" i="51"/>
  <c r="C125" i="51"/>
  <c r="C129" i="51"/>
  <c r="C133" i="51"/>
  <c r="C137" i="51"/>
  <c r="C141" i="51"/>
  <c r="C145" i="51"/>
  <c r="C111" i="51"/>
  <c r="C115" i="51"/>
  <c r="C119" i="51"/>
  <c r="C123" i="51"/>
  <c r="C127" i="51"/>
  <c r="C131" i="51"/>
  <c r="C135" i="51"/>
  <c r="C139" i="51"/>
  <c r="C143" i="51"/>
  <c r="C112" i="51"/>
  <c r="C120" i="51"/>
  <c r="C132" i="51"/>
  <c r="C140" i="51"/>
  <c r="C110" i="51"/>
  <c r="C114" i="51"/>
  <c r="C118" i="51"/>
  <c r="C122" i="51"/>
  <c r="C126" i="51"/>
  <c r="C130" i="51"/>
  <c r="C134" i="51"/>
  <c r="C138" i="51"/>
  <c r="C142" i="51"/>
  <c r="C202" i="51"/>
  <c r="C206" i="51"/>
  <c r="C210" i="51"/>
  <c r="C214" i="51"/>
  <c r="C218" i="51"/>
  <c r="C222" i="51"/>
  <c r="C226" i="51"/>
  <c r="C230" i="51"/>
  <c r="C234" i="51"/>
  <c r="C203" i="51"/>
  <c r="C211" i="51"/>
  <c r="C219" i="51"/>
  <c r="C227" i="51"/>
  <c r="C235" i="51"/>
  <c r="C200" i="51"/>
  <c r="C204" i="51"/>
  <c r="C208" i="51"/>
  <c r="C212" i="51"/>
  <c r="C216" i="51"/>
  <c r="C220" i="51"/>
  <c r="C224" i="51"/>
  <c r="C228" i="51"/>
  <c r="C232" i="51"/>
  <c r="C236" i="51"/>
  <c r="C207" i="51"/>
  <c r="C215" i="51"/>
  <c r="C223" i="51"/>
  <c r="C231" i="51"/>
  <c r="C201" i="51"/>
  <c r="C205" i="51"/>
  <c r="C209" i="51"/>
  <c r="C213" i="51"/>
  <c r="C217" i="51"/>
  <c r="C221" i="51"/>
  <c r="C225" i="51"/>
  <c r="C229" i="51"/>
  <c r="C233" i="51"/>
  <c r="C294" i="51"/>
  <c r="C298" i="51"/>
  <c r="C302" i="51"/>
  <c r="C306" i="51"/>
  <c r="C310" i="51"/>
  <c r="C314" i="51"/>
  <c r="C318" i="51"/>
  <c r="C322" i="51"/>
  <c r="C326" i="51"/>
  <c r="C291" i="51"/>
  <c r="C295" i="51"/>
  <c r="C299" i="51"/>
  <c r="C303" i="51"/>
  <c r="C307" i="51"/>
  <c r="C311" i="51"/>
  <c r="C315" i="51"/>
  <c r="C319" i="51"/>
  <c r="C323" i="51"/>
  <c r="C327" i="51"/>
  <c r="C308" i="51"/>
  <c r="C312" i="51"/>
  <c r="C316" i="51"/>
  <c r="C320" i="51"/>
  <c r="C324" i="51"/>
  <c r="C385" i="51"/>
  <c r="C389" i="51"/>
  <c r="C393" i="51"/>
  <c r="C397" i="51"/>
  <c r="C401" i="51"/>
  <c r="C405" i="51"/>
  <c r="C409" i="51"/>
  <c r="C417" i="51"/>
  <c r="C382" i="51"/>
  <c r="C386" i="51"/>
  <c r="C390" i="51"/>
  <c r="C394" i="51"/>
  <c r="C398" i="51"/>
  <c r="C402" i="51"/>
  <c r="C406" i="51"/>
  <c r="C410" i="51"/>
  <c r="C418" i="51"/>
  <c r="C419" i="51"/>
  <c r="C384" i="51"/>
  <c r="C388" i="51"/>
  <c r="C392" i="51"/>
  <c r="C396" i="51"/>
  <c r="C400" i="51"/>
  <c r="C404" i="51"/>
  <c r="C408" i="51"/>
  <c r="C412" i="51"/>
  <c r="C416" i="51"/>
  <c r="C413" i="51"/>
  <c r="C414" i="51"/>
  <c r="C383" i="51"/>
  <c r="C387" i="51"/>
  <c r="C391" i="51"/>
  <c r="C395" i="51"/>
  <c r="C399" i="51"/>
  <c r="C403" i="51"/>
  <c r="C407" i="51"/>
  <c r="C411" i="51"/>
  <c r="C566" i="51"/>
  <c r="C572" i="51"/>
  <c r="C579" i="51"/>
  <c r="C587" i="51"/>
  <c r="C599" i="51"/>
  <c r="C598" i="51"/>
  <c r="C591" i="51"/>
  <c r="C586" i="51"/>
  <c r="C580" i="51"/>
  <c r="C575" i="51"/>
  <c r="C570" i="51"/>
  <c r="C564" i="51"/>
  <c r="C567" i="51"/>
  <c r="C574" i="51"/>
  <c r="C582" i="51"/>
  <c r="C588" i="51"/>
  <c r="C596" i="51"/>
  <c r="C562" i="51"/>
  <c r="C568" i="51"/>
  <c r="C576" i="51"/>
  <c r="C583" i="51"/>
  <c r="C590" i="51"/>
  <c r="C698" i="51"/>
  <c r="C702" i="51"/>
  <c r="C706" i="51"/>
  <c r="C710" i="51"/>
  <c r="C714" i="51"/>
  <c r="C718" i="51"/>
  <c r="C722" i="51"/>
  <c r="C726" i="51"/>
  <c r="C730" i="51"/>
  <c r="C734" i="51"/>
  <c r="C700" i="51"/>
  <c r="C704" i="51"/>
  <c r="C708" i="51"/>
  <c r="C712" i="51"/>
  <c r="C716" i="51"/>
  <c r="C720" i="51"/>
  <c r="C724" i="51"/>
  <c r="C728" i="51"/>
  <c r="C732" i="51"/>
  <c r="C701" i="51"/>
  <c r="C705" i="51"/>
  <c r="C709" i="51"/>
  <c r="C713" i="51"/>
  <c r="C717" i="51"/>
  <c r="C721" i="51"/>
  <c r="C725" i="51"/>
  <c r="C729" i="51"/>
  <c r="C461" i="51"/>
  <c r="C454" i="51"/>
  <c r="C438" i="51"/>
  <c r="C426" i="51"/>
  <c r="C462" i="51"/>
  <c r="C446" i="51"/>
  <c r="C430" i="51"/>
  <c r="C450" i="51"/>
  <c r="C427" i="51"/>
  <c r="C458" i="51"/>
  <c r="C442" i="51"/>
  <c r="C565" i="51"/>
  <c r="C569" i="51"/>
  <c r="C573" i="51"/>
  <c r="C577" i="51"/>
  <c r="C581" i="51"/>
  <c r="C585" i="51"/>
  <c r="C589" i="51"/>
  <c r="C593" i="51"/>
  <c r="C597" i="51"/>
  <c r="C595" i="51"/>
  <c r="C342" i="51"/>
  <c r="C353" i="51"/>
  <c r="C366" i="51"/>
  <c r="C335" i="51"/>
  <c r="C346" i="51"/>
  <c r="C357" i="51"/>
  <c r="C371" i="51"/>
  <c r="C337" i="51"/>
  <c r="C347" i="51"/>
  <c r="C358" i="51"/>
  <c r="C341" i="51"/>
  <c r="C351" i="51"/>
  <c r="C363" i="51"/>
  <c r="C431" i="51"/>
  <c r="C435" i="51"/>
  <c r="C439" i="51"/>
  <c r="C443" i="51"/>
  <c r="C447" i="51"/>
  <c r="C451" i="51"/>
  <c r="C455" i="51"/>
  <c r="C459" i="51"/>
  <c r="C463" i="51"/>
  <c r="C428" i="51"/>
  <c r="C432" i="51"/>
  <c r="C436" i="51"/>
  <c r="C440" i="51"/>
  <c r="C444" i="51"/>
  <c r="C448" i="51"/>
  <c r="C452" i="51"/>
  <c r="C456" i="51"/>
  <c r="C460" i="51"/>
  <c r="C429" i="51"/>
  <c r="C433" i="51"/>
  <c r="C437" i="51"/>
  <c r="C441" i="51"/>
  <c r="C445" i="51"/>
  <c r="C449" i="51"/>
  <c r="C453" i="51"/>
  <c r="C457" i="51"/>
  <c r="C275" i="51"/>
  <c r="C247" i="51"/>
  <c r="C253" i="51"/>
  <c r="C268" i="51"/>
  <c r="C338" i="51"/>
  <c r="C343" i="51"/>
  <c r="C349" i="51"/>
  <c r="C354" i="51"/>
  <c r="C359" i="51"/>
  <c r="C369" i="51"/>
  <c r="C365" i="51"/>
  <c r="C361" i="51"/>
  <c r="C372" i="51"/>
  <c r="C368" i="51"/>
  <c r="C364" i="51"/>
  <c r="C360" i="51"/>
  <c r="C356" i="51"/>
  <c r="C352" i="51"/>
  <c r="C348" i="51"/>
  <c r="C344" i="51"/>
  <c r="C340" i="51"/>
  <c r="C336" i="51"/>
  <c r="C339" i="51"/>
  <c r="C345" i="51"/>
  <c r="C350" i="51"/>
  <c r="C355" i="51"/>
  <c r="C362" i="51"/>
  <c r="C370" i="51"/>
  <c r="C278" i="51"/>
  <c r="C274" i="51"/>
  <c r="C270" i="51"/>
  <c r="C266" i="51"/>
  <c r="C262" i="51"/>
  <c r="C258" i="51"/>
  <c r="C254" i="51"/>
  <c r="C250" i="51"/>
  <c r="C281" i="51"/>
  <c r="C276" i="51"/>
  <c r="C271" i="51"/>
  <c r="C265" i="51"/>
  <c r="C260" i="51"/>
  <c r="C255" i="51"/>
  <c r="C249" i="51"/>
  <c r="C245" i="51"/>
  <c r="C248" i="51"/>
  <c r="C256" i="51"/>
  <c r="C263" i="51"/>
  <c r="C269" i="51"/>
  <c r="C277" i="51"/>
  <c r="C244" i="51"/>
  <c r="C251" i="51"/>
  <c r="C257" i="51"/>
  <c r="C264" i="51"/>
  <c r="C272" i="51"/>
  <c r="C279" i="51"/>
  <c r="C246" i="51"/>
  <c r="C252" i="51"/>
  <c r="C259" i="51"/>
  <c r="C267" i="51"/>
  <c r="C273" i="51"/>
  <c r="C280" i="51"/>
  <c r="C162" i="51"/>
  <c r="C183" i="51"/>
  <c r="C156" i="51"/>
  <c r="C178" i="51"/>
  <c r="C167" i="51"/>
  <c r="C188" i="51"/>
  <c r="C154" i="51"/>
  <c r="C172" i="51"/>
  <c r="C155" i="51"/>
  <c r="C160" i="51"/>
  <c r="C166" i="51"/>
  <c r="C171" i="51"/>
  <c r="C176" i="51"/>
  <c r="C182" i="51"/>
  <c r="C189" i="51"/>
  <c r="C185" i="51"/>
  <c r="C181" i="51"/>
  <c r="C177" i="51"/>
  <c r="C173" i="51"/>
  <c r="C169" i="51"/>
  <c r="C165" i="51"/>
  <c r="C161" i="51"/>
  <c r="C157" i="51"/>
  <c r="C153" i="51"/>
  <c r="C158" i="51"/>
  <c r="C163" i="51"/>
  <c r="C168" i="51"/>
  <c r="C174" i="51"/>
  <c r="C179" i="51"/>
  <c r="C184" i="51"/>
  <c r="C190" i="51"/>
  <c r="C159" i="51"/>
  <c r="C164" i="51"/>
  <c r="C170" i="51"/>
  <c r="C175" i="51"/>
  <c r="C180" i="51"/>
  <c r="C186" i="51"/>
  <c r="C58" i="51"/>
  <c r="C74" i="51"/>
  <c r="C90" i="51"/>
  <c r="C70" i="51"/>
  <c r="C86" i="51"/>
  <c r="C62" i="51"/>
  <c r="C78" i="51"/>
  <c r="C94" i="51"/>
  <c r="C66" i="51"/>
  <c r="C82" i="51"/>
  <c r="C63" i="51"/>
  <c r="C71" i="51"/>
  <c r="C79" i="51"/>
  <c r="C87" i="51"/>
  <c r="C95" i="51"/>
  <c r="C59" i="51"/>
  <c r="C67" i="51"/>
  <c r="C75" i="51"/>
  <c r="C83" i="51"/>
  <c r="C91" i="51"/>
  <c r="C60" i="51"/>
  <c r="C64" i="51"/>
  <c r="C68" i="51"/>
  <c r="C72" i="51"/>
  <c r="C76" i="51"/>
  <c r="C80" i="51"/>
  <c r="C84" i="51"/>
  <c r="C88" i="51"/>
  <c r="C92" i="51"/>
  <c r="C61" i="51"/>
  <c r="C65" i="51"/>
  <c r="C69" i="51"/>
  <c r="C73" i="51"/>
  <c r="C77" i="51"/>
  <c r="C81" i="51"/>
  <c r="C85" i="51"/>
  <c r="C89" i="51"/>
  <c r="C476" i="51"/>
  <c r="C492" i="51"/>
  <c r="C505" i="51"/>
  <c r="C481" i="51"/>
  <c r="C495" i="51"/>
  <c r="C471" i="51"/>
  <c r="C484" i="51"/>
  <c r="C497" i="51"/>
  <c r="C473" i="51"/>
  <c r="C487" i="51"/>
  <c r="C503" i="51"/>
  <c r="C479" i="51"/>
  <c r="C489" i="51"/>
  <c r="C506" i="51"/>
  <c r="C502" i="51"/>
  <c r="C498" i="51"/>
  <c r="C494" i="51"/>
  <c r="C490" i="51"/>
  <c r="C486" i="51"/>
  <c r="C482" i="51"/>
  <c r="C478" i="51"/>
  <c r="C474" i="51"/>
  <c r="C470" i="51"/>
  <c r="C475" i="51"/>
  <c r="C480" i="51"/>
  <c r="C485" i="51"/>
  <c r="C491" i="51"/>
  <c r="C496" i="51"/>
  <c r="C501" i="51"/>
  <c r="C507" i="51"/>
  <c r="C472" i="51"/>
  <c r="C477" i="51"/>
  <c r="C483" i="51"/>
  <c r="C488" i="51"/>
  <c r="C493" i="51"/>
  <c r="C499" i="51"/>
  <c r="C504" i="51"/>
  <c r="E543" i="49" l="1"/>
  <c r="I240" i="58" a="1"/>
  <c r="F240" i="58"/>
  <c r="G271" i="58"/>
  <c r="G263" i="58"/>
  <c r="G255" i="58"/>
  <c r="G247" i="58"/>
  <c r="F277" i="58"/>
  <c r="F269" i="58"/>
  <c r="G277" i="58"/>
  <c r="G267" i="58"/>
  <c r="G257" i="58"/>
  <c r="G245" i="58"/>
  <c r="F273" i="58"/>
  <c r="F263" i="58"/>
  <c r="F255" i="58"/>
  <c r="F247" i="58"/>
  <c r="G276" i="58"/>
  <c r="G268" i="58"/>
  <c r="G260" i="58"/>
  <c r="G252" i="58"/>
  <c r="G244" i="58"/>
  <c r="F274" i="58"/>
  <c r="F266" i="58"/>
  <c r="F258" i="58"/>
  <c r="F250" i="58"/>
  <c r="F242" i="58"/>
  <c r="G275" i="58"/>
  <c r="G265" i="58"/>
  <c r="G253" i="58"/>
  <c r="G243" i="58"/>
  <c r="F271" i="58"/>
  <c r="F261" i="58"/>
  <c r="F253" i="58"/>
  <c r="F245" i="58"/>
  <c r="G274" i="58"/>
  <c r="G266" i="58"/>
  <c r="G258" i="58"/>
  <c r="G250" i="58"/>
  <c r="G242" i="58"/>
  <c r="F272" i="58"/>
  <c r="F264" i="58"/>
  <c r="F256" i="58"/>
  <c r="F248" i="58"/>
  <c r="G273" i="58"/>
  <c r="G261" i="58"/>
  <c r="G251" i="58"/>
  <c r="G241" i="58"/>
  <c r="F267" i="58"/>
  <c r="F259" i="58"/>
  <c r="F251" i="58"/>
  <c r="F243" i="58"/>
  <c r="G272" i="58"/>
  <c r="G264" i="58"/>
  <c r="G256" i="58"/>
  <c r="G248" i="58"/>
  <c r="G240" i="58"/>
  <c r="F270" i="58"/>
  <c r="F262" i="58"/>
  <c r="F254" i="58"/>
  <c r="F246" i="58"/>
  <c r="F275" i="58"/>
  <c r="F241" i="58"/>
  <c r="G246" i="58"/>
  <c r="F252" i="58"/>
  <c r="G269" i="58"/>
  <c r="F265" i="58"/>
  <c r="G270" i="58"/>
  <c r="F276" i="58"/>
  <c r="F244" i="58"/>
  <c r="G259" i="58"/>
  <c r="F257" i="58"/>
  <c r="G262" i="58"/>
  <c r="F268" i="58"/>
  <c r="G249" i="58"/>
  <c r="F249" i="58"/>
  <c r="G254" i="58"/>
  <c r="F260" i="58"/>
  <c r="K390" i="49"/>
  <c r="G390" i="49"/>
  <c r="I390" i="49"/>
  <c r="K384" i="49"/>
  <c r="G384" i="49"/>
  <c r="I384" i="49"/>
  <c r="K392" i="49"/>
  <c r="G392" i="49"/>
  <c r="I392" i="49"/>
  <c r="K381" i="49"/>
  <c r="G381" i="49"/>
  <c r="I381" i="49"/>
  <c r="K393" i="49"/>
  <c r="G393" i="49"/>
  <c r="I393" i="49"/>
  <c r="K377" i="49"/>
  <c r="G377" i="49"/>
  <c r="I377" i="49"/>
  <c r="K378" i="49"/>
  <c r="G378" i="49"/>
  <c r="I378" i="49"/>
  <c r="K379" i="49"/>
  <c r="G379" i="49"/>
  <c r="I379" i="49"/>
  <c r="K388" i="49"/>
  <c r="G388" i="49"/>
  <c r="I388" i="49"/>
  <c r="K387" i="49"/>
  <c r="G387" i="49"/>
  <c r="I387" i="49"/>
  <c r="K391" i="49"/>
  <c r="G391" i="49"/>
  <c r="I391" i="49"/>
  <c r="K383" i="49"/>
  <c r="G383" i="49"/>
  <c r="I383" i="49"/>
  <c r="K372" i="49"/>
  <c r="G372" i="49"/>
  <c r="I372" i="49"/>
  <c r="K382" i="49"/>
  <c r="G382" i="49"/>
  <c r="I382" i="49"/>
  <c r="K375" i="49"/>
  <c r="G375" i="49"/>
  <c r="I375" i="49"/>
  <c r="K380" i="49"/>
  <c r="G380" i="49"/>
  <c r="I380" i="49"/>
  <c r="K376" i="49"/>
  <c r="G376" i="49"/>
  <c r="I376" i="49"/>
  <c r="K385" i="49"/>
  <c r="G385" i="49"/>
  <c r="I385" i="49"/>
  <c r="K374" i="49"/>
  <c r="G374" i="49"/>
  <c r="I374" i="49"/>
  <c r="K373" i="49"/>
  <c r="G373" i="49"/>
  <c r="I373" i="49"/>
  <c r="K386" i="49"/>
  <c r="G386" i="49"/>
  <c r="I386" i="49"/>
  <c r="K389" i="49"/>
  <c r="G389" i="49"/>
  <c r="I389" i="49"/>
  <c r="C280" i="57" a="1"/>
  <c r="C315" i="57" s="1"/>
  <c r="C236" i="57" a="1"/>
  <c r="C191" i="57" a="1"/>
  <c r="C147" i="57" a="1"/>
  <c r="C171" i="57" s="1"/>
  <c r="C103" i="57" a="1"/>
  <c r="C138" i="57" s="1"/>
  <c r="C59" i="57" a="1"/>
  <c r="C60" i="57" s="1"/>
  <c r="AC240" i="58" l="1" a="1"/>
  <c r="E286" i="58" a="1"/>
  <c r="E317" i="58" s="1"/>
  <c r="E331" i="58" a="1"/>
  <c r="E360" i="58" s="1"/>
  <c r="S240" i="58" a="1"/>
  <c r="I240" i="58"/>
  <c r="I271" i="58"/>
  <c r="N258" i="58"/>
  <c r="P242" i="58"/>
  <c r="J272" i="58"/>
  <c r="L260" i="58"/>
  <c r="L244" i="58"/>
  <c r="O276" i="58"/>
  <c r="P266" i="58"/>
  <c r="J254" i="58"/>
  <c r="N277" i="58"/>
  <c r="N268" i="58"/>
  <c r="Q255" i="58"/>
  <c r="I241" i="58"/>
  <c r="I274" i="58"/>
  <c r="K269" i="58"/>
  <c r="I263" i="58"/>
  <c r="P256" i="58"/>
  <c r="Q247" i="58"/>
  <c r="Q274" i="58"/>
  <c r="L270" i="58"/>
  <c r="J264" i="58"/>
  <c r="Q257" i="58"/>
  <c r="O249" i="58"/>
  <c r="Q241" i="58"/>
  <c r="M275" i="58"/>
  <c r="K272" i="58"/>
  <c r="L268" i="58"/>
  <c r="O263" i="58"/>
  <c r="P258" i="58"/>
  <c r="M253" i="58"/>
  <c r="L246" i="58"/>
  <c r="M241" i="58"/>
  <c r="J252" i="58"/>
  <c r="N248" i="58"/>
  <c r="J277" i="58"/>
  <c r="P274" i="58"/>
  <c r="L272" i="58"/>
  <c r="O269" i="58"/>
  <c r="J266" i="58"/>
  <c r="N262" i="58"/>
  <c r="I259" i="58"/>
  <c r="M255" i="58"/>
  <c r="Q251" i="58"/>
  <c r="L248" i="58"/>
  <c r="P244" i="58"/>
  <c r="K241" i="58"/>
  <c r="M277" i="58"/>
  <c r="J268" i="58"/>
  <c r="O255" i="58"/>
  <c r="P240" i="58"/>
  <c r="Q269" i="58"/>
  <c r="I257" i="58"/>
  <c r="O241" i="58"/>
  <c r="M274" i="58"/>
  <c r="Q263" i="58"/>
  <c r="I249" i="58"/>
  <c r="O275" i="58"/>
  <c r="M265" i="58"/>
  <c r="M251" i="58"/>
  <c r="K277" i="58"/>
  <c r="P272" i="58"/>
  <c r="O267" i="58"/>
  <c r="M261" i="58"/>
  <c r="I255" i="58"/>
  <c r="M245" i="58"/>
  <c r="Q277" i="58"/>
  <c r="O273" i="58"/>
  <c r="I269" i="58"/>
  <c r="P262" i="58"/>
  <c r="J256" i="58"/>
  <c r="K247" i="58"/>
  <c r="N240" i="58"/>
  <c r="P277" i="58"/>
  <c r="N274" i="58"/>
  <c r="M271" i="58"/>
  <c r="K267" i="58"/>
  <c r="L262" i="58"/>
  <c r="O257" i="58"/>
  <c r="O251" i="58"/>
  <c r="I245" i="58"/>
  <c r="J240" i="58"/>
  <c r="P254" i="58"/>
  <c r="K251" i="58"/>
  <c r="O247" i="58"/>
  <c r="K275" i="58"/>
  <c r="I265" i="58"/>
  <c r="P250" i="58"/>
  <c r="L276" i="58"/>
  <c r="N266" i="58"/>
  <c r="K253" i="58"/>
  <c r="N272" i="58"/>
  <c r="N260" i="58"/>
  <c r="N244" i="58"/>
  <c r="M273" i="58"/>
  <c r="J262" i="58"/>
  <c r="I247" i="58"/>
  <c r="J276" i="58"/>
  <c r="Q271" i="58"/>
  <c r="L266" i="58"/>
  <c r="O259" i="58"/>
  <c r="N252" i="58"/>
  <c r="J244" i="58"/>
  <c r="P276" i="58"/>
  <c r="O272" i="58"/>
  <c r="M267" i="58"/>
  <c r="I261" i="58"/>
  <c r="L254" i="58"/>
  <c r="K245" i="58"/>
  <c r="I277" i="58"/>
  <c r="Q273" i="58"/>
  <c r="P270" i="58"/>
  <c r="Q265" i="58"/>
  <c r="K261" i="58"/>
  <c r="N256" i="58"/>
  <c r="Q249" i="58"/>
  <c r="O243" i="58"/>
  <c r="Q253" i="58"/>
  <c r="L250" i="58"/>
  <c r="P246" i="58"/>
  <c r="Q275" i="58"/>
  <c r="N273" i="58"/>
  <c r="K271" i="58"/>
  <c r="Q267" i="58"/>
  <c r="L264" i="58"/>
  <c r="P260" i="58"/>
  <c r="K257" i="58"/>
  <c r="O253" i="58"/>
  <c r="J250" i="58"/>
  <c r="N246" i="58"/>
  <c r="I243" i="58"/>
  <c r="P248" i="58"/>
  <c r="L242" i="58"/>
  <c r="L258" i="58"/>
  <c r="P275" i="58"/>
  <c r="L252" i="58"/>
  <c r="P264" i="58"/>
  <c r="N242" i="58"/>
  <c r="J274" i="58"/>
  <c r="P268" i="58"/>
  <c r="O261" i="58"/>
  <c r="N254" i="58"/>
  <c r="M247" i="58"/>
  <c r="L240" i="58"/>
  <c r="N269" i="58"/>
  <c r="P267" i="58"/>
  <c r="I266" i="58"/>
  <c r="K264" i="58"/>
  <c r="M262" i="58"/>
  <c r="O260" i="58"/>
  <c r="Q258" i="58"/>
  <c r="J257" i="58"/>
  <c r="L255" i="58"/>
  <c r="N253" i="58"/>
  <c r="P251" i="58"/>
  <c r="I250" i="58"/>
  <c r="K248" i="58"/>
  <c r="K273" i="58"/>
  <c r="L271" i="58"/>
  <c r="I275" i="58"/>
  <c r="N250" i="58"/>
  <c r="O271" i="58"/>
  <c r="M243" i="58"/>
  <c r="K276" i="58"/>
  <c r="J260" i="58"/>
  <c r="I253" i="58"/>
  <c r="O277" i="58"/>
  <c r="I273" i="58"/>
  <c r="I267" i="58"/>
  <c r="Q259" i="58"/>
  <c r="P252" i="58"/>
  <c r="O245" i="58"/>
  <c r="Q261" i="58"/>
  <c r="L274" i="58"/>
  <c r="J270" i="58"/>
  <c r="K259" i="58"/>
  <c r="Q270" i="58"/>
  <c r="O265" i="58"/>
  <c r="J273" i="58"/>
  <c r="K255" i="58"/>
  <c r="M249" i="58"/>
  <c r="N276" i="58"/>
  <c r="P271" i="58"/>
  <c r="K265" i="58"/>
  <c r="J258" i="58"/>
  <c r="I251" i="58"/>
  <c r="Q243" i="58"/>
  <c r="M270" i="58"/>
  <c r="O268" i="58"/>
  <c r="Q266" i="58"/>
  <c r="J265" i="58"/>
  <c r="L263" i="58"/>
  <c r="N261" i="58"/>
  <c r="P259" i="58"/>
  <c r="I258" i="58"/>
  <c r="K256" i="58"/>
  <c r="M254" i="58"/>
  <c r="O252" i="58"/>
  <c r="Q250" i="58"/>
  <c r="J249" i="58"/>
  <c r="L247" i="58"/>
  <c r="N245" i="58"/>
  <c r="P243" i="58"/>
  <c r="I242" i="58"/>
  <c r="K240" i="58"/>
  <c r="I276" i="58"/>
  <c r="K274" i="58"/>
  <c r="M272" i="58"/>
  <c r="O270" i="58"/>
  <c r="Q268" i="58"/>
  <c r="J267" i="58"/>
  <c r="L265" i="58"/>
  <c r="N263" i="58"/>
  <c r="P261" i="58"/>
  <c r="I260" i="58"/>
  <c r="K258" i="58"/>
  <c r="M256" i="58"/>
  <c r="O254" i="58"/>
  <c r="Q252" i="58"/>
  <c r="J251" i="58"/>
  <c r="L249" i="58"/>
  <c r="N247" i="58"/>
  <c r="P245" i="58"/>
  <c r="I244" i="58"/>
  <c r="K242" i="58"/>
  <c r="M240" i="58"/>
  <c r="M257" i="58"/>
  <c r="M259" i="58"/>
  <c r="J248" i="58"/>
  <c r="Q245" i="58"/>
  <c r="L275" i="58"/>
  <c r="K249" i="58"/>
  <c r="J269" i="58"/>
  <c r="N265" i="58"/>
  <c r="I262" i="58"/>
  <c r="M258" i="58"/>
  <c r="Q254" i="58"/>
  <c r="L251" i="58"/>
  <c r="P247" i="58"/>
  <c r="J245" i="58"/>
  <c r="Q242" i="58"/>
  <c r="O240" i="58"/>
  <c r="N275" i="58"/>
  <c r="L273" i="58"/>
  <c r="J271" i="58"/>
  <c r="M268" i="58"/>
  <c r="K266" i="58"/>
  <c r="I264" i="58"/>
  <c r="L261" i="58"/>
  <c r="J259" i="58"/>
  <c r="Q256" i="58"/>
  <c r="K254" i="58"/>
  <c r="I252" i="58"/>
  <c r="P249" i="58"/>
  <c r="J247" i="58"/>
  <c r="Q244" i="58"/>
  <c r="O242" i="58"/>
  <c r="J246" i="58"/>
  <c r="K243" i="58"/>
  <c r="N270" i="58"/>
  <c r="J242" i="58"/>
  <c r="K268" i="58"/>
  <c r="O264" i="58"/>
  <c r="J261" i="58"/>
  <c r="N257" i="58"/>
  <c r="I254" i="58"/>
  <c r="M250" i="58"/>
  <c r="Q246" i="58"/>
  <c r="O244" i="58"/>
  <c r="M242" i="58"/>
  <c r="L277" i="58"/>
  <c r="J275" i="58"/>
  <c r="Q272" i="58"/>
  <c r="K270" i="58"/>
  <c r="I268" i="58"/>
  <c r="P265" i="58"/>
  <c r="J263" i="58"/>
  <c r="Q260" i="58"/>
  <c r="O258" i="58"/>
  <c r="I256" i="58"/>
  <c r="P253" i="58"/>
  <c r="N251" i="58"/>
  <c r="Q248" i="58"/>
  <c r="O246" i="58"/>
  <c r="M244" i="58"/>
  <c r="P241" i="58"/>
  <c r="K263" i="58"/>
  <c r="M269" i="58"/>
  <c r="L256" i="58"/>
  <c r="N264" i="58"/>
  <c r="M263" i="58"/>
  <c r="L267" i="58"/>
  <c r="P263" i="58"/>
  <c r="K260" i="58"/>
  <c r="O256" i="58"/>
  <c r="J253" i="58"/>
  <c r="N249" i="58"/>
  <c r="M246" i="58"/>
  <c r="K244" i="58"/>
  <c r="N241" i="58"/>
  <c r="Q276" i="58"/>
  <c r="O274" i="58"/>
  <c r="I272" i="58"/>
  <c r="P269" i="58"/>
  <c r="N267" i="58"/>
  <c r="Q264" i="58"/>
  <c r="O262" i="58"/>
  <c r="M260" i="58"/>
  <c r="P257" i="58"/>
  <c r="N255" i="58"/>
  <c r="L253" i="58"/>
  <c r="O250" i="58"/>
  <c r="M248" i="58"/>
  <c r="K246" i="58"/>
  <c r="N243" i="58"/>
  <c r="L241" i="58"/>
  <c r="M266" i="58"/>
  <c r="K252" i="58"/>
  <c r="J241" i="58"/>
  <c r="L269" i="58"/>
  <c r="N259" i="58"/>
  <c r="K250" i="58"/>
  <c r="Q240" i="58"/>
  <c r="Q262" i="58"/>
  <c r="O248" i="58"/>
  <c r="M276" i="58"/>
  <c r="O266" i="58"/>
  <c r="L257" i="58"/>
  <c r="I248" i="58"/>
  <c r="L259" i="58"/>
  <c r="I246" i="58"/>
  <c r="P273" i="58"/>
  <c r="M264" i="58"/>
  <c r="J255" i="58"/>
  <c r="L245" i="58"/>
  <c r="I270" i="58"/>
  <c r="P255" i="58"/>
  <c r="L243" i="58"/>
  <c r="N271" i="58"/>
  <c r="K262" i="58"/>
  <c r="M252" i="58"/>
  <c r="J243" i="58"/>
  <c r="C149" i="57"/>
  <c r="C163" i="57"/>
  <c r="C176" i="57"/>
  <c r="C153" i="57"/>
  <c r="C168" i="57"/>
  <c r="C179" i="57"/>
  <c r="C148" i="57"/>
  <c r="C160" i="57"/>
  <c r="C182" i="57"/>
  <c r="C184" i="57"/>
  <c r="C175" i="57"/>
  <c r="C164" i="57"/>
  <c r="C155" i="57"/>
  <c r="C147" i="57"/>
  <c r="C157" i="57"/>
  <c r="C169" i="57"/>
  <c r="C181" i="57"/>
  <c r="C152" i="57"/>
  <c r="C159" i="57"/>
  <c r="C165" i="57"/>
  <c r="C173" i="57"/>
  <c r="C180" i="57"/>
  <c r="C282" i="57"/>
  <c r="C287" i="57"/>
  <c r="C293" i="57"/>
  <c r="C298" i="57"/>
  <c r="C303" i="57"/>
  <c r="C309" i="57"/>
  <c r="C314" i="57"/>
  <c r="C283" i="57"/>
  <c r="C289" i="57"/>
  <c r="C294" i="57"/>
  <c r="C299" i="57"/>
  <c r="C305" i="57"/>
  <c r="C310" i="57"/>
  <c r="C316" i="57"/>
  <c r="C312" i="57"/>
  <c r="C308" i="57"/>
  <c r="C304" i="57"/>
  <c r="C300" i="57"/>
  <c r="C296" i="57"/>
  <c r="C292" i="57"/>
  <c r="C288" i="57"/>
  <c r="C284" i="57"/>
  <c r="C280" i="57"/>
  <c r="C285" i="57"/>
  <c r="C290" i="57"/>
  <c r="C295" i="57"/>
  <c r="C301" i="57"/>
  <c r="C306" i="57"/>
  <c r="C311" i="57"/>
  <c r="C317" i="57"/>
  <c r="C281" i="57"/>
  <c r="C286" i="57"/>
  <c r="C291" i="57"/>
  <c r="C297" i="57"/>
  <c r="C302" i="57"/>
  <c r="C307" i="57"/>
  <c r="C313" i="57"/>
  <c r="C151" i="57"/>
  <c r="C156" i="57"/>
  <c r="C161" i="57"/>
  <c r="C167" i="57"/>
  <c r="C172" i="57"/>
  <c r="C177" i="57"/>
  <c r="C183" i="57"/>
  <c r="C273" i="57"/>
  <c r="C269" i="57"/>
  <c r="C265" i="57"/>
  <c r="C261" i="57"/>
  <c r="C257" i="57"/>
  <c r="C253" i="57"/>
  <c r="C249" i="57"/>
  <c r="C245" i="57"/>
  <c r="C241" i="57"/>
  <c r="C237" i="57"/>
  <c r="C272" i="57"/>
  <c r="C268" i="57"/>
  <c r="C264" i="57"/>
  <c r="C260" i="57"/>
  <c r="C256" i="57"/>
  <c r="C252" i="57"/>
  <c r="C248" i="57"/>
  <c r="C244" i="57"/>
  <c r="C240" i="57"/>
  <c r="C236" i="57"/>
  <c r="C251" i="57"/>
  <c r="C267" i="57"/>
  <c r="C238" i="57"/>
  <c r="C254" i="57"/>
  <c r="C270" i="57"/>
  <c r="C239" i="57"/>
  <c r="C247" i="57"/>
  <c r="C255" i="57"/>
  <c r="C263" i="57"/>
  <c r="C271" i="57"/>
  <c r="C243" i="57"/>
  <c r="C259" i="57"/>
  <c r="C246" i="57"/>
  <c r="C262" i="57"/>
  <c r="C242" i="57"/>
  <c r="C250" i="57"/>
  <c r="C258" i="57"/>
  <c r="C266" i="57"/>
  <c r="C227" i="57"/>
  <c r="C223" i="57"/>
  <c r="C219" i="57"/>
  <c r="C215" i="57"/>
  <c r="C211" i="57"/>
  <c r="C207" i="57"/>
  <c r="C203" i="57"/>
  <c r="C199" i="57"/>
  <c r="C195" i="57"/>
  <c r="C191" i="57"/>
  <c r="C196" i="57"/>
  <c r="C201" i="57"/>
  <c r="C206" i="57"/>
  <c r="C212" i="57"/>
  <c r="C217" i="57"/>
  <c r="C222" i="57"/>
  <c r="C228" i="57"/>
  <c r="C192" i="57"/>
  <c r="C202" i="57"/>
  <c r="C208" i="57"/>
  <c r="C213" i="57"/>
  <c r="C218" i="57"/>
  <c r="C193" i="57"/>
  <c r="C198" i="57"/>
  <c r="C204" i="57"/>
  <c r="C209" i="57"/>
  <c r="C214" i="57"/>
  <c r="C220" i="57"/>
  <c r="C225" i="57"/>
  <c r="C194" i="57"/>
  <c r="C200" i="57"/>
  <c r="C205" i="57"/>
  <c r="C210" i="57"/>
  <c r="C216" i="57"/>
  <c r="C221" i="57"/>
  <c r="C226" i="57"/>
  <c r="C197" i="57"/>
  <c r="C224" i="57"/>
  <c r="C150" i="57"/>
  <c r="C154" i="57"/>
  <c r="C158" i="57"/>
  <c r="C162" i="57"/>
  <c r="C166" i="57"/>
  <c r="C170" i="57"/>
  <c r="C174" i="57"/>
  <c r="C178" i="57"/>
  <c r="C110" i="57"/>
  <c r="C116" i="57"/>
  <c r="C126" i="57"/>
  <c r="C137" i="57"/>
  <c r="C106" i="57"/>
  <c r="C112" i="57"/>
  <c r="C117" i="57"/>
  <c r="C122" i="57"/>
  <c r="C128" i="57"/>
  <c r="C133" i="57"/>
  <c r="C139" i="57"/>
  <c r="C135" i="57"/>
  <c r="C131" i="57"/>
  <c r="C127" i="57"/>
  <c r="C123" i="57"/>
  <c r="C119" i="57"/>
  <c r="C115" i="57"/>
  <c r="C111" i="57"/>
  <c r="C107" i="57"/>
  <c r="C103" i="57"/>
  <c r="C108" i="57"/>
  <c r="C113" i="57"/>
  <c r="C118" i="57"/>
  <c r="C124" i="57"/>
  <c r="C129" i="57"/>
  <c r="C134" i="57"/>
  <c r="C140" i="57"/>
  <c r="C105" i="57"/>
  <c r="C121" i="57"/>
  <c r="C132" i="57"/>
  <c r="C104" i="57"/>
  <c r="C109" i="57"/>
  <c r="C114" i="57"/>
  <c r="C120" i="57"/>
  <c r="C125" i="57"/>
  <c r="C130" i="57"/>
  <c r="C136" i="57"/>
  <c r="C95" i="57"/>
  <c r="C91" i="57"/>
  <c r="C87" i="57"/>
  <c r="C83" i="57"/>
  <c r="C79" i="57"/>
  <c r="C75" i="57"/>
  <c r="C71" i="57"/>
  <c r="C67" i="57"/>
  <c r="C63" i="57"/>
  <c r="C59" i="57"/>
  <c r="C94" i="57"/>
  <c r="C90" i="57"/>
  <c r="C86" i="57"/>
  <c r="C82" i="57"/>
  <c r="C78" i="57"/>
  <c r="C74" i="57"/>
  <c r="C70" i="57"/>
  <c r="C66" i="57"/>
  <c r="C62" i="57"/>
  <c r="C93" i="57"/>
  <c r="C89" i="57"/>
  <c r="C85" i="57"/>
  <c r="C81" i="57"/>
  <c r="C77" i="57"/>
  <c r="C73" i="57"/>
  <c r="C69" i="57"/>
  <c r="C65" i="57"/>
  <c r="C61" i="57"/>
  <c r="C96" i="57"/>
  <c r="C92" i="57"/>
  <c r="C88" i="57"/>
  <c r="C84" i="57"/>
  <c r="C80" i="57"/>
  <c r="C76" i="57"/>
  <c r="C72" i="57"/>
  <c r="C68" i="57"/>
  <c r="C64" i="57"/>
  <c r="E315" i="58" l="1"/>
  <c r="E293" i="58"/>
  <c r="AD250" i="58"/>
  <c r="AD243" i="58"/>
  <c r="AD245" i="58"/>
  <c r="AD248" i="58"/>
  <c r="AD246" i="58"/>
  <c r="AD242" i="58"/>
  <c r="AD253" i="58"/>
  <c r="AD247" i="58"/>
  <c r="AD244" i="58"/>
  <c r="AD254" i="58"/>
  <c r="AD241" i="58"/>
  <c r="AD251" i="58"/>
  <c r="AD252" i="58"/>
  <c r="AD249" i="58"/>
  <c r="AD255" i="58"/>
  <c r="AD240" i="58"/>
  <c r="AC270" i="58"/>
  <c r="AC243" i="58"/>
  <c r="AC273" i="58"/>
  <c r="AC266" i="58"/>
  <c r="AC245" i="58"/>
  <c r="AC262" i="58"/>
  <c r="AC276" i="58"/>
  <c r="AC269" i="58"/>
  <c r="AC274" i="58"/>
  <c r="AC249" i="58"/>
  <c r="AC255" i="58"/>
  <c r="AC268" i="58"/>
  <c r="AC264" i="58"/>
  <c r="AC259" i="58"/>
  <c r="AC246" i="58"/>
  <c r="AC260" i="58"/>
  <c r="AC261" i="58"/>
  <c r="AC256" i="58"/>
  <c r="AC254" i="58"/>
  <c r="AC265" i="58"/>
  <c r="AC252" i="58"/>
  <c r="AC257" i="58"/>
  <c r="AC272" i="58"/>
  <c r="AC263" i="58"/>
  <c r="AC244" i="58"/>
  <c r="AC253" i="58"/>
  <c r="AC242" i="58"/>
  <c r="AC267" i="58"/>
  <c r="AC240" i="58"/>
  <c r="AC258" i="58"/>
  <c r="AC275" i="58"/>
  <c r="AC241" i="58"/>
  <c r="AC247" i="58"/>
  <c r="AC277" i="58"/>
  <c r="AC250" i="58"/>
  <c r="AC271" i="58"/>
  <c r="AC248" i="58"/>
  <c r="AC251" i="58"/>
  <c r="AD277" i="58"/>
  <c r="AD272" i="58"/>
  <c r="AD266" i="58"/>
  <c r="AD260" i="58"/>
  <c r="AD258" i="58"/>
  <c r="AD265" i="58"/>
  <c r="AD261" i="58"/>
  <c r="AD271" i="58"/>
  <c r="AD259" i="58"/>
  <c r="AD274" i="58"/>
  <c r="AD257" i="58"/>
  <c r="AD264" i="58"/>
  <c r="AD262" i="58"/>
  <c r="AD275" i="58"/>
  <c r="AD273" i="58"/>
  <c r="AD268" i="58"/>
  <c r="AD270" i="58"/>
  <c r="AD263" i="58"/>
  <c r="AD267" i="58"/>
  <c r="AD269" i="58"/>
  <c r="AD276" i="58"/>
  <c r="AD256" i="58"/>
  <c r="E313" i="58"/>
  <c r="E367" i="58"/>
  <c r="E304" i="58"/>
  <c r="E331" i="58"/>
  <c r="E299" i="58"/>
  <c r="E307" i="58"/>
  <c r="E292" i="58"/>
  <c r="E355" i="58"/>
  <c r="E345" i="58"/>
  <c r="I376" i="58" a="1"/>
  <c r="I386" i="58" s="1"/>
  <c r="H376" i="58" a="1"/>
  <c r="H412" i="58" s="1"/>
  <c r="H331" i="58" a="1"/>
  <c r="H365" i="58" s="1"/>
  <c r="J376" i="58" a="1"/>
  <c r="J396" i="58" s="1"/>
  <c r="I394" i="58"/>
  <c r="G376" i="58" a="1"/>
  <c r="G396" i="58" s="1"/>
  <c r="I331" i="58" a="1"/>
  <c r="I346" i="58" s="1"/>
  <c r="F286" i="58" a="1"/>
  <c r="F322" i="58" s="1"/>
  <c r="E336" i="58"/>
  <c r="E356" i="58"/>
  <c r="E364" i="58"/>
  <c r="E353" i="58"/>
  <c r="E319" i="58"/>
  <c r="E344" i="58"/>
  <c r="E305" i="58"/>
  <c r="E306" i="58"/>
  <c r="E358" i="58"/>
  <c r="E288" i="58"/>
  <c r="E302" i="58"/>
  <c r="E308" i="58"/>
  <c r="E340" i="58"/>
  <c r="E362" i="58"/>
  <c r="E351" i="58"/>
  <c r="E365" i="58"/>
  <c r="E289" i="58"/>
  <c r="E361" i="58"/>
  <c r="E309" i="58"/>
  <c r="E334" i="58"/>
  <c r="E342" i="58"/>
  <c r="E287" i="58"/>
  <c r="E352" i="58"/>
  <c r="E323" i="58"/>
  <c r="E312" i="58"/>
  <c r="E333" i="58"/>
  <c r="E339" i="58"/>
  <c r="E303" i="58"/>
  <c r="J331" i="58" a="1"/>
  <c r="J351" i="58" s="1"/>
  <c r="H391" i="58"/>
  <c r="H335" i="58"/>
  <c r="E354" i="58"/>
  <c r="E343" i="58"/>
  <c r="E357" i="58"/>
  <c r="E363" i="58"/>
  <c r="E298" i="58"/>
  <c r="E346" i="58"/>
  <c r="E335" i="58"/>
  <c r="E349" i="58"/>
  <c r="E316" i="58"/>
  <c r="E286" i="58"/>
  <c r="E359" i="58"/>
  <c r="E291" i="58"/>
  <c r="E297" i="58"/>
  <c r="E311" i="58"/>
  <c r="E321" i="58"/>
  <c r="E348" i="58"/>
  <c r="E366" i="58"/>
  <c r="E294" i="58"/>
  <c r="E300" i="58"/>
  <c r="E295" i="58"/>
  <c r="G331" i="58" a="1"/>
  <c r="G334" i="58" s="1"/>
  <c r="E318" i="58"/>
  <c r="E322" i="58"/>
  <c r="E368" i="58"/>
  <c r="E296" i="58"/>
  <c r="E310" i="58"/>
  <c r="E290" i="58"/>
  <c r="E338" i="58"/>
  <c r="E320" i="58"/>
  <c r="E341" i="58"/>
  <c r="E347" i="58"/>
  <c r="E350" i="58"/>
  <c r="E314" i="58"/>
  <c r="E301" i="58"/>
  <c r="E332" i="58"/>
  <c r="E337" i="58"/>
  <c r="S240" i="58"/>
  <c r="U257" i="58"/>
  <c r="V272" i="58"/>
  <c r="X246" i="58"/>
  <c r="U265" i="58"/>
  <c r="Y271" i="58"/>
  <c r="AA259" i="58"/>
  <c r="Y245" i="58"/>
  <c r="AA275" i="58"/>
  <c r="T266" i="58"/>
  <c r="AA251" i="58"/>
  <c r="V276" i="58"/>
  <c r="AA273" i="58"/>
  <c r="X271" i="58"/>
  <c r="U269" i="58"/>
  <c r="Z266" i="58"/>
  <c r="U263" i="58"/>
  <c r="Y259" i="58"/>
  <c r="T256" i="58"/>
  <c r="X252" i="58"/>
  <c r="S249" i="58"/>
  <c r="W245" i="58"/>
  <c r="AA241" i="58"/>
  <c r="AA277" i="58"/>
  <c r="X275" i="58"/>
  <c r="U273" i="58"/>
  <c r="Z270" i="58"/>
  <c r="W268" i="58"/>
  <c r="Y265" i="58"/>
  <c r="T262" i="58"/>
  <c r="X258" i="58"/>
  <c r="S255" i="58"/>
  <c r="W251" i="58"/>
  <c r="AA247" i="58"/>
  <c r="V244" i="58"/>
  <c r="Z240" i="58"/>
  <c r="Y261" i="58"/>
  <c r="AA272" i="58"/>
  <c r="Y274" i="58"/>
  <c r="T250" i="58"/>
  <c r="X267" i="58"/>
  <c r="T258" i="58"/>
  <c r="V269" i="58"/>
  <c r="V256" i="58"/>
  <c r="T242" i="58"/>
  <c r="W273" i="58"/>
  <c r="X262" i="58"/>
  <c r="V248" i="58"/>
  <c r="Y275" i="58"/>
  <c r="V273" i="58"/>
  <c r="S271" i="58"/>
  <c r="X268" i="58"/>
  <c r="AA265" i="58"/>
  <c r="V262" i="58"/>
  <c r="Z258" i="58"/>
  <c r="U255" i="58"/>
  <c r="Y251" i="58"/>
  <c r="T248" i="58"/>
  <c r="X244" i="58"/>
  <c r="S241" i="58"/>
  <c r="V277" i="58"/>
  <c r="T268" i="58"/>
  <c r="Y277" i="58"/>
  <c r="W247" i="58"/>
  <c r="AA269" i="58"/>
  <c r="S243" i="58"/>
  <c r="Z260" i="58"/>
  <c r="U275" i="58"/>
  <c r="S251" i="58"/>
  <c r="W276" i="58"/>
  <c r="S267" i="58"/>
  <c r="Z252" i="58"/>
  <c r="T271" i="58"/>
  <c r="S259" i="58"/>
  <c r="Z244" i="58"/>
  <c r="W277" i="58"/>
  <c r="T275" i="58"/>
  <c r="Z272" i="58"/>
  <c r="V270" i="58"/>
  <c r="S268" i="58"/>
  <c r="S265" i="58"/>
  <c r="W261" i="58"/>
  <c r="AA257" i="58"/>
  <c r="V254" i="58"/>
  <c r="Z250" i="58"/>
  <c r="U247" i="58"/>
  <c r="Y243" i="58"/>
  <c r="T240" i="58"/>
  <c r="Z276" i="58"/>
  <c r="V274" i="58"/>
  <c r="S272" i="58"/>
  <c r="Y269" i="58"/>
  <c r="U267" i="58"/>
  <c r="AA263" i="58"/>
  <c r="V260" i="58"/>
  <c r="Z256" i="58"/>
  <c r="U253" i="58"/>
  <c r="Y249" i="58"/>
  <c r="T246" i="58"/>
  <c r="X242" i="58"/>
  <c r="V240" i="58"/>
  <c r="U241" i="58"/>
  <c r="X274" i="58"/>
  <c r="T264" i="58"/>
  <c r="AA249" i="58"/>
  <c r="T276" i="58"/>
  <c r="W271" i="58"/>
  <c r="X266" i="58"/>
  <c r="W259" i="58"/>
  <c r="V252" i="58"/>
  <c r="U245" i="58"/>
  <c r="S276" i="58"/>
  <c r="Y273" i="58"/>
  <c r="U271" i="58"/>
  <c r="AA268" i="58"/>
  <c r="V266" i="58"/>
  <c r="Z262" i="58"/>
  <c r="U259" i="58"/>
  <c r="Y255" i="58"/>
  <c r="T252" i="58"/>
  <c r="X248" i="58"/>
  <c r="S245" i="58"/>
  <c r="W241" i="58"/>
  <c r="U276" i="58"/>
  <c r="W274" i="58"/>
  <c r="Y272" i="58"/>
  <c r="AA270" i="58"/>
  <c r="T269" i="58"/>
  <c r="V267" i="58"/>
  <c r="X265" i="58"/>
  <c r="Z263" i="58"/>
  <c r="S262" i="58"/>
  <c r="U260" i="58"/>
  <c r="W258" i="58"/>
  <c r="Y256" i="58"/>
  <c r="AA254" i="58"/>
  <c r="T253" i="58"/>
  <c r="V251" i="58"/>
  <c r="X249" i="58"/>
  <c r="Z247" i="58"/>
  <c r="S246" i="58"/>
  <c r="U244" i="58"/>
  <c r="W242" i="58"/>
  <c r="Y240" i="58"/>
  <c r="Z265" i="58"/>
  <c r="S264" i="58"/>
  <c r="U262" i="58"/>
  <c r="W260" i="58"/>
  <c r="Y258" i="58"/>
  <c r="AA256" i="58"/>
  <c r="T255" i="58"/>
  <c r="V253" i="58"/>
  <c r="X251" i="58"/>
  <c r="Z249" i="58"/>
  <c r="S248" i="58"/>
  <c r="U246" i="58"/>
  <c r="W244" i="58"/>
  <c r="Y242" i="58"/>
  <c r="AA240" i="58"/>
  <c r="X254" i="58"/>
  <c r="T274" i="58"/>
  <c r="T272" i="58"/>
  <c r="X260" i="58"/>
  <c r="V246" i="58"/>
  <c r="S275" i="58"/>
  <c r="U270" i="58"/>
  <c r="Z264" i="58"/>
  <c r="Y257" i="58"/>
  <c r="X250" i="58"/>
  <c r="W243" i="58"/>
  <c r="Z277" i="58"/>
  <c r="W275" i="58"/>
  <c r="S273" i="58"/>
  <c r="Y270" i="58"/>
  <c r="V268" i="58"/>
  <c r="W265" i="58"/>
  <c r="AA261" i="58"/>
  <c r="V258" i="58"/>
  <c r="Z254" i="58"/>
  <c r="U251" i="58"/>
  <c r="Y247" i="58"/>
  <c r="T244" i="58"/>
  <c r="X240" i="58"/>
  <c r="X277" i="58"/>
  <c r="Z275" i="58"/>
  <c r="S274" i="58"/>
  <c r="U272" i="58"/>
  <c r="W270" i="58"/>
  <c r="Y268" i="58"/>
  <c r="AA266" i="58"/>
  <c r="T265" i="58"/>
  <c r="V263" i="58"/>
  <c r="X261" i="58"/>
  <c r="Z259" i="58"/>
  <c r="S258" i="58"/>
  <c r="U256" i="58"/>
  <c r="W254" i="58"/>
  <c r="Y252" i="58"/>
  <c r="AA250" i="58"/>
  <c r="T249" i="58"/>
  <c r="V247" i="58"/>
  <c r="X245" i="58"/>
  <c r="Z243" i="58"/>
  <c r="S242" i="58"/>
  <c r="U240" i="58"/>
  <c r="V265" i="58"/>
  <c r="V264" i="58"/>
  <c r="S277" i="58"/>
  <c r="X270" i="58"/>
  <c r="W263" i="58"/>
  <c r="Z268" i="58"/>
  <c r="Z269" i="58"/>
  <c r="S257" i="58"/>
  <c r="Z242" i="58"/>
  <c r="Z273" i="58"/>
  <c r="S269" i="58"/>
  <c r="S263" i="58"/>
  <c r="AA255" i="58"/>
  <c r="Z248" i="58"/>
  <c r="Y241" i="58"/>
  <c r="U277" i="58"/>
  <c r="Z274" i="58"/>
  <c r="W272" i="58"/>
  <c r="T270" i="58"/>
  <c r="Y267" i="58"/>
  <c r="X264" i="58"/>
  <c r="S261" i="58"/>
  <c r="W257" i="58"/>
  <c r="AA253" i="58"/>
  <c r="V250" i="58"/>
  <c r="Z246" i="58"/>
  <c r="U243" i="58"/>
  <c r="T277" i="58"/>
  <c r="V275" i="58"/>
  <c r="X273" i="58"/>
  <c r="Z271" i="58"/>
  <c r="S270" i="58"/>
  <c r="U268" i="58"/>
  <c r="W266" i="58"/>
  <c r="Y264" i="58"/>
  <c r="AA262" i="58"/>
  <c r="T261" i="58"/>
  <c r="V259" i="58"/>
  <c r="X257" i="58"/>
  <c r="Z255" i="58"/>
  <c r="S254" i="58"/>
  <c r="U252" i="58"/>
  <c r="W250" i="58"/>
  <c r="Y248" i="58"/>
  <c r="AA246" i="58"/>
  <c r="T245" i="58"/>
  <c r="V243" i="58"/>
  <c r="X241" i="58"/>
  <c r="Y266" i="58"/>
  <c r="AA264" i="58"/>
  <c r="T263" i="58"/>
  <c r="V261" i="58"/>
  <c r="X259" i="58"/>
  <c r="Z257" i="58"/>
  <c r="S256" i="58"/>
  <c r="U254" i="58"/>
  <c r="W252" i="58"/>
  <c r="Y250" i="58"/>
  <c r="AA248" i="58"/>
  <c r="T247" i="58"/>
  <c r="V245" i="58"/>
  <c r="X243" i="58"/>
  <c r="Z241" i="58"/>
  <c r="W255" i="58"/>
  <c r="W267" i="58"/>
  <c r="T254" i="58"/>
  <c r="AA271" i="58"/>
  <c r="T260" i="58"/>
  <c r="AA245" i="58"/>
  <c r="V271" i="58"/>
  <c r="U264" i="58"/>
  <c r="T257" i="58"/>
  <c r="S250" i="58"/>
  <c r="AA242" i="58"/>
  <c r="X263" i="58"/>
  <c r="S260" i="58"/>
  <c r="W256" i="58"/>
  <c r="AA252" i="58"/>
  <c r="V249" i="58"/>
  <c r="Z245" i="58"/>
  <c r="U242" i="58"/>
  <c r="W249" i="58"/>
  <c r="T273" i="58"/>
  <c r="AA258" i="58"/>
  <c r="Y244" i="58"/>
  <c r="AA260" i="58"/>
  <c r="Z253" i="58"/>
  <c r="Y246" i="58"/>
  <c r="AA243" i="58"/>
  <c r="U249" i="58"/>
  <c r="W253" i="58"/>
  <c r="X272" i="58"/>
  <c r="S247" i="58"/>
  <c r="W269" i="58"/>
  <c r="X256" i="58"/>
  <c r="V242" i="58"/>
  <c r="Y276" i="58"/>
  <c r="X269" i="58"/>
  <c r="W262" i="58"/>
  <c r="V255" i="58"/>
  <c r="U248" i="58"/>
  <c r="T241" i="58"/>
  <c r="Y262" i="58"/>
  <c r="T259" i="58"/>
  <c r="X255" i="58"/>
  <c r="S252" i="58"/>
  <c r="W248" i="58"/>
  <c r="AA244" i="58"/>
  <c r="V241" i="58"/>
  <c r="Y253" i="58"/>
  <c r="AA276" i="58"/>
  <c r="U261" i="58"/>
  <c r="U274" i="58"/>
  <c r="Y263" i="58"/>
  <c r="S266" i="58"/>
  <c r="Z251" i="58"/>
  <c r="W264" i="58"/>
  <c r="V257" i="58"/>
  <c r="U250" i="58"/>
  <c r="AA267" i="58"/>
  <c r="X276" i="58"/>
  <c r="T267" i="58"/>
  <c r="S253" i="58"/>
  <c r="AA274" i="58"/>
  <c r="Z267" i="58"/>
  <c r="Y260" i="58"/>
  <c r="X253" i="58"/>
  <c r="W246" i="58"/>
  <c r="U266" i="58"/>
  <c r="Z261" i="58"/>
  <c r="U258" i="58"/>
  <c r="Y254" i="58"/>
  <c r="T251" i="58"/>
  <c r="X247" i="58"/>
  <c r="S244" i="58"/>
  <c r="W240" i="58"/>
  <c r="T243" i="58"/>
  <c r="E200" i="51" a="1"/>
  <c r="I207" i="51" s="1"/>
  <c r="E109" i="51" a="1"/>
  <c r="J138" i="51" s="1"/>
  <c r="E518" i="51" a="1"/>
  <c r="H522" i="51" s="1"/>
  <c r="E14" i="51" a="1"/>
  <c r="J50" i="51" s="1"/>
  <c r="E382" i="51" a="1"/>
  <c r="I402" i="51" s="1"/>
  <c r="E654" i="51" a="1"/>
  <c r="E291" i="51" a="1"/>
  <c r="F319" i="51" s="1"/>
  <c r="H381" i="58" l="1"/>
  <c r="E233" i="51"/>
  <c r="E203" i="51"/>
  <c r="F236" i="51"/>
  <c r="F216" i="51"/>
  <c r="H217" i="51"/>
  <c r="E201" i="51"/>
  <c r="H208" i="51"/>
  <c r="E226" i="51"/>
  <c r="J216" i="51"/>
  <c r="E220" i="51"/>
  <c r="F229" i="51"/>
  <c r="J227" i="51"/>
  <c r="H232" i="51"/>
  <c r="H111" i="51"/>
  <c r="J127" i="51"/>
  <c r="I140" i="51"/>
  <c r="H351" i="58"/>
  <c r="H392" i="58"/>
  <c r="H411" i="58"/>
  <c r="H410" i="58"/>
  <c r="H398" i="58"/>
  <c r="I411" i="58"/>
  <c r="H389" i="58"/>
  <c r="H379" i="58"/>
  <c r="J386" i="58"/>
  <c r="J377" i="58"/>
  <c r="J390" i="58"/>
  <c r="I393" i="58"/>
  <c r="H344" i="58"/>
  <c r="I381" i="58"/>
  <c r="H363" i="58"/>
  <c r="H353" i="58"/>
  <c r="H341" i="58"/>
  <c r="G402" i="58"/>
  <c r="I383" i="58"/>
  <c r="H388" i="58"/>
  <c r="I391" i="58"/>
  <c r="H362" i="58"/>
  <c r="I379" i="58"/>
  <c r="I409" i="58"/>
  <c r="G384" i="58"/>
  <c r="I377" i="58"/>
  <c r="I405" i="58"/>
  <c r="H401" i="58"/>
  <c r="G393" i="58"/>
  <c r="J388" i="58"/>
  <c r="H361" i="58"/>
  <c r="J401" i="58"/>
  <c r="H390" i="58"/>
  <c r="H386" i="58"/>
  <c r="H397" i="58"/>
  <c r="H405" i="58"/>
  <c r="J383" i="58"/>
  <c r="G389" i="58"/>
  <c r="G379" i="58"/>
  <c r="J347" i="58"/>
  <c r="J393" i="58"/>
  <c r="G377" i="58"/>
  <c r="I403" i="58"/>
  <c r="H409" i="58"/>
  <c r="H383" i="58"/>
  <c r="I413" i="58"/>
  <c r="H393" i="58"/>
  <c r="I400" i="58"/>
  <c r="I399" i="58"/>
  <c r="I395" i="58"/>
  <c r="H355" i="58"/>
  <c r="H385" i="58"/>
  <c r="G376" i="58"/>
  <c r="J378" i="58"/>
  <c r="H399" i="58"/>
  <c r="I402" i="58"/>
  <c r="I387" i="58"/>
  <c r="H394" i="58"/>
  <c r="I396" i="58"/>
  <c r="P286" i="58" a="1"/>
  <c r="P288" i="58" s="1"/>
  <c r="G411" i="58"/>
  <c r="J413" i="58"/>
  <c r="J409" i="58"/>
  <c r="J394" i="58"/>
  <c r="J379" i="58"/>
  <c r="H366" i="58"/>
  <c r="H377" i="58"/>
  <c r="G381" i="58"/>
  <c r="I397" i="58"/>
  <c r="I404" i="58"/>
  <c r="I406" i="58"/>
  <c r="I378" i="58"/>
  <c r="I398" i="58"/>
  <c r="J410" i="58"/>
  <c r="I389" i="58"/>
  <c r="I382" i="58"/>
  <c r="I388" i="58"/>
  <c r="P331" i="58" a="1"/>
  <c r="P367" i="58" s="1"/>
  <c r="J389" i="58"/>
  <c r="H337" i="58"/>
  <c r="J335" i="58"/>
  <c r="J331" i="58"/>
  <c r="H333" i="58"/>
  <c r="J397" i="58"/>
  <c r="H340" i="58"/>
  <c r="I380" i="58"/>
  <c r="I392" i="58"/>
  <c r="J376" i="58"/>
  <c r="H387" i="58"/>
  <c r="J385" i="58"/>
  <c r="H406" i="58"/>
  <c r="H384" i="58"/>
  <c r="I401" i="58"/>
  <c r="I347" i="58"/>
  <c r="F303" i="58"/>
  <c r="G345" i="58"/>
  <c r="G343" i="58"/>
  <c r="J368" i="58"/>
  <c r="I357" i="58"/>
  <c r="I368" i="58"/>
  <c r="G408" i="58"/>
  <c r="J407" i="58"/>
  <c r="F312" i="58"/>
  <c r="G410" i="58"/>
  <c r="J392" i="58"/>
  <c r="F286" i="58"/>
  <c r="F295" i="58"/>
  <c r="G403" i="58"/>
  <c r="J406" i="58"/>
  <c r="F298" i="58"/>
  <c r="F288" i="58"/>
  <c r="J380" i="58"/>
  <c r="F293" i="58"/>
  <c r="I360" i="58"/>
  <c r="I352" i="58"/>
  <c r="F287" i="58"/>
  <c r="I335" i="58"/>
  <c r="F320" i="58"/>
  <c r="F311" i="58"/>
  <c r="F307" i="58"/>
  <c r="F306" i="58"/>
  <c r="F308" i="58"/>
  <c r="F309" i="58"/>
  <c r="F301" i="58"/>
  <c r="F291" i="58"/>
  <c r="J384" i="58"/>
  <c r="I362" i="58"/>
  <c r="H413" i="58"/>
  <c r="H408" i="58"/>
  <c r="J382" i="58"/>
  <c r="I384" i="58"/>
  <c r="I407" i="58"/>
  <c r="H376" i="58"/>
  <c r="F317" i="58"/>
  <c r="F305" i="58"/>
  <c r="I349" i="58"/>
  <c r="I339" i="58"/>
  <c r="F289" i="58"/>
  <c r="F304" i="58"/>
  <c r="I366" i="58"/>
  <c r="I353" i="58"/>
  <c r="F315" i="58"/>
  <c r="I341" i="58"/>
  <c r="G405" i="58"/>
  <c r="J405" i="58"/>
  <c r="F290" i="58"/>
  <c r="N331" i="58" a="1"/>
  <c r="N338" i="58" s="1"/>
  <c r="O376" i="58" a="1"/>
  <c r="O396" i="58" s="1"/>
  <c r="M376" i="58" a="1"/>
  <c r="M407" i="58" s="1"/>
  <c r="L376" i="58" a="1"/>
  <c r="L384" i="58" s="1"/>
  <c r="M331" i="58" a="1"/>
  <c r="M348" i="58" s="1"/>
  <c r="K286" i="58" a="1"/>
  <c r="K307" i="58" s="1"/>
  <c r="N376" i="58" a="1"/>
  <c r="N380" i="58" s="1"/>
  <c r="J349" i="58"/>
  <c r="J363" i="58"/>
  <c r="J345" i="58"/>
  <c r="G364" i="58"/>
  <c r="G358" i="58"/>
  <c r="G363" i="58"/>
  <c r="J365" i="58"/>
  <c r="G341" i="58"/>
  <c r="G353" i="58"/>
  <c r="J361" i="58"/>
  <c r="F296" i="58"/>
  <c r="G342" i="58"/>
  <c r="G390" i="58"/>
  <c r="I332" i="58"/>
  <c r="H332" i="58"/>
  <c r="J364" i="58"/>
  <c r="G354" i="58"/>
  <c r="J354" i="58"/>
  <c r="J348" i="58"/>
  <c r="G397" i="58"/>
  <c r="I337" i="58"/>
  <c r="J358" i="58"/>
  <c r="J350" i="58"/>
  <c r="J404" i="58"/>
  <c r="H342" i="58"/>
  <c r="G350" i="58"/>
  <c r="F300" i="58"/>
  <c r="I342" i="58"/>
  <c r="H382" i="58"/>
  <c r="G382" i="58"/>
  <c r="H350" i="58"/>
  <c r="G347" i="58"/>
  <c r="G335" i="58"/>
  <c r="J366" i="58"/>
  <c r="J362" i="58"/>
  <c r="J357" i="58"/>
  <c r="G351" i="58"/>
  <c r="G378" i="58"/>
  <c r="G380" i="58"/>
  <c r="I334" i="58"/>
  <c r="J333" i="58"/>
  <c r="G368" i="58"/>
  <c r="G387" i="58"/>
  <c r="H357" i="58"/>
  <c r="J339" i="58"/>
  <c r="H331" i="58"/>
  <c r="F321" i="58"/>
  <c r="G395" i="58"/>
  <c r="H354" i="58"/>
  <c r="G336" i="58"/>
  <c r="G366" i="58"/>
  <c r="J360" i="58"/>
  <c r="H360" i="58"/>
  <c r="F316" i="58"/>
  <c r="J344" i="58"/>
  <c r="I340" i="58"/>
  <c r="F294" i="58"/>
  <c r="I343" i="58"/>
  <c r="H349" i="58"/>
  <c r="F299" i="58"/>
  <c r="I367" i="58"/>
  <c r="J352" i="58"/>
  <c r="J340" i="58"/>
  <c r="H378" i="58"/>
  <c r="J332" i="58"/>
  <c r="I410" i="58"/>
  <c r="G388" i="58"/>
  <c r="G346" i="58"/>
  <c r="L331" i="58" a="1"/>
  <c r="L332" i="58" s="1"/>
  <c r="O331" i="58" a="1"/>
  <c r="O348" i="58" s="1"/>
  <c r="G355" i="58"/>
  <c r="J353" i="58"/>
  <c r="G331" i="58"/>
  <c r="G367" i="58"/>
  <c r="I365" i="58"/>
  <c r="G407" i="58"/>
  <c r="G365" i="58"/>
  <c r="J342" i="58"/>
  <c r="J343" i="58"/>
  <c r="J334" i="58"/>
  <c r="J391" i="58"/>
  <c r="H339" i="58"/>
  <c r="G413" i="58"/>
  <c r="I331" i="58"/>
  <c r="H367" i="58"/>
  <c r="I408" i="58"/>
  <c r="J411" i="58"/>
  <c r="J355" i="58"/>
  <c r="H346" i="58"/>
  <c r="F313" i="58"/>
  <c r="G349" i="58"/>
  <c r="H338" i="58"/>
  <c r="I354" i="58"/>
  <c r="G339" i="58"/>
  <c r="G362" i="58"/>
  <c r="G333" i="58"/>
  <c r="H368" i="58"/>
  <c r="G399" i="58"/>
  <c r="F318" i="58"/>
  <c r="G332" i="58"/>
  <c r="F292" i="58"/>
  <c r="I412" i="58"/>
  <c r="I385" i="58"/>
  <c r="G357" i="58"/>
  <c r="J399" i="58"/>
  <c r="G383" i="58"/>
  <c r="J341" i="58"/>
  <c r="J367" i="58"/>
  <c r="J337" i="58"/>
  <c r="H343" i="58"/>
  <c r="G400" i="58"/>
  <c r="G412" i="58"/>
  <c r="G391" i="58"/>
  <c r="G392" i="58"/>
  <c r="H356" i="58"/>
  <c r="H395" i="58"/>
  <c r="H364" i="58"/>
  <c r="I361" i="58"/>
  <c r="J356" i="58"/>
  <c r="H358" i="58"/>
  <c r="H396" i="58"/>
  <c r="J398" i="58"/>
  <c r="G398" i="58"/>
  <c r="H380" i="58"/>
  <c r="J412" i="58"/>
  <c r="H402" i="58"/>
  <c r="H400" i="58"/>
  <c r="H403" i="58"/>
  <c r="I364" i="58"/>
  <c r="I333" i="58"/>
  <c r="I344" i="58"/>
  <c r="J395" i="58"/>
  <c r="F297" i="58"/>
  <c r="I336" i="58"/>
  <c r="I390" i="58"/>
  <c r="J381" i="58"/>
  <c r="I376" i="58"/>
  <c r="G337" i="58"/>
  <c r="G406" i="58"/>
  <c r="I355" i="58"/>
  <c r="J400" i="58"/>
  <c r="G386" i="58"/>
  <c r="H334" i="58"/>
  <c r="G361" i="58"/>
  <c r="G356" i="58"/>
  <c r="J336" i="58"/>
  <c r="J338" i="58"/>
  <c r="G338" i="58"/>
  <c r="G359" i="58"/>
  <c r="I351" i="58"/>
  <c r="G360" i="58"/>
  <c r="H352" i="58"/>
  <c r="I348" i="58"/>
  <c r="F314" i="58"/>
  <c r="H336" i="58"/>
  <c r="I359" i="58"/>
  <c r="H359" i="58"/>
  <c r="J387" i="58"/>
  <c r="H407" i="58"/>
  <c r="I363" i="58"/>
  <c r="H345" i="58"/>
  <c r="J403" i="58"/>
  <c r="J359" i="58"/>
  <c r="G348" i="58"/>
  <c r="F319" i="58"/>
  <c r="G401" i="58"/>
  <c r="G340" i="58"/>
  <c r="G394" i="58"/>
  <c r="G385" i="58"/>
  <c r="F310" i="58"/>
  <c r="G352" i="58"/>
  <c r="F302" i="58"/>
  <c r="G344" i="58"/>
  <c r="H348" i="58"/>
  <c r="J408" i="58"/>
  <c r="H347" i="58"/>
  <c r="I358" i="58"/>
  <c r="I350" i="58"/>
  <c r="J346" i="58"/>
  <c r="F323" i="58"/>
  <c r="I345" i="58"/>
  <c r="G409" i="58"/>
  <c r="J402" i="58"/>
  <c r="I338" i="58"/>
  <c r="I356" i="58"/>
  <c r="H404" i="58"/>
  <c r="G404" i="58"/>
  <c r="H227" i="51"/>
  <c r="J201" i="51"/>
  <c r="I208" i="51"/>
  <c r="E232" i="51"/>
  <c r="I227" i="51"/>
  <c r="F210" i="51"/>
  <c r="E214" i="51"/>
  <c r="G200" i="51"/>
  <c r="H226" i="51"/>
  <c r="H212" i="51"/>
  <c r="G203" i="51"/>
  <c r="F219" i="51"/>
  <c r="E217" i="51"/>
  <c r="I234" i="51"/>
  <c r="E227" i="51"/>
  <c r="G215" i="51"/>
  <c r="H234" i="51"/>
  <c r="I202" i="51"/>
  <c r="J221" i="51"/>
  <c r="J234" i="51"/>
  <c r="H225" i="51"/>
  <c r="H214" i="51"/>
  <c r="G206" i="51"/>
  <c r="F202" i="51"/>
  <c r="F231" i="51"/>
  <c r="I213" i="51"/>
  <c r="I532" i="51"/>
  <c r="I518" i="51"/>
  <c r="G209" i="51"/>
  <c r="H222" i="51"/>
  <c r="F527" i="51"/>
  <c r="H137" i="51"/>
  <c r="E224" i="51"/>
  <c r="I143" i="51"/>
  <c r="F223" i="51"/>
  <c r="E204" i="51"/>
  <c r="I206" i="51"/>
  <c r="I235" i="51"/>
  <c r="G214" i="51"/>
  <c r="G119" i="51"/>
  <c r="H224" i="51"/>
  <c r="F213" i="51"/>
  <c r="G216" i="51"/>
  <c r="E230" i="51"/>
  <c r="H534" i="51"/>
  <c r="E534" i="51"/>
  <c r="G546" i="51"/>
  <c r="I132" i="51"/>
  <c r="G235" i="51"/>
  <c r="H223" i="51"/>
  <c r="H210" i="51"/>
  <c r="F524" i="51"/>
  <c r="J205" i="51"/>
  <c r="F110" i="51"/>
  <c r="J209" i="51"/>
  <c r="H230" i="51"/>
  <c r="I128" i="51"/>
  <c r="E216" i="51"/>
  <c r="J222" i="51"/>
  <c r="J229" i="51"/>
  <c r="H235" i="51"/>
  <c r="H209" i="51"/>
  <c r="G222" i="51"/>
  <c r="I203" i="51"/>
  <c r="F133" i="51"/>
  <c r="J202" i="51"/>
  <c r="J214" i="51"/>
  <c r="G227" i="51"/>
  <c r="I229" i="51"/>
  <c r="G208" i="51"/>
  <c r="E143" i="51"/>
  <c r="F234" i="51"/>
  <c r="F117" i="51"/>
  <c r="E122" i="51"/>
  <c r="J117" i="51"/>
  <c r="H552" i="51"/>
  <c r="H532" i="51"/>
  <c r="H520" i="51"/>
  <c r="G228" i="51"/>
  <c r="J541" i="51"/>
  <c r="E542" i="51"/>
  <c r="H536" i="51"/>
  <c r="H537" i="51"/>
  <c r="I524" i="51"/>
  <c r="E525" i="51"/>
  <c r="E536" i="51"/>
  <c r="H540" i="51"/>
  <c r="G528" i="51"/>
  <c r="H521" i="51"/>
  <c r="G522" i="51"/>
  <c r="G138" i="51"/>
  <c r="I225" i="51"/>
  <c r="F555" i="51"/>
  <c r="E555" i="51"/>
  <c r="E552" i="51"/>
  <c r="G224" i="51"/>
  <c r="H136" i="51"/>
  <c r="G537" i="51"/>
  <c r="J218" i="51"/>
  <c r="I536" i="51"/>
  <c r="F529" i="51"/>
  <c r="G550" i="51"/>
  <c r="F228" i="51"/>
  <c r="J525" i="51"/>
  <c r="E540" i="51"/>
  <c r="E523" i="51"/>
  <c r="I530" i="51"/>
  <c r="E541" i="51"/>
  <c r="I538" i="51"/>
  <c r="F237" i="51"/>
  <c r="F534" i="51"/>
  <c r="F114" i="51"/>
  <c r="G213" i="51"/>
  <c r="H237" i="51"/>
  <c r="F212" i="51"/>
  <c r="E134" i="51"/>
  <c r="J208" i="51"/>
  <c r="I226" i="51"/>
  <c r="F218" i="51"/>
  <c r="G233" i="51"/>
  <c r="G211" i="51"/>
  <c r="H228" i="51"/>
  <c r="F200" i="51"/>
  <c r="E225" i="51"/>
  <c r="I211" i="51"/>
  <c r="H114" i="51"/>
  <c r="H146" i="51"/>
  <c r="H207" i="51"/>
  <c r="J228" i="51"/>
  <c r="H205" i="51"/>
  <c r="E218" i="51"/>
  <c r="E235" i="51"/>
  <c r="E219" i="51"/>
  <c r="I205" i="51"/>
  <c r="E120" i="51"/>
  <c r="J529" i="51"/>
  <c r="J225" i="51"/>
  <c r="H140" i="51"/>
  <c r="J520" i="51"/>
  <c r="G531" i="51"/>
  <c r="I237" i="51"/>
  <c r="G145" i="51"/>
  <c r="J207" i="51"/>
  <c r="G133" i="51"/>
  <c r="G114" i="51"/>
  <c r="E133" i="51"/>
  <c r="G131" i="51"/>
  <c r="H129" i="51"/>
  <c r="I127" i="51"/>
  <c r="J111" i="51"/>
  <c r="F125" i="51"/>
  <c r="H138" i="51"/>
  <c r="I116" i="51"/>
  <c r="F144" i="51"/>
  <c r="H128" i="51"/>
  <c r="G109" i="51"/>
  <c r="J146" i="51"/>
  <c r="I113" i="51"/>
  <c r="J128" i="51"/>
  <c r="E131" i="51"/>
  <c r="F232" i="51"/>
  <c r="G229" i="51"/>
  <c r="I201" i="51"/>
  <c r="F134" i="51"/>
  <c r="G128" i="51"/>
  <c r="J143" i="51"/>
  <c r="F115" i="51"/>
  <c r="J133" i="51"/>
  <c r="E112" i="51"/>
  <c r="I139" i="51"/>
  <c r="I146" i="51"/>
  <c r="J118" i="51"/>
  <c r="H115" i="51"/>
  <c r="E210" i="51"/>
  <c r="G201" i="51"/>
  <c r="J113" i="51"/>
  <c r="F116" i="51"/>
  <c r="J230" i="51"/>
  <c r="E117" i="51"/>
  <c r="I115" i="51"/>
  <c r="E113" i="51"/>
  <c r="H122" i="51"/>
  <c r="J135" i="51"/>
  <c r="G111" i="51"/>
  <c r="G127" i="51"/>
  <c r="F123" i="51"/>
  <c r="H144" i="51"/>
  <c r="I122" i="51"/>
  <c r="E129" i="51"/>
  <c r="G132" i="51"/>
  <c r="F138" i="51"/>
  <c r="H141" i="51"/>
  <c r="I142" i="51"/>
  <c r="E549" i="51"/>
  <c r="J521" i="51"/>
  <c r="I540" i="51"/>
  <c r="H526" i="51"/>
  <c r="F521" i="51"/>
  <c r="H553" i="51"/>
  <c r="J534" i="51"/>
  <c r="G545" i="51"/>
  <c r="F545" i="51"/>
  <c r="E553" i="51"/>
  <c r="I535" i="51"/>
  <c r="H547" i="51"/>
  <c r="H531" i="51"/>
  <c r="G521" i="51"/>
  <c r="F523" i="51"/>
  <c r="F541" i="51"/>
  <c r="J553" i="51"/>
  <c r="F533" i="51"/>
  <c r="I545" i="51"/>
  <c r="H544" i="51"/>
  <c r="E543" i="51"/>
  <c r="E544" i="51"/>
  <c r="J549" i="51"/>
  <c r="I519" i="51"/>
  <c r="E550" i="51"/>
  <c r="H546" i="51"/>
  <c r="H530" i="51"/>
  <c r="H548" i="51"/>
  <c r="G553" i="51"/>
  <c r="G519" i="51"/>
  <c r="G544" i="51"/>
  <c r="G549" i="51"/>
  <c r="H518" i="51"/>
  <c r="E531" i="51"/>
  <c r="F548" i="51"/>
  <c r="F532" i="51"/>
  <c r="I547" i="51"/>
  <c r="G529" i="51"/>
  <c r="I548" i="51"/>
  <c r="G548" i="51"/>
  <c r="G530" i="51"/>
  <c r="J544" i="51"/>
  <c r="F526" i="51"/>
  <c r="G540" i="51"/>
  <c r="J543" i="51"/>
  <c r="I546" i="51"/>
  <c r="G551" i="51"/>
  <c r="I544" i="51"/>
  <c r="H545" i="51"/>
  <c r="G547" i="51"/>
  <c r="G552" i="51"/>
  <c r="F542" i="51"/>
  <c r="G541" i="51"/>
  <c r="F549" i="51"/>
  <c r="H211" i="51"/>
  <c r="J237" i="51"/>
  <c r="F225" i="51"/>
  <c r="G212" i="51"/>
  <c r="G113" i="51"/>
  <c r="J132" i="51"/>
  <c r="I232" i="51"/>
  <c r="G221" i="51"/>
  <c r="F685" i="51"/>
  <c r="H665" i="51"/>
  <c r="H655" i="51"/>
  <c r="G661" i="51"/>
  <c r="E295" i="51"/>
  <c r="H300" i="51"/>
  <c r="E681" i="51"/>
  <c r="G654" i="51"/>
  <c r="I664" i="51"/>
  <c r="G660" i="51"/>
  <c r="F553" i="51"/>
  <c r="F544" i="51"/>
  <c r="F518" i="51"/>
  <c r="I523" i="51"/>
  <c r="I528" i="51"/>
  <c r="J535" i="51"/>
  <c r="J527" i="51"/>
  <c r="E538" i="51"/>
  <c r="J528" i="51"/>
  <c r="H539" i="51"/>
  <c r="J552" i="51"/>
  <c r="I527" i="51"/>
  <c r="G538" i="51"/>
  <c r="J519" i="51"/>
  <c r="I543" i="51"/>
  <c r="J555" i="51"/>
  <c r="I541" i="51"/>
  <c r="I520" i="51"/>
  <c r="I551" i="51"/>
  <c r="I526" i="51"/>
  <c r="F543" i="51"/>
  <c r="J518" i="51"/>
  <c r="H529" i="51"/>
  <c r="F540" i="51"/>
  <c r="J550" i="51"/>
  <c r="I525" i="51"/>
  <c r="G536" i="51"/>
  <c r="F691" i="51"/>
  <c r="J663" i="51"/>
  <c r="I659" i="51"/>
  <c r="G684" i="51"/>
  <c r="E520" i="51"/>
  <c r="E660" i="51"/>
  <c r="E670" i="51"/>
  <c r="J661" i="51"/>
  <c r="E662" i="51"/>
  <c r="I677" i="51"/>
  <c r="J670" i="51"/>
  <c r="F659" i="51"/>
  <c r="I681" i="51"/>
  <c r="G525" i="51"/>
  <c r="E524" i="51"/>
  <c r="E545" i="51"/>
  <c r="G539" i="51"/>
  <c r="G527" i="51"/>
  <c r="E551" i="51"/>
  <c r="I555" i="51"/>
  <c r="H554" i="51"/>
  <c r="I554" i="51"/>
  <c r="F525" i="51"/>
  <c r="I542" i="51"/>
  <c r="E532" i="51"/>
  <c r="F531" i="51"/>
  <c r="J547" i="51"/>
  <c r="G554" i="51"/>
  <c r="G533" i="51"/>
  <c r="I684" i="51"/>
  <c r="F660" i="51"/>
  <c r="I533" i="51"/>
  <c r="G520" i="51"/>
  <c r="J542" i="51"/>
  <c r="J526" i="51"/>
  <c r="I534" i="51"/>
  <c r="I539" i="51"/>
  <c r="I553" i="51"/>
  <c r="F539" i="51"/>
  <c r="J537" i="51"/>
  <c r="J531" i="51"/>
  <c r="J683" i="51"/>
  <c r="E533" i="51"/>
  <c r="H555" i="51"/>
  <c r="J536" i="51"/>
  <c r="H523" i="51"/>
  <c r="I552" i="51"/>
  <c r="G523" i="51"/>
  <c r="H524" i="51"/>
  <c r="F538" i="51"/>
  <c r="J231" i="51"/>
  <c r="F221" i="51"/>
  <c r="I135" i="51"/>
  <c r="E121" i="51"/>
  <c r="F132" i="51"/>
  <c r="F206" i="51"/>
  <c r="H220" i="51"/>
  <c r="E234" i="51"/>
  <c r="F217" i="51"/>
  <c r="F118" i="51"/>
  <c r="E142" i="51"/>
  <c r="G205" i="51"/>
  <c r="H219" i="51"/>
  <c r="G231" i="51"/>
  <c r="H213" i="51"/>
  <c r="J236" i="51"/>
  <c r="J220" i="51"/>
  <c r="E202" i="51"/>
  <c r="J223" i="51"/>
  <c r="J204" i="51"/>
  <c r="G230" i="51"/>
  <c r="I219" i="51"/>
  <c r="E209" i="51"/>
  <c r="F109" i="51"/>
  <c r="J119" i="51"/>
  <c r="H130" i="51"/>
  <c r="F141" i="51"/>
  <c r="E114" i="51"/>
  <c r="I124" i="51"/>
  <c r="E236" i="51"/>
  <c r="J219" i="51"/>
  <c r="I200" i="51"/>
  <c r="I222" i="51"/>
  <c r="J203" i="51"/>
  <c r="G232" i="51"/>
  <c r="I221" i="51"/>
  <c r="E211" i="51"/>
  <c r="H112" i="51"/>
  <c r="J125" i="51"/>
  <c r="F139" i="51"/>
  <c r="G117" i="51"/>
  <c r="G143" i="51"/>
  <c r="G124" i="51"/>
  <c r="E136" i="51"/>
  <c r="H113" i="51"/>
  <c r="H127" i="51"/>
  <c r="I224" i="51"/>
  <c r="J211" i="51"/>
  <c r="E208" i="51"/>
  <c r="I214" i="51"/>
  <c r="G217" i="51"/>
  <c r="E206" i="51"/>
  <c r="E215" i="51"/>
  <c r="H124" i="51"/>
  <c r="E127" i="51"/>
  <c r="I109" i="51"/>
  <c r="H231" i="51"/>
  <c r="I223" i="51"/>
  <c r="H145" i="51"/>
  <c r="F408" i="51"/>
  <c r="J403" i="51"/>
  <c r="J413" i="51"/>
  <c r="H411" i="51"/>
  <c r="E393" i="51"/>
  <c r="F411" i="51"/>
  <c r="I411" i="51"/>
  <c r="E419" i="51"/>
  <c r="F410" i="51"/>
  <c r="H383" i="51"/>
  <c r="E412" i="51"/>
  <c r="H409" i="51"/>
  <c r="I396" i="51"/>
  <c r="G418" i="51"/>
  <c r="G385" i="51"/>
  <c r="I393" i="51"/>
  <c r="J404" i="51"/>
  <c r="G395" i="51"/>
  <c r="G405" i="51"/>
  <c r="F388" i="51"/>
  <c r="H384" i="51"/>
  <c r="F401" i="51"/>
  <c r="J396" i="51"/>
  <c r="J405" i="51"/>
  <c r="J387" i="51"/>
  <c r="G413" i="51"/>
  <c r="E403" i="51"/>
  <c r="E395" i="51"/>
  <c r="H419" i="51"/>
  <c r="H403" i="51"/>
  <c r="F390" i="51"/>
  <c r="H402" i="51"/>
  <c r="H388" i="51"/>
  <c r="I406" i="51"/>
  <c r="I417" i="51"/>
  <c r="J399" i="51"/>
  <c r="G414" i="51"/>
  <c r="I394" i="51"/>
  <c r="E411" i="51"/>
  <c r="E397" i="51"/>
  <c r="G386" i="51"/>
  <c r="H413" i="51"/>
  <c r="J402" i="51"/>
  <c r="F392" i="51"/>
  <c r="E415" i="51"/>
  <c r="G399" i="51"/>
  <c r="G383" i="51"/>
  <c r="H400" i="51"/>
  <c r="G408" i="51"/>
  <c r="J388" i="51"/>
  <c r="E413" i="51"/>
  <c r="H398" i="51"/>
  <c r="I382" i="51"/>
  <c r="E410" i="51"/>
  <c r="G392" i="51"/>
  <c r="F414" i="51"/>
  <c r="J400" i="51"/>
  <c r="H387" i="51"/>
  <c r="E382" i="51"/>
  <c r="G403" i="51"/>
  <c r="J393" i="51"/>
  <c r="G410" i="51"/>
  <c r="J383" i="51"/>
  <c r="I403" i="51"/>
  <c r="J417" i="51"/>
  <c r="E400" i="51"/>
  <c r="H414" i="51"/>
  <c r="G394" i="51"/>
  <c r="I383" i="51"/>
  <c r="J410" i="51"/>
  <c r="F400" i="51"/>
  <c r="H389" i="51"/>
  <c r="I400" i="51"/>
  <c r="G412" i="51"/>
  <c r="E402" i="51"/>
  <c r="H390" i="51"/>
  <c r="G388" i="51"/>
  <c r="G387" i="51"/>
  <c r="H404" i="51"/>
  <c r="F418" i="51"/>
  <c r="J397" i="51"/>
  <c r="H382" i="51"/>
  <c r="G406" i="51"/>
  <c r="I398" i="51"/>
  <c r="I397" i="51"/>
  <c r="G384" i="51"/>
  <c r="J408" i="51"/>
  <c r="J392" i="51"/>
  <c r="I384" i="51"/>
  <c r="F383" i="51"/>
  <c r="F403" i="51"/>
  <c r="G417" i="51"/>
  <c r="H394" i="51"/>
  <c r="I410" i="51"/>
  <c r="G389" i="51"/>
  <c r="G407" i="51"/>
  <c r="I399" i="51"/>
  <c r="E389" i="51"/>
  <c r="F416" i="51"/>
  <c r="H405" i="51"/>
  <c r="J394" i="51"/>
  <c r="F384" i="51"/>
  <c r="E398" i="51"/>
  <c r="H410" i="51"/>
  <c r="E414" i="51"/>
  <c r="I401" i="51"/>
  <c r="E407" i="51"/>
  <c r="I408" i="51"/>
  <c r="E387" i="51"/>
  <c r="J386" i="51"/>
  <c r="I391" i="51"/>
  <c r="F407" i="51"/>
  <c r="F382" i="51"/>
  <c r="F417" i="51"/>
  <c r="F387" i="51"/>
  <c r="F413" i="51"/>
  <c r="J418" i="51"/>
  <c r="E384" i="51"/>
  <c r="F399" i="51"/>
  <c r="I416" i="51"/>
  <c r="H397" i="51"/>
  <c r="E418" i="51"/>
  <c r="F389" i="51"/>
  <c r="F398" i="51"/>
  <c r="G393" i="51"/>
  <c r="I48" i="51"/>
  <c r="I320" i="51"/>
  <c r="F297" i="51"/>
  <c r="I311" i="51"/>
  <c r="E302" i="51"/>
  <c r="G302" i="51"/>
  <c r="G317" i="51"/>
  <c r="G316" i="51"/>
  <c r="J666" i="51"/>
  <c r="G689" i="51"/>
  <c r="F654" i="51"/>
  <c r="G681" i="51"/>
  <c r="I672" i="51"/>
  <c r="J671" i="51"/>
  <c r="E659" i="51"/>
  <c r="G678" i="51"/>
  <c r="I660" i="51"/>
  <c r="E676" i="51"/>
  <c r="E673" i="51"/>
  <c r="H687" i="51"/>
  <c r="F550" i="51"/>
  <c r="E548" i="51"/>
  <c r="J109" i="51"/>
  <c r="H120" i="51"/>
  <c r="F131" i="51"/>
  <c r="J141" i="51"/>
  <c r="I114" i="51"/>
  <c r="G125" i="51"/>
  <c r="F136" i="51"/>
  <c r="E119" i="51"/>
  <c r="H139" i="51"/>
  <c r="F124" i="51"/>
  <c r="I141" i="51"/>
  <c r="F122" i="51"/>
  <c r="G19" i="51"/>
  <c r="I36" i="51"/>
  <c r="I51" i="51"/>
  <c r="E554" i="51"/>
  <c r="I685" i="51"/>
  <c r="I531" i="51"/>
  <c r="E125" i="51"/>
  <c r="J137" i="51"/>
  <c r="E145" i="51"/>
  <c r="G141" i="51"/>
  <c r="G136" i="51"/>
  <c r="E22" i="51"/>
  <c r="E35" i="51"/>
  <c r="G46" i="51"/>
  <c r="E115" i="51"/>
  <c r="H109" i="51"/>
  <c r="E39" i="51"/>
  <c r="I44" i="51"/>
  <c r="F31" i="51"/>
  <c r="H14" i="51"/>
  <c r="H41" i="51"/>
  <c r="J14" i="51"/>
  <c r="E522" i="51"/>
  <c r="E690" i="51"/>
  <c r="J554" i="51"/>
  <c r="G139" i="51"/>
  <c r="J28" i="51"/>
  <c r="H37" i="51"/>
  <c r="J48" i="51"/>
  <c r="J36" i="51"/>
  <c r="G26" i="51"/>
  <c r="E16" i="51"/>
  <c r="I33" i="51"/>
  <c r="H17" i="51"/>
  <c r="J30" i="51"/>
  <c r="J46" i="51"/>
  <c r="G22" i="51"/>
  <c r="J19" i="51"/>
  <c r="G45" i="51"/>
  <c r="J37" i="51"/>
  <c r="G29" i="51"/>
  <c r="J51" i="51"/>
  <c r="I20" i="51"/>
  <c r="H42" i="51"/>
  <c r="J31" i="51"/>
  <c r="J49" i="51"/>
  <c r="I14" i="51"/>
  <c r="H38" i="51"/>
  <c r="H32" i="51"/>
  <c r="I32" i="51"/>
  <c r="H50" i="51"/>
  <c r="G51" i="51"/>
  <c r="H20" i="51"/>
  <c r="G17" i="51"/>
  <c r="J43" i="51"/>
  <c r="J45" i="51"/>
  <c r="I24" i="51"/>
  <c r="I41" i="51"/>
  <c r="H47" i="51"/>
  <c r="J16" i="51"/>
  <c r="I21" i="51"/>
  <c r="I25" i="51"/>
  <c r="H22" i="51"/>
  <c r="J35" i="51"/>
  <c r="J47" i="51"/>
  <c r="F20" i="51"/>
  <c r="F36" i="51"/>
  <c r="H49" i="51"/>
  <c r="E25" i="51"/>
  <c r="H30" i="51"/>
  <c r="E49" i="51"/>
  <c r="E44" i="51"/>
  <c r="I37" i="51"/>
  <c r="H28" i="51"/>
  <c r="E26" i="51"/>
  <c r="I49" i="51"/>
  <c r="I35" i="51"/>
  <c r="H24" i="51"/>
  <c r="E20" i="51"/>
  <c r="E42" i="51"/>
  <c r="G49" i="51"/>
  <c r="G36" i="51"/>
  <c r="E41" i="51"/>
  <c r="J29" i="51"/>
  <c r="E28" i="51"/>
  <c r="G47" i="51"/>
  <c r="E14" i="51"/>
  <c r="E30" i="51"/>
  <c r="F45" i="51"/>
  <c r="G28" i="51"/>
  <c r="H27" i="51"/>
  <c r="G32" i="51"/>
  <c r="F32" i="51"/>
  <c r="I43" i="51"/>
  <c r="E50" i="51"/>
  <c r="F33" i="51"/>
  <c r="H44" i="51"/>
  <c r="I16" i="51"/>
  <c r="G25" i="51"/>
  <c r="I42" i="51"/>
  <c r="G35" i="51"/>
  <c r="F41" i="51"/>
  <c r="H16" i="51"/>
  <c r="G30" i="51"/>
  <c r="J38" i="51"/>
  <c r="J33" i="51"/>
  <c r="I668" i="51"/>
  <c r="I306" i="51"/>
  <c r="G325" i="51"/>
  <c r="H307" i="51"/>
  <c r="E678" i="51"/>
  <c r="I689" i="51"/>
  <c r="E684" i="51"/>
  <c r="I658" i="51"/>
  <c r="J654" i="51"/>
  <c r="F676" i="51"/>
  <c r="E665" i="51"/>
  <c r="F655" i="51"/>
  <c r="E668" i="51"/>
  <c r="F666" i="51"/>
  <c r="E671" i="51"/>
  <c r="E38" i="51"/>
  <c r="E37" i="51"/>
  <c r="H48" i="51"/>
  <c r="F670" i="51"/>
  <c r="E47" i="51"/>
  <c r="F15" i="51"/>
  <c r="I39" i="51"/>
  <c r="H26" i="51"/>
  <c r="G15" i="51"/>
  <c r="E24" i="51"/>
  <c r="G38" i="51"/>
  <c r="I19" i="51"/>
  <c r="F28" i="51"/>
  <c r="E666" i="51"/>
  <c r="J682" i="51"/>
  <c r="F126" i="51"/>
  <c r="E128" i="51"/>
  <c r="G123" i="51"/>
  <c r="H118" i="51"/>
  <c r="G118" i="51"/>
  <c r="H135" i="51"/>
  <c r="J114" i="51"/>
  <c r="J136" i="51"/>
  <c r="I125" i="51"/>
  <c r="E140" i="51"/>
  <c r="J126" i="51"/>
  <c r="J144" i="51"/>
  <c r="J130" i="51"/>
  <c r="E124" i="51"/>
  <c r="I110" i="51"/>
  <c r="F135" i="51"/>
  <c r="F119" i="51"/>
  <c r="G110" i="51"/>
  <c r="I111" i="51"/>
  <c r="F142" i="51"/>
  <c r="I112" i="51"/>
  <c r="J112" i="51"/>
  <c r="E139" i="51"/>
  <c r="F120" i="51"/>
  <c r="E144" i="51"/>
  <c r="E130" i="51"/>
  <c r="J124" i="51"/>
  <c r="I144" i="51"/>
  <c r="I130" i="51"/>
  <c r="E111" i="51"/>
  <c r="E138" i="51"/>
  <c r="G121" i="51"/>
  <c r="J145" i="51"/>
  <c r="J129" i="51"/>
  <c r="H116" i="51"/>
  <c r="I123" i="51"/>
  <c r="G130" i="51"/>
  <c r="I133" i="51"/>
  <c r="E123" i="51"/>
  <c r="J139" i="51"/>
  <c r="F51" i="51"/>
  <c r="F38" i="51"/>
  <c r="G676" i="51"/>
  <c r="J691" i="51"/>
  <c r="E688" i="51"/>
  <c r="H681" i="51"/>
  <c r="I688" i="51"/>
  <c r="J679" i="51"/>
  <c r="G690" i="51"/>
  <c r="F687" i="51"/>
  <c r="J676" i="51"/>
  <c r="H34" i="51"/>
  <c r="E51" i="51"/>
  <c r="G42" i="51"/>
  <c r="F520" i="51"/>
  <c r="F528" i="51"/>
  <c r="E527" i="51"/>
  <c r="G542" i="51"/>
  <c r="H542" i="51"/>
  <c r="F546" i="51"/>
  <c r="E537" i="51"/>
  <c r="J545" i="51"/>
  <c r="E547" i="51"/>
  <c r="G518" i="51"/>
  <c r="H533" i="51"/>
  <c r="I537" i="51"/>
  <c r="J523" i="51"/>
  <c r="H528" i="51"/>
  <c r="J524" i="51"/>
  <c r="H551" i="51"/>
  <c r="E518" i="51"/>
  <c r="G555" i="51"/>
  <c r="G543" i="51"/>
  <c r="H683" i="51"/>
  <c r="F530" i="51"/>
  <c r="J142" i="51"/>
  <c r="F127" i="51"/>
  <c r="I118" i="51"/>
  <c r="I121" i="51"/>
  <c r="J110" i="51"/>
  <c r="J39" i="51"/>
  <c r="F49" i="51"/>
  <c r="G33" i="51"/>
  <c r="H133" i="51"/>
  <c r="I129" i="51"/>
  <c r="H123" i="51"/>
  <c r="I38" i="51"/>
  <c r="I18" i="51"/>
  <c r="I34" i="51"/>
  <c r="G14" i="51"/>
  <c r="H25" i="51"/>
  <c r="H668" i="51"/>
  <c r="I663" i="51"/>
  <c r="I119" i="51"/>
  <c r="F129" i="51"/>
  <c r="F27" i="51"/>
  <c r="H21" i="51"/>
  <c r="I236" i="51"/>
  <c r="J213" i="51"/>
  <c r="E213" i="51"/>
  <c r="F227" i="51"/>
  <c r="I218" i="51"/>
  <c r="I228" i="51"/>
  <c r="F205" i="51"/>
  <c r="J226" i="51"/>
  <c r="F203" i="51"/>
  <c r="F220" i="51"/>
  <c r="G236" i="51"/>
  <c r="E223" i="51"/>
  <c r="E207" i="51"/>
  <c r="H233" i="51"/>
  <c r="E200" i="51"/>
  <c r="I220" i="51"/>
  <c r="J233" i="51"/>
  <c r="G202" i="51"/>
  <c r="H204" i="51"/>
  <c r="F222" i="51"/>
  <c r="F224" i="51"/>
  <c r="I204" i="51"/>
  <c r="E222" i="51"/>
  <c r="H236" i="51"/>
  <c r="J210" i="51"/>
  <c r="I233" i="51"/>
  <c r="I217" i="51"/>
  <c r="G204" i="51"/>
  <c r="H216" i="51"/>
  <c r="I210" i="51"/>
  <c r="H201" i="51"/>
  <c r="I216" i="51"/>
  <c r="G234" i="51"/>
  <c r="G304" i="51"/>
  <c r="I312" i="51"/>
  <c r="H309" i="51"/>
  <c r="I318" i="51"/>
  <c r="J300" i="51"/>
  <c r="G295" i="51"/>
  <c r="G301" i="51"/>
  <c r="F292" i="51"/>
  <c r="E323" i="51"/>
  <c r="I301" i="51"/>
  <c r="G314" i="51"/>
  <c r="E305" i="51"/>
  <c r="F314" i="51"/>
  <c r="G296" i="51"/>
  <c r="G327" i="51"/>
  <c r="G300" i="51"/>
  <c r="F328" i="51"/>
  <c r="J318" i="51"/>
  <c r="E307" i="51"/>
  <c r="F324" i="51"/>
  <c r="H310" i="51"/>
  <c r="G309" i="51"/>
  <c r="J317" i="51"/>
  <c r="F293" i="51"/>
  <c r="J308" i="51"/>
  <c r="I302" i="51"/>
  <c r="H324" i="51"/>
  <c r="F317" i="51"/>
  <c r="J291" i="51"/>
  <c r="J294" i="51"/>
  <c r="I325" i="51"/>
  <c r="G294" i="51"/>
  <c r="F295" i="51"/>
  <c r="G299" i="51"/>
  <c r="G292" i="51"/>
  <c r="J310" i="51"/>
  <c r="F296" i="51"/>
  <c r="F312" i="51"/>
  <c r="G321" i="51"/>
  <c r="I303" i="51"/>
  <c r="I313" i="51"/>
  <c r="J304" i="51"/>
  <c r="G655" i="51"/>
  <c r="E669" i="51"/>
  <c r="G658" i="51"/>
  <c r="H685" i="51"/>
  <c r="J674" i="51"/>
  <c r="F664" i="51"/>
  <c r="J655" i="51"/>
  <c r="I675" i="51"/>
  <c r="J689" i="51"/>
  <c r="E672" i="51"/>
  <c r="H686" i="51"/>
  <c r="G666" i="51"/>
  <c r="J690" i="51"/>
  <c r="H677" i="51"/>
  <c r="H661" i="51"/>
  <c r="H666" i="51"/>
  <c r="G686" i="51"/>
  <c r="J675" i="51"/>
  <c r="F671" i="51"/>
  <c r="J685" i="51"/>
  <c r="H682" i="51"/>
  <c r="G672" i="51"/>
  <c r="I661" i="51"/>
  <c r="J688" i="51"/>
  <c r="F678" i="51"/>
  <c r="H667" i="51"/>
  <c r="J656" i="51"/>
  <c r="H670" i="51"/>
  <c r="G685" i="51"/>
  <c r="G665" i="51"/>
  <c r="E682" i="51"/>
  <c r="G674" i="51"/>
  <c r="H688" i="51"/>
  <c r="E686" i="51"/>
  <c r="J687" i="51"/>
  <c r="E661" i="51"/>
  <c r="F680" i="51"/>
  <c r="J658" i="51"/>
  <c r="F679" i="51"/>
  <c r="I666" i="51"/>
  <c r="F675" i="51"/>
  <c r="J657" i="51"/>
  <c r="H674" i="51"/>
  <c r="G664" i="51"/>
  <c r="F686" i="51"/>
  <c r="J672" i="51"/>
  <c r="H659" i="51"/>
  <c r="I674" i="51"/>
  <c r="I654" i="51"/>
  <c r="H678" i="51"/>
  <c r="J677" i="51"/>
  <c r="H660" i="51"/>
  <c r="H664" i="51"/>
  <c r="G668" i="51"/>
  <c r="I657" i="51"/>
  <c r="J684" i="51"/>
  <c r="F674" i="51"/>
  <c r="H663" i="51"/>
  <c r="F657" i="51"/>
  <c r="H676" i="51"/>
  <c r="I690" i="51"/>
  <c r="F673" i="51"/>
  <c r="G687" i="51"/>
  <c r="I679" i="51"/>
  <c r="J665" i="51"/>
  <c r="E654" i="51"/>
  <c r="G662" i="51"/>
  <c r="H689" i="51"/>
  <c r="J678" i="51"/>
  <c r="F668" i="51"/>
  <c r="H657" i="51"/>
  <c r="F669" i="51"/>
  <c r="H684" i="51"/>
  <c r="E664" i="51"/>
  <c r="F681" i="51"/>
  <c r="G673" i="51"/>
  <c r="I687" i="51"/>
  <c r="H690" i="51"/>
  <c r="G675" i="51"/>
  <c r="E658" i="51"/>
  <c r="I671" i="51"/>
  <c r="F688" i="51"/>
  <c r="H669" i="51"/>
  <c r="F661" i="51"/>
  <c r="E656" i="51"/>
  <c r="E683" i="51"/>
  <c r="G682" i="51"/>
  <c r="G683" i="51"/>
  <c r="I656" i="51"/>
  <c r="I669" i="51"/>
  <c r="G656" i="51"/>
  <c r="J680" i="51"/>
  <c r="J664" i="51"/>
  <c r="J659" i="51"/>
  <c r="J681" i="51"/>
  <c r="I670" i="51"/>
  <c r="F689" i="51"/>
  <c r="E685" i="51"/>
  <c r="E687" i="51"/>
  <c r="G659" i="51"/>
  <c r="E663" i="51"/>
  <c r="F690" i="51"/>
  <c r="H679" i="51"/>
  <c r="J668" i="51"/>
  <c r="F658" i="51"/>
  <c r="J667" i="51"/>
  <c r="I683" i="51"/>
  <c r="I662" i="51"/>
  <c r="G680" i="51"/>
  <c r="H672" i="51"/>
  <c r="I686" i="51"/>
  <c r="E679" i="51"/>
  <c r="I673" i="51"/>
  <c r="F667" i="51"/>
  <c r="I667" i="51"/>
  <c r="E657" i="51"/>
  <c r="F684" i="51"/>
  <c r="H673" i="51"/>
  <c r="J662" i="51"/>
  <c r="H658" i="51"/>
  <c r="G677" i="51"/>
  <c r="I691" i="51"/>
  <c r="E674" i="51"/>
  <c r="G688" i="51"/>
  <c r="H680" i="51"/>
  <c r="F663" i="51"/>
  <c r="H654" i="51"/>
  <c r="H656" i="51"/>
  <c r="F683" i="51"/>
  <c r="I676" i="51"/>
  <c r="E680" i="51"/>
  <c r="J660" i="51"/>
  <c r="F682" i="51"/>
  <c r="I665" i="51"/>
  <c r="E297" i="51"/>
  <c r="H326" i="51"/>
  <c r="F305" i="51"/>
  <c r="H312" i="51"/>
  <c r="J328" i="51"/>
  <c r="F301" i="51"/>
  <c r="G320" i="51"/>
  <c r="E312" i="51"/>
  <c r="J669" i="51"/>
  <c r="E689" i="51"/>
  <c r="F662" i="51"/>
  <c r="H691" i="51"/>
  <c r="G667" i="51"/>
  <c r="I678" i="51"/>
  <c r="I682" i="51"/>
  <c r="F672" i="51"/>
  <c r="I292" i="51"/>
  <c r="F309" i="51"/>
  <c r="J319" i="51"/>
  <c r="J303" i="51"/>
  <c r="H314" i="51"/>
  <c r="F325" i="51"/>
  <c r="H322" i="51"/>
  <c r="J311" i="51"/>
  <c r="H325" i="51"/>
  <c r="J305" i="51"/>
  <c r="H316" i="51"/>
  <c r="F327" i="51"/>
  <c r="I310" i="51"/>
  <c r="I315" i="51"/>
  <c r="E299" i="51"/>
  <c r="G293" i="51"/>
  <c r="J316" i="51"/>
  <c r="F300" i="51"/>
  <c r="I307" i="51"/>
  <c r="J295" i="51"/>
  <c r="E308" i="51"/>
  <c r="I321" i="51"/>
  <c r="J327" i="51"/>
  <c r="J313" i="51"/>
  <c r="G319" i="51"/>
  <c r="H295" i="51"/>
  <c r="E324" i="51"/>
  <c r="E304" i="51"/>
  <c r="F304" i="51"/>
  <c r="F303" i="51"/>
  <c r="I314" i="51"/>
  <c r="H304" i="51"/>
  <c r="F315" i="51"/>
  <c r="J325" i="51"/>
  <c r="E298" i="51"/>
  <c r="H311" i="51"/>
  <c r="J307" i="51"/>
  <c r="H318" i="51"/>
  <c r="E309" i="51"/>
  <c r="I324" i="51"/>
  <c r="I309" i="51"/>
  <c r="E328" i="51"/>
  <c r="G315" i="51"/>
  <c r="I323" i="51"/>
  <c r="G308" i="51"/>
  <c r="J292" i="51"/>
  <c r="J324" i="51"/>
  <c r="E310" i="51"/>
  <c r="E294" i="51"/>
  <c r="J301" i="51"/>
  <c r="F291" i="51"/>
  <c r="H321" i="51"/>
  <c r="E327" i="51"/>
  <c r="E322" i="51"/>
  <c r="F306" i="51"/>
  <c r="E291" i="51"/>
  <c r="I326" i="51"/>
  <c r="G312" i="51"/>
  <c r="I295" i="51"/>
  <c r="G303" i="51"/>
  <c r="H292" i="51"/>
  <c r="E325" i="51"/>
  <c r="E317" i="51"/>
  <c r="I322" i="51"/>
  <c r="H299" i="51"/>
  <c r="F322" i="51"/>
  <c r="G306" i="51"/>
  <c r="G291" i="51"/>
  <c r="J299" i="51"/>
  <c r="E303" i="51"/>
  <c r="F318" i="51"/>
  <c r="J320" i="51"/>
  <c r="I305" i="51"/>
  <c r="F302" i="51"/>
  <c r="I299" i="51"/>
  <c r="H306" i="51"/>
  <c r="H308" i="51"/>
  <c r="J321" i="51"/>
  <c r="G326" i="51"/>
  <c r="G307" i="51"/>
  <c r="J296" i="51"/>
  <c r="G313" i="51"/>
  <c r="E293" i="51"/>
  <c r="H298" i="51"/>
  <c r="F316" i="51"/>
  <c r="J309" i="51"/>
  <c r="H320" i="51"/>
  <c r="G324" i="51"/>
  <c r="E319" i="51"/>
  <c r="F313" i="51"/>
  <c r="J323" i="51"/>
  <c r="H317" i="51"/>
  <c r="I300" i="51"/>
  <c r="H313" i="51"/>
  <c r="H315" i="51"/>
  <c r="I316" i="51"/>
  <c r="E300" i="51"/>
  <c r="F294" i="51"/>
  <c r="I317" i="51"/>
  <c r="E301" i="51"/>
  <c r="I308" i="51"/>
  <c r="H296" i="51"/>
  <c r="H305" i="51"/>
  <c r="J312" i="51"/>
  <c r="J314" i="51"/>
  <c r="F298" i="51"/>
  <c r="E296" i="51"/>
  <c r="H319" i="51"/>
  <c r="J302" i="51"/>
  <c r="G310" i="51"/>
  <c r="J297" i="51"/>
  <c r="F310" i="51"/>
  <c r="H323" i="51"/>
  <c r="H303" i="51"/>
  <c r="G322" i="51"/>
  <c r="E326" i="51"/>
  <c r="G297" i="51"/>
  <c r="H291" i="51"/>
  <c r="E315" i="51"/>
  <c r="G298" i="51"/>
  <c r="E306" i="51"/>
  <c r="H294" i="51"/>
  <c r="I319" i="51"/>
  <c r="H293" i="51"/>
  <c r="H301" i="51"/>
  <c r="F326" i="51"/>
  <c r="G318" i="51"/>
  <c r="E320" i="51"/>
  <c r="J293" i="51"/>
  <c r="H297" i="51"/>
  <c r="G328" i="51"/>
  <c r="E313" i="51"/>
  <c r="E314" i="51"/>
  <c r="F308" i="51"/>
  <c r="F321" i="51"/>
  <c r="I304" i="51"/>
  <c r="H328" i="51"/>
  <c r="F307" i="51"/>
  <c r="G323" i="51"/>
  <c r="G311" i="51"/>
  <c r="H327" i="51"/>
  <c r="J322" i="51"/>
  <c r="F311" i="51"/>
  <c r="I291" i="51"/>
  <c r="J326" i="51"/>
  <c r="H302" i="51"/>
  <c r="E311" i="51"/>
  <c r="I293" i="51"/>
  <c r="I298" i="51"/>
  <c r="E318" i="51"/>
  <c r="J306" i="51"/>
  <c r="E316" i="51"/>
  <c r="I294" i="51"/>
  <c r="I328" i="51"/>
  <c r="F299" i="51"/>
  <c r="G305" i="51"/>
  <c r="I297" i="51"/>
  <c r="F320" i="51"/>
  <c r="I680" i="51"/>
  <c r="G691" i="51"/>
  <c r="E677" i="51"/>
  <c r="G669" i="51"/>
  <c r="J673" i="51"/>
  <c r="J686" i="51"/>
  <c r="G670" i="51"/>
  <c r="G663" i="51"/>
  <c r="I327" i="51"/>
  <c r="E321" i="51"/>
  <c r="E691" i="51"/>
  <c r="G657" i="51"/>
  <c r="H662" i="51"/>
  <c r="H671" i="51"/>
  <c r="E655" i="51"/>
  <c r="J315" i="51"/>
  <c r="F677" i="51"/>
  <c r="F323" i="51"/>
  <c r="J298" i="51"/>
  <c r="I296" i="51"/>
  <c r="E292" i="51"/>
  <c r="G671" i="51"/>
  <c r="E675" i="51"/>
  <c r="F665" i="51"/>
  <c r="H675" i="51"/>
  <c r="E667" i="51"/>
  <c r="G679" i="51"/>
  <c r="F656" i="51"/>
  <c r="I655" i="51"/>
  <c r="J415" i="51"/>
  <c r="G401" i="51"/>
  <c r="I415" i="51"/>
  <c r="J391" i="51"/>
  <c r="E409" i="51"/>
  <c r="I386" i="51"/>
  <c r="I405" i="51"/>
  <c r="J419" i="51"/>
  <c r="G390" i="51"/>
  <c r="H417" i="51"/>
  <c r="J406" i="51"/>
  <c r="F396" i="51"/>
  <c r="H385" i="51"/>
  <c r="J407" i="51"/>
  <c r="F391" i="51"/>
  <c r="H408" i="51"/>
  <c r="G419" i="51"/>
  <c r="J401" i="51"/>
  <c r="E416" i="51"/>
  <c r="G397" i="51"/>
  <c r="I412" i="51"/>
  <c r="I395" i="51"/>
  <c r="E385" i="51"/>
  <c r="F412" i="51"/>
  <c r="H401" i="51"/>
  <c r="J390" i="51"/>
  <c r="E406" i="51"/>
  <c r="E394" i="51"/>
  <c r="J385" i="51"/>
  <c r="F419" i="51"/>
  <c r="H412" i="51"/>
  <c r="F409" i="51"/>
  <c r="I387" i="51"/>
  <c r="F404" i="51"/>
  <c r="J382" i="51"/>
  <c r="E405" i="51"/>
  <c r="F397" i="51"/>
  <c r="E392" i="51"/>
  <c r="G398" i="51"/>
  <c r="J414" i="51"/>
  <c r="H393" i="51"/>
  <c r="E390" i="51"/>
  <c r="F405" i="51"/>
  <c r="E386" i="51"/>
  <c r="J389" i="51"/>
  <c r="I407" i="51"/>
  <c r="H418" i="51"/>
  <c r="E401" i="51"/>
  <c r="F415" i="51"/>
  <c r="E396" i="51"/>
  <c r="J411" i="51"/>
  <c r="G396" i="51"/>
  <c r="I385" i="51"/>
  <c r="J412" i="51"/>
  <c r="F402" i="51"/>
  <c r="H391" i="51"/>
  <c r="I392" i="51"/>
  <c r="G391" i="51"/>
  <c r="G404" i="51"/>
  <c r="J384" i="51"/>
  <c r="H395" i="51"/>
  <c r="F406" i="51"/>
  <c r="J416" i="51"/>
  <c r="I389" i="51"/>
  <c r="G400" i="51"/>
  <c r="H406" i="51"/>
  <c r="E388" i="51"/>
  <c r="J409" i="51"/>
  <c r="F393" i="51"/>
  <c r="H416" i="51"/>
  <c r="G402" i="51"/>
  <c r="J539" i="51"/>
  <c r="G535" i="51"/>
  <c r="G526" i="51"/>
  <c r="J548" i="51"/>
  <c r="H535" i="51"/>
  <c r="H519" i="51"/>
  <c r="I409" i="51"/>
  <c r="F394" i="51"/>
  <c r="H407" i="51"/>
  <c r="E383" i="51"/>
  <c r="E399" i="51"/>
  <c r="I404" i="51"/>
  <c r="I418" i="51"/>
  <c r="J395" i="51"/>
  <c r="I414" i="51"/>
  <c r="F395" i="51"/>
  <c r="E539" i="51"/>
  <c r="F537" i="51"/>
  <c r="I388" i="51"/>
  <c r="G524" i="51"/>
  <c r="H541" i="51"/>
  <c r="G382" i="51"/>
  <c r="I419" i="51"/>
  <c r="H396" i="51"/>
  <c r="I413" i="51"/>
  <c r="E417" i="51"/>
  <c r="G409" i="51"/>
  <c r="H392" i="51"/>
  <c r="F519" i="51"/>
  <c r="H538" i="51"/>
  <c r="H525" i="51"/>
  <c r="F536" i="51"/>
  <c r="J546" i="51"/>
  <c r="I521" i="51"/>
  <c r="G532" i="51"/>
  <c r="E526" i="51"/>
  <c r="J522" i="51"/>
  <c r="J538" i="51"/>
  <c r="F552" i="51"/>
  <c r="I529" i="51"/>
  <c r="E530" i="51"/>
  <c r="J551" i="51"/>
  <c r="I549" i="51"/>
  <c r="J533" i="51"/>
  <c r="F522" i="51"/>
  <c r="J532" i="51"/>
  <c r="H543" i="51"/>
  <c r="F554" i="51"/>
  <c r="E529" i="51"/>
  <c r="E528" i="51"/>
  <c r="I550" i="51"/>
  <c r="H550" i="51"/>
  <c r="F535" i="51"/>
  <c r="G534" i="51"/>
  <c r="E521" i="51"/>
  <c r="J540" i="51"/>
  <c r="H527" i="51"/>
  <c r="G411" i="51"/>
  <c r="F386" i="51"/>
  <c r="H399" i="51"/>
  <c r="H415" i="51"/>
  <c r="E391" i="51"/>
  <c r="G415" i="51"/>
  <c r="I390" i="51"/>
  <c r="E408" i="51"/>
  <c r="F385" i="51"/>
  <c r="E404" i="51"/>
  <c r="I522" i="51"/>
  <c r="E546" i="51"/>
  <c r="F547" i="51"/>
  <c r="E519" i="51"/>
  <c r="E535" i="51"/>
  <c r="H549" i="51"/>
  <c r="J530" i="51"/>
  <c r="J398" i="51"/>
  <c r="G416" i="51"/>
  <c r="H386" i="51"/>
  <c r="F551" i="51"/>
  <c r="G146" i="51"/>
  <c r="I134" i="51"/>
  <c r="F14" i="51"/>
  <c r="H15" i="51"/>
  <c r="F34" i="51"/>
  <c r="E15" i="51"/>
  <c r="F21" i="51"/>
  <c r="J26" i="51"/>
  <c r="H45" i="51"/>
  <c r="H19" i="51"/>
  <c r="F30" i="51"/>
  <c r="J40" i="51"/>
  <c r="H51" i="51"/>
  <c r="G24" i="51"/>
  <c r="H18" i="51"/>
  <c r="G37" i="51"/>
  <c r="F18" i="51"/>
  <c r="F42" i="51"/>
  <c r="E31" i="51"/>
  <c r="F40" i="51"/>
  <c r="I15" i="51"/>
  <c r="E29" i="51"/>
  <c r="J27" i="51"/>
  <c r="F47" i="51"/>
  <c r="G34" i="51"/>
  <c r="G21" i="51"/>
  <c r="G39" i="51"/>
  <c r="J21" i="51"/>
  <c r="E18" i="51"/>
  <c r="F37" i="51"/>
  <c r="F26" i="51"/>
  <c r="J44" i="51"/>
  <c r="E23" i="51"/>
  <c r="J18" i="51"/>
  <c r="J34" i="51"/>
  <c r="E40" i="51"/>
  <c r="J24" i="51"/>
  <c r="H35" i="51"/>
  <c r="F46" i="51"/>
  <c r="E19" i="51"/>
  <c r="I29" i="51"/>
  <c r="F29" i="51"/>
  <c r="H31" i="51"/>
  <c r="G20" i="51"/>
  <c r="F24" i="51"/>
  <c r="F48" i="51"/>
  <c r="I23" i="51"/>
  <c r="F17" i="51"/>
  <c r="H36" i="51"/>
  <c r="F19" i="51"/>
  <c r="I46" i="51"/>
  <c r="E32" i="51"/>
  <c r="H46" i="51"/>
  <c r="F43" i="51"/>
  <c r="I28" i="51"/>
  <c r="G44" i="51"/>
  <c r="J25" i="51"/>
  <c r="G40" i="51"/>
  <c r="I22" i="51"/>
  <c r="E36" i="51"/>
  <c r="E48" i="51"/>
  <c r="F208" i="51"/>
  <c r="F140" i="51"/>
  <c r="G122" i="51"/>
  <c r="J200" i="51"/>
  <c r="F215" i="51"/>
  <c r="J235" i="51"/>
  <c r="G219" i="51"/>
  <c r="H200" i="51"/>
  <c r="I230" i="51"/>
  <c r="I212" i="51"/>
  <c r="J232" i="51"/>
  <c r="H215" i="51"/>
  <c r="E231" i="51"/>
  <c r="G220" i="51"/>
  <c r="I209" i="51"/>
  <c r="F111" i="51"/>
  <c r="J121" i="51"/>
  <c r="H132" i="51"/>
  <c r="F143" i="51"/>
  <c r="E116" i="51"/>
  <c r="I126" i="51"/>
  <c r="G134" i="51"/>
  <c r="G116" i="51"/>
  <c r="I137" i="51"/>
  <c r="H121" i="51"/>
  <c r="H143" i="51"/>
  <c r="G129" i="51"/>
  <c r="G43" i="51"/>
  <c r="G27" i="51"/>
  <c r="H40" i="51"/>
  <c r="I45" i="51"/>
  <c r="I30" i="51"/>
  <c r="E45" i="51"/>
  <c r="J17" i="51"/>
  <c r="F39" i="51"/>
  <c r="E137" i="51"/>
  <c r="G120" i="51"/>
  <c r="G140" i="51"/>
  <c r="H125" i="51"/>
  <c r="F146" i="51"/>
  <c r="E132" i="51"/>
  <c r="E46" i="51"/>
  <c r="G31" i="51"/>
  <c r="I47" i="51"/>
  <c r="G48" i="51"/>
  <c r="E34" i="51"/>
  <c r="G50" i="51"/>
  <c r="F23" i="51"/>
  <c r="J41" i="51"/>
  <c r="F25" i="51"/>
  <c r="I27" i="51"/>
  <c r="E17" i="51"/>
  <c r="F44" i="51"/>
  <c r="H33" i="51"/>
  <c r="J22" i="51"/>
  <c r="J212" i="51"/>
  <c r="I136" i="51"/>
  <c r="J134" i="51"/>
  <c r="F207" i="51"/>
  <c r="J224" i="51"/>
  <c r="F211" i="51"/>
  <c r="G223" i="51"/>
  <c r="F226" i="51"/>
  <c r="E229" i="51"/>
  <c r="J123" i="51"/>
  <c r="F145" i="51"/>
  <c r="E146" i="51"/>
  <c r="G112" i="51"/>
  <c r="H117" i="51"/>
  <c r="G23" i="51"/>
  <c r="E43" i="51"/>
  <c r="G41" i="51"/>
  <c r="E33" i="51"/>
  <c r="E21" i="51"/>
  <c r="J15" i="51"/>
  <c r="H23" i="51"/>
  <c r="J23" i="51"/>
  <c r="G16" i="51"/>
  <c r="J32" i="51"/>
  <c r="G18" i="51"/>
  <c r="F16" i="51"/>
  <c r="H39" i="51"/>
  <c r="H119" i="51"/>
  <c r="J120" i="51"/>
  <c r="G137" i="51"/>
  <c r="F112" i="51"/>
  <c r="H131" i="51"/>
  <c r="I145" i="51"/>
  <c r="F128" i="51"/>
  <c r="G142" i="51"/>
  <c r="I120" i="51"/>
  <c r="E110" i="51"/>
  <c r="F137" i="51"/>
  <c r="H126" i="51"/>
  <c r="J115" i="51"/>
  <c r="F130" i="51"/>
  <c r="G144" i="51"/>
  <c r="J122" i="51"/>
  <c r="I138" i="51"/>
  <c r="I117" i="51"/>
  <c r="G135" i="51"/>
  <c r="E126" i="51"/>
  <c r="G115" i="51"/>
  <c r="H142" i="51"/>
  <c r="J131" i="51"/>
  <c r="F121" i="51"/>
  <c r="H110" i="51"/>
  <c r="J116" i="51"/>
  <c r="G126" i="51"/>
  <c r="E109" i="51"/>
  <c r="E141" i="51"/>
  <c r="J206" i="51"/>
  <c r="E205" i="51"/>
  <c r="I215" i="51"/>
  <c r="G226" i="51"/>
  <c r="E237" i="51"/>
  <c r="H202" i="51"/>
  <c r="H221" i="51"/>
  <c r="G237" i="51"/>
  <c r="H218" i="51"/>
  <c r="F235" i="51"/>
  <c r="H206" i="51"/>
  <c r="G225" i="51"/>
  <c r="G210" i="51"/>
  <c r="E221" i="51"/>
  <c r="I231" i="51"/>
  <c r="E212" i="51"/>
  <c r="F230" i="51"/>
  <c r="F209" i="51"/>
  <c r="E228" i="51"/>
  <c r="J215" i="51"/>
  <c r="F233" i="51"/>
  <c r="J217" i="51"/>
  <c r="H203" i="51"/>
  <c r="F214" i="51"/>
  <c r="H229" i="51"/>
  <c r="F201" i="51"/>
  <c r="F204" i="51"/>
  <c r="G207" i="51"/>
  <c r="G218" i="51"/>
  <c r="F113" i="51"/>
  <c r="H134" i="51"/>
  <c r="E118" i="51"/>
  <c r="I131" i="51"/>
  <c r="E135" i="51"/>
  <c r="J140" i="51"/>
  <c r="I40" i="51"/>
  <c r="F35" i="51"/>
  <c r="I26" i="51"/>
  <c r="I50" i="51"/>
  <c r="I31" i="51"/>
  <c r="J42" i="51"/>
  <c r="F50" i="51"/>
  <c r="E27" i="51"/>
  <c r="H43" i="51"/>
  <c r="F22" i="51"/>
  <c r="H29" i="51"/>
  <c r="I17" i="51"/>
  <c r="J20" i="51"/>
  <c r="E686" i="58"/>
  <c r="E680" i="58"/>
  <c r="H125" i="66"/>
  <c r="E125" i="66"/>
  <c r="F124" i="66"/>
  <c r="G124" i="66" s="1"/>
  <c r="F123" i="66"/>
  <c r="F122" i="66"/>
  <c r="G122" i="66" s="1"/>
  <c r="M382" i="58" l="1"/>
  <c r="N343" i="58"/>
  <c r="N345" i="58"/>
  <c r="N368" i="58"/>
  <c r="O384" i="58"/>
  <c r="N337" i="58"/>
  <c r="M406" i="58"/>
  <c r="M380" i="58"/>
  <c r="M345" i="58"/>
  <c r="M334" i="58"/>
  <c r="M339" i="58"/>
  <c r="M364" i="58"/>
  <c r="N347" i="58"/>
  <c r="P287" i="58"/>
  <c r="N359" i="58"/>
  <c r="N348" i="58"/>
  <c r="N344" i="58"/>
  <c r="N341" i="58"/>
  <c r="M398" i="58"/>
  <c r="O401" i="58"/>
  <c r="N356" i="58"/>
  <c r="O408" i="58"/>
  <c r="N361" i="58"/>
  <c r="N349" i="58"/>
  <c r="O390" i="58"/>
  <c r="O411" i="58"/>
  <c r="M413" i="58"/>
  <c r="O383" i="58"/>
  <c r="M357" i="58"/>
  <c r="M411" i="58"/>
  <c r="M389" i="58"/>
  <c r="M387" i="58"/>
  <c r="M410" i="58"/>
  <c r="M390" i="58"/>
  <c r="O403" i="58"/>
  <c r="O381" i="58"/>
  <c r="P339" i="58"/>
  <c r="P331" i="58"/>
  <c r="P343" i="58"/>
  <c r="O413" i="58"/>
  <c r="M383" i="58"/>
  <c r="M381" i="58"/>
  <c r="M353" i="58"/>
  <c r="M393" i="58"/>
  <c r="O407" i="58"/>
  <c r="O412" i="58"/>
  <c r="O409" i="58"/>
  <c r="M395" i="58"/>
  <c r="O397" i="58"/>
  <c r="O398" i="58"/>
  <c r="P306" i="58"/>
  <c r="P310" i="58"/>
  <c r="P314" i="58"/>
  <c r="P313" i="58"/>
  <c r="P356" i="58"/>
  <c r="P347" i="58"/>
  <c r="P335" i="58"/>
  <c r="P320" i="58"/>
  <c r="P290" i="58"/>
  <c r="P294" i="58"/>
  <c r="P364" i="58"/>
  <c r="P345" i="58"/>
  <c r="P295" i="58"/>
  <c r="P299" i="58"/>
  <c r="P351" i="58"/>
  <c r="P360" i="58"/>
  <c r="P346" i="58"/>
  <c r="P292" i="58"/>
  <c r="P321" i="58"/>
  <c r="P350" i="58"/>
  <c r="N358" i="58"/>
  <c r="N339" i="58"/>
  <c r="N355" i="58"/>
  <c r="N353" i="58"/>
  <c r="P365" i="58"/>
  <c r="P357" i="58"/>
  <c r="P358" i="58"/>
  <c r="P340" i="58"/>
  <c r="P305" i="58"/>
  <c r="P304" i="58"/>
  <c r="P362" i="58"/>
  <c r="P336" i="58"/>
  <c r="P319" i="58"/>
  <c r="P300" i="58"/>
  <c r="P296" i="58"/>
  <c r="P353" i="58"/>
  <c r="M367" i="58"/>
  <c r="L341" i="58"/>
  <c r="N333" i="58"/>
  <c r="M344" i="58"/>
  <c r="N332" i="58"/>
  <c r="M378" i="58"/>
  <c r="P338" i="58"/>
  <c r="P312" i="58"/>
  <c r="P311" i="58"/>
  <c r="P317" i="58"/>
  <c r="P366" i="58"/>
  <c r="P341" i="58"/>
  <c r="P316" i="58"/>
  <c r="P307" i="58"/>
  <c r="P286" i="58"/>
  <c r="P352" i="58"/>
  <c r="P334" i="58"/>
  <c r="P289" i="58"/>
  <c r="P302" i="58"/>
  <c r="P323" i="58"/>
  <c r="P355" i="58"/>
  <c r="P344" i="58"/>
  <c r="P322" i="58"/>
  <c r="P318" i="58"/>
  <c r="P368" i="58"/>
  <c r="P361" i="58"/>
  <c r="M391" i="58"/>
  <c r="M397" i="58"/>
  <c r="N367" i="58"/>
  <c r="P342" i="58"/>
  <c r="P315" i="58"/>
  <c r="P309" i="58"/>
  <c r="P363" i="58"/>
  <c r="P354" i="58"/>
  <c r="P337" i="58"/>
  <c r="P291" i="58"/>
  <c r="P298" i="58"/>
  <c r="P293" i="58"/>
  <c r="P348" i="58"/>
  <c r="P333" i="58"/>
  <c r="P308" i="58"/>
  <c r="P303" i="58"/>
  <c r="P297" i="58"/>
  <c r="P359" i="58"/>
  <c r="P332" i="58"/>
  <c r="P301" i="58"/>
  <c r="P349" i="58"/>
  <c r="M404" i="58"/>
  <c r="M347" i="58"/>
  <c r="L411" i="58"/>
  <c r="N362" i="58"/>
  <c r="M409" i="58"/>
  <c r="N357" i="58"/>
  <c r="M396" i="58"/>
  <c r="M401" i="58"/>
  <c r="K288" i="58"/>
  <c r="M386" i="58"/>
  <c r="N354" i="58"/>
  <c r="M384" i="58"/>
  <c r="K290" i="58"/>
  <c r="N366" i="58"/>
  <c r="O405" i="58"/>
  <c r="O385" i="58"/>
  <c r="N342" i="58"/>
  <c r="N352" i="58"/>
  <c r="O389" i="58"/>
  <c r="O394" i="58"/>
  <c r="M412" i="58"/>
  <c r="N336" i="58"/>
  <c r="O379" i="58"/>
  <c r="M377" i="58"/>
  <c r="K299" i="58"/>
  <c r="M388" i="58"/>
  <c r="K301" i="58"/>
  <c r="K315" i="58"/>
  <c r="K297" i="58"/>
  <c r="M354" i="58"/>
  <c r="M331" i="58"/>
  <c r="M394" i="58"/>
  <c r="L391" i="58"/>
  <c r="O343" i="58"/>
  <c r="N395" i="58"/>
  <c r="L412" i="58"/>
  <c r="N376" i="58"/>
  <c r="L399" i="58"/>
  <c r="L403" i="58"/>
  <c r="L396" i="58"/>
  <c r="L376" i="58"/>
  <c r="L382" i="58"/>
  <c r="L400" i="58"/>
  <c r="L386" i="58"/>
  <c r="L406" i="58"/>
  <c r="L381" i="58"/>
  <c r="J286" i="58" a="1"/>
  <c r="J322" i="58" s="1"/>
  <c r="N381" i="58"/>
  <c r="K287" i="58"/>
  <c r="L393" i="58"/>
  <c r="K308" i="58"/>
  <c r="M337" i="58"/>
  <c r="L387" i="58"/>
  <c r="L392" i="58"/>
  <c r="L379" i="58"/>
  <c r="M340" i="58"/>
  <c r="L401" i="58"/>
  <c r="K295" i="58"/>
  <c r="L389" i="58"/>
  <c r="L390" i="58"/>
  <c r="L383" i="58"/>
  <c r="O406" i="58"/>
  <c r="L395" i="58"/>
  <c r="I286" i="58" a="1"/>
  <c r="I306" i="58" s="1"/>
  <c r="K314" i="58"/>
  <c r="N407" i="58"/>
  <c r="L409" i="58"/>
  <c r="K322" i="58"/>
  <c r="N393" i="58"/>
  <c r="L394" i="58"/>
  <c r="L377" i="58"/>
  <c r="O392" i="58"/>
  <c r="N350" i="58"/>
  <c r="N346" i="58"/>
  <c r="N335" i="58"/>
  <c r="N340" i="58"/>
  <c r="O357" i="58"/>
  <c r="L331" i="58"/>
  <c r="L353" i="58"/>
  <c r="L359" i="58"/>
  <c r="L355" i="58"/>
  <c r="L343" i="58"/>
  <c r="O360" i="58"/>
  <c r="K302" i="58"/>
  <c r="O344" i="58"/>
  <c r="N398" i="58"/>
  <c r="N387" i="58"/>
  <c r="L362" i="58"/>
  <c r="O367" i="58"/>
  <c r="O353" i="58"/>
  <c r="N394" i="58"/>
  <c r="K321" i="58"/>
  <c r="N383" i="58"/>
  <c r="N403" i="58"/>
  <c r="M352" i="58"/>
  <c r="L351" i="58"/>
  <c r="M346" i="58"/>
  <c r="O342" i="58"/>
  <c r="N390" i="58"/>
  <c r="L335" i="58"/>
  <c r="N388" i="58"/>
  <c r="O333" i="58"/>
  <c r="M341" i="58"/>
  <c r="K300" i="58"/>
  <c r="K296" i="58"/>
  <c r="L334" i="58"/>
  <c r="L405" i="58"/>
  <c r="N413" i="58"/>
  <c r="M361" i="58"/>
  <c r="M351" i="58"/>
  <c r="O368" i="58"/>
  <c r="N331" i="58"/>
  <c r="O386" i="58"/>
  <c r="O364" i="58"/>
  <c r="O337" i="58"/>
  <c r="L388" i="58"/>
  <c r="N386" i="58"/>
  <c r="O378" i="58"/>
  <c r="L385" i="58"/>
  <c r="K298" i="58"/>
  <c r="L358" i="58"/>
  <c r="H286" i="58" a="1"/>
  <c r="N405" i="58"/>
  <c r="O338" i="58"/>
  <c r="L340" i="58"/>
  <c r="N401" i="58"/>
  <c r="L333" i="58"/>
  <c r="M368" i="58"/>
  <c r="L366" i="58"/>
  <c r="L344" i="58"/>
  <c r="O366" i="58"/>
  <c r="M338" i="58"/>
  <c r="K303" i="58"/>
  <c r="O346" i="58"/>
  <c r="L348" i="58"/>
  <c r="N382" i="58"/>
  <c r="L350" i="58"/>
  <c r="K305" i="58"/>
  <c r="M365" i="58"/>
  <c r="L367" i="58"/>
  <c r="K291" i="58"/>
  <c r="M342" i="58"/>
  <c r="O340" i="58"/>
  <c r="M379" i="58"/>
  <c r="K320" i="58"/>
  <c r="O391" i="58"/>
  <c r="M366" i="58"/>
  <c r="O382" i="58"/>
  <c r="M336" i="58"/>
  <c r="M392" i="58"/>
  <c r="K293" i="58"/>
  <c r="M332" i="58"/>
  <c r="O358" i="58"/>
  <c r="M363" i="58"/>
  <c r="L347" i="58"/>
  <c r="M335" i="58"/>
  <c r="K317" i="58"/>
  <c r="O351" i="58"/>
  <c r="O393" i="58"/>
  <c r="L337" i="58"/>
  <c r="O404" i="58"/>
  <c r="O354" i="58"/>
  <c r="L398" i="58"/>
  <c r="O376" i="58"/>
  <c r="M359" i="58"/>
  <c r="L408" i="58"/>
  <c r="O334" i="58"/>
  <c r="O339" i="58"/>
  <c r="N364" i="58"/>
  <c r="L336" i="58"/>
  <c r="N334" i="58"/>
  <c r="O388" i="58"/>
  <c r="M405" i="58"/>
  <c r="N389" i="58"/>
  <c r="N396" i="58"/>
  <c r="G286" i="58" a="1"/>
  <c r="O331" i="58"/>
  <c r="O347" i="58"/>
  <c r="L360" i="58"/>
  <c r="N377" i="58"/>
  <c r="O362" i="58"/>
  <c r="O332" i="58"/>
  <c r="K286" i="58"/>
  <c r="N411" i="58"/>
  <c r="K311" i="58"/>
  <c r="K292" i="58"/>
  <c r="K319" i="58"/>
  <c r="N404" i="58"/>
  <c r="K309" i="58"/>
  <c r="L368" i="58"/>
  <c r="N384" i="58"/>
  <c r="L338" i="58"/>
  <c r="K306" i="58"/>
  <c r="N363" i="58"/>
  <c r="O380" i="58"/>
  <c r="O410" i="58"/>
  <c r="M376" i="58"/>
  <c r="O363" i="58"/>
  <c r="O399" i="58"/>
  <c r="M343" i="58"/>
  <c r="N408" i="58"/>
  <c r="L380" i="58"/>
  <c r="N378" i="58"/>
  <c r="N406" i="58"/>
  <c r="O402" i="58"/>
  <c r="M356" i="58"/>
  <c r="O365" i="58"/>
  <c r="L404" i="58"/>
  <c r="N402" i="58"/>
  <c r="M403" i="58"/>
  <c r="L378" i="58"/>
  <c r="N412" i="58"/>
  <c r="L410" i="58"/>
  <c r="L402" i="58"/>
  <c r="O395" i="58"/>
  <c r="O377" i="58"/>
  <c r="N410" i="58"/>
  <c r="O349" i="58"/>
  <c r="K313" i="58"/>
  <c r="N379" i="58"/>
  <c r="N365" i="58"/>
  <c r="N391" i="58"/>
  <c r="N392" i="58"/>
  <c r="L346" i="58"/>
  <c r="N351" i="58"/>
  <c r="O345" i="58"/>
  <c r="L356" i="58"/>
  <c r="M355" i="58"/>
  <c r="M408" i="58"/>
  <c r="M402" i="58"/>
  <c r="O400" i="58"/>
  <c r="L345" i="58"/>
  <c r="M385" i="58"/>
  <c r="N360" i="58"/>
  <c r="N399" i="58"/>
  <c r="O352" i="58"/>
  <c r="L357" i="58"/>
  <c r="L349" i="58"/>
  <c r="L339" i="58"/>
  <c r="K323" i="58"/>
  <c r="L361" i="58"/>
  <c r="N400" i="58"/>
  <c r="L354" i="58"/>
  <c r="L364" i="58"/>
  <c r="K312" i="58"/>
  <c r="N397" i="58"/>
  <c r="O341" i="58"/>
  <c r="N409" i="58"/>
  <c r="M358" i="58"/>
  <c r="O356" i="58"/>
  <c r="L365" i="58"/>
  <c r="L413" i="58"/>
  <c r="K316" i="58"/>
  <c r="O336" i="58"/>
  <c r="M333" i="58"/>
  <c r="L397" i="58"/>
  <c r="K289" i="58"/>
  <c r="N385" i="58"/>
  <c r="L407" i="58"/>
  <c r="K310" i="58"/>
  <c r="L363" i="58"/>
  <c r="M349" i="58"/>
  <c r="O350" i="58"/>
  <c r="M399" i="58"/>
  <c r="L352" i="58"/>
  <c r="M400" i="58"/>
  <c r="L342" i="58"/>
  <c r="O387" i="58"/>
  <c r="O361" i="58"/>
  <c r="M360" i="58"/>
  <c r="O335" i="58"/>
  <c r="K318" i="58"/>
  <c r="K294" i="58"/>
  <c r="O355" i="58"/>
  <c r="K304" i="58"/>
  <c r="O359" i="58"/>
  <c r="M350" i="58"/>
  <c r="M362" i="58"/>
  <c r="G556" i="51"/>
  <c r="G562" i="51" s="1" a="1"/>
  <c r="F238" i="51"/>
  <c r="G238" i="51"/>
  <c r="I147" i="51"/>
  <c r="I153" i="51" s="1" a="1"/>
  <c r="I238" i="51"/>
  <c r="I244" i="51" s="1" a="1"/>
  <c r="I258" i="51" s="1"/>
  <c r="G52" i="51"/>
  <c r="F420" i="51"/>
  <c r="F426" i="51" s="1" a="1"/>
  <c r="G692" i="51"/>
  <c r="G698" i="51" s="1" a="1"/>
  <c r="F556" i="51"/>
  <c r="F562" i="51" s="1" a="1"/>
  <c r="E238" i="51"/>
  <c r="E244" i="51" s="1" a="1"/>
  <c r="I52" i="51"/>
  <c r="I58" i="51" s="1" a="1"/>
  <c r="G58" i="51" a="1"/>
  <c r="E52" i="51"/>
  <c r="G420" i="51"/>
  <c r="G426" i="51" s="1" a="1"/>
  <c r="G329" i="51"/>
  <c r="G335" i="51" s="1" a="1"/>
  <c r="E329" i="51"/>
  <c r="I692" i="51"/>
  <c r="G147" i="51"/>
  <c r="G153" i="51" s="1" a="1"/>
  <c r="F147" i="51"/>
  <c r="F153" i="51" s="1" a="1"/>
  <c r="H238" i="51"/>
  <c r="H244" i="51" s="1" a="1"/>
  <c r="J238" i="51"/>
  <c r="E556" i="51"/>
  <c r="J420" i="51"/>
  <c r="F692" i="51"/>
  <c r="F329" i="51"/>
  <c r="F335" i="51" s="1" a="1"/>
  <c r="H147" i="51"/>
  <c r="J147" i="51"/>
  <c r="J52" i="51"/>
  <c r="H52" i="51"/>
  <c r="I556" i="51"/>
  <c r="E420" i="51"/>
  <c r="E426" i="51" s="1" a="1"/>
  <c r="H556" i="51"/>
  <c r="H329" i="51"/>
  <c r="H692" i="51"/>
  <c r="H698" i="51" s="1" a="1"/>
  <c r="J692" i="51"/>
  <c r="F125" i="66"/>
  <c r="E147" i="51"/>
  <c r="E153" i="51" s="1" a="1"/>
  <c r="F52" i="51"/>
  <c r="J556" i="51"/>
  <c r="I420" i="51"/>
  <c r="I426" i="51" s="1" a="1"/>
  <c r="H420" i="51"/>
  <c r="I329" i="51"/>
  <c r="E692" i="51"/>
  <c r="E698" i="51" s="1" a="1"/>
  <c r="J329" i="51"/>
  <c r="G123" i="66"/>
  <c r="G125" i="66" s="1"/>
  <c r="E129" i="66" l="1" a="1"/>
  <c r="I190" i="51"/>
  <c r="J305" i="58"/>
  <c r="J317" i="58"/>
  <c r="J310" i="58"/>
  <c r="J323" i="58"/>
  <c r="J290" i="58"/>
  <c r="J288" i="58"/>
  <c r="J321" i="58"/>
  <c r="J293" i="58"/>
  <c r="J298" i="58"/>
  <c r="J287" i="58"/>
  <c r="J309" i="58"/>
  <c r="J312" i="58"/>
  <c r="J302" i="58"/>
  <c r="J318" i="58"/>
  <c r="J311" i="58"/>
  <c r="J319" i="58"/>
  <c r="J306" i="58"/>
  <c r="J286" i="58"/>
  <c r="J315" i="58"/>
  <c r="J304" i="58"/>
  <c r="I296" i="58"/>
  <c r="I286" i="58"/>
  <c r="I313" i="58"/>
  <c r="I311" i="58"/>
  <c r="I315" i="58"/>
  <c r="I297" i="58"/>
  <c r="I292" i="58"/>
  <c r="I293" i="58"/>
  <c r="I305" i="58"/>
  <c r="J295" i="58"/>
  <c r="J303" i="58"/>
  <c r="J297" i="58"/>
  <c r="J308" i="58"/>
  <c r="J300" i="58"/>
  <c r="J301" i="58"/>
  <c r="J307" i="58"/>
  <c r="J313" i="58"/>
  <c r="J299" i="58"/>
  <c r="I319" i="58"/>
  <c r="I290" i="58"/>
  <c r="I295" i="58"/>
  <c r="I298" i="58"/>
  <c r="I307" i="58"/>
  <c r="I287" i="58"/>
  <c r="I320" i="58"/>
  <c r="I321" i="58"/>
  <c r="I294" i="58"/>
  <c r="I312" i="58"/>
  <c r="I288" i="58"/>
  <c r="I316" i="58"/>
  <c r="I291" i="58"/>
  <c r="I300" i="58"/>
  <c r="I318" i="58"/>
  <c r="I299" i="58"/>
  <c r="I308" i="58"/>
  <c r="I309" i="58"/>
  <c r="I317" i="58"/>
  <c r="J316" i="58"/>
  <c r="J296" i="58"/>
  <c r="J320" i="58"/>
  <c r="J292" i="58"/>
  <c r="J289" i="58"/>
  <c r="J291" i="58"/>
  <c r="J314" i="58"/>
  <c r="J294" i="58"/>
  <c r="I303" i="58"/>
  <c r="I302" i="58"/>
  <c r="I301" i="58"/>
  <c r="I322" i="58"/>
  <c r="I314" i="58"/>
  <c r="I323" i="58"/>
  <c r="I304" i="58"/>
  <c r="I310" i="58"/>
  <c r="I289" i="58"/>
  <c r="G318" i="58"/>
  <c r="G314" i="58"/>
  <c r="G307" i="58"/>
  <c r="G320" i="58"/>
  <c r="G297" i="58"/>
  <c r="G298" i="58"/>
  <c r="G291" i="58"/>
  <c r="G292" i="58"/>
  <c r="G308" i="58"/>
  <c r="G306" i="58"/>
  <c r="G304" i="58"/>
  <c r="G312" i="58"/>
  <c r="G311" i="58"/>
  <c r="G300" i="58"/>
  <c r="G322" i="58"/>
  <c r="G299" i="58"/>
  <c r="G323" i="58"/>
  <c r="G305" i="58"/>
  <c r="G287" i="58"/>
  <c r="G315" i="58"/>
  <c r="G295" i="58"/>
  <c r="G303" i="58"/>
  <c r="G316" i="58"/>
  <c r="G290" i="58"/>
  <c r="G288" i="58"/>
  <c r="G319" i="58"/>
  <c r="G296" i="58"/>
  <c r="G317" i="58"/>
  <c r="G313" i="58"/>
  <c r="G289" i="58"/>
  <c r="G294" i="58"/>
  <c r="G293" i="58"/>
  <c r="G310" i="58"/>
  <c r="G301" i="58"/>
  <c r="G286" i="58"/>
  <c r="G302" i="58"/>
  <c r="G309" i="58"/>
  <c r="G321" i="58"/>
  <c r="L286" i="58" a="1"/>
  <c r="N286" i="58" a="1"/>
  <c r="O286" i="58" a="1"/>
  <c r="M286" i="58" a="1"/>
  <c r="H292" i="58"/>
  <c r="H308" i="58"/>
  <c r="H289" i="58"/>
  <c r="H300" i="58"/>
  <c r="H293" i="58"/>
  <c r="H320" i="58"/>
  <c r="H297" i="58"/>
  <c r="H313" i="58"/>
  <c r="H318" i="58"/>
  <c r="H314" i="58"/>
  <c r="H306" i="58"/>
  <c r="H312" i="58"/>
  <c r="H307" i="58"/>
  <c r="H311" i="58"/>
  <c r="H322" i="58"/>
  <c r="H294" i="58"/>
  <c r="H298" i="58"/>
  <c r="H291" i="58"/>
  <c r="H301" i="58"/>
  <c r="H304" i="58"/>
  <c r="H299" i="58"/>
  <c r="H323" i="58"/>
  <c r="H305" i="58"/>
  <c r="H287" i="58"/>
  <c r="H317" i="58"/>
  <c r="H315" i="58"/>
  <c r="H303" i="58"/>
  <c r="H309" i="58"/>
  <c r="H288" i="58"/>
  <c r="H319" i="58"/>
  <c r="H295" i="58"/>
  <c r="H310" i="58"/>
  <c r="H321" i="58"/>
  <c r="H316" i="58"/>
  <c r="H286" i="58"/>
  <c r="H302" i="58"/>
  <c r="H290" i="58"/>
  <c r="H296" i="58"/>
  <c r="I186" i="51"/>
  <c r="I85" i="51"/>
  <c r="I82" i="51"/>
  <c r="I155" i="51"/>
  <c r="I59" i="51"/>
  <c r="I75" i="51"/>
  <c r="I248" i="51"/>
  <c r="I247" i="51"/>
  <c r="I73" i="51"/>
  <c r="I277" i="51"/>
  <c r="I169" i="51"/>
  <c r="I154" i="51"/>
  <c r="I67" i="51"/>
  <c r="I58" i="51"/>
  <c r="I184" i="51"/>
  <c r="I183" i="51"/>
  <c r="I87" i="51"/>
  <c r="I76" i="51"/>
  <c r="E257" i="51"/>
  <c r="I174" i="51"/>
  <c r="I179" i="51"/>
  <c r="I166" i="51"/>
  <c r="I71" i="51"/>
  <c r="I78" i="51"/>
  <c r="I70" i="51"/>
  <c r="I90" i="51"/>
  <c r="I72" i="51"/>
  <c r="I74" i="51"/>
  <c r="I68" i="51"/>
  <c r="I66" i="51"/>
  <c r="I91" i="51"/>
  <c r="I60" i="51"/>
  <c r="I261" i="51"/>
  <c r="I244" i="51"/>
  <c r="I255" i="51"/>
  <c r="I65" i="51"/>
  <c r="I77" i="51"/>
  <c r="I61" i="51"/>
  <c r="I79" i="51"/>
  <c r="I84" i="51"/>
  <c r="I93" i="51"/>
  <c r="I80" i="51"/>
  <c r="I83" i="51"/>
  <c r="I81" i="51"/>
  <c r="I94" i="51"/>
  <c r="I86" i="51"/>
  <c r="I64" i="51"/>
  <c r="I62" i="51"/>
  <c r="I69" i="51"/>
  <c r="I89" i="51"/>
  <c r="I88" i="51"/>
  <c r="I95" i="51"/>
  <c r="I92" i="51"/>
  <c r="I63" i="51"/>
  <c r="I269" i="51"/>
  <c r="I276" i="51"/>
  <c r="I153" i="51"/>
  <c r="I164" i="51"/>
  <c r="I173" i="51"/>
  <c r="I175" i="51"/>
  <c r="I168" i="51"/>
  <c r="I178" i="51"/>
  <c r="I157" i="51"/>
  <c r="I158" i="51"/>
  <c r="I159" i="51"/>
  <c r="I165" i="51"/>
  <c r="I156" i="51"/>
  <c r="I181" i="51"/>
  <c r="I177" i="51"/>
  <c r="I188" i="51"/>
  <c r="I187" i="51"/>
  <c r="I162" i="51"/>
  <c r="I170" i="51"/>
  <c r="I163" i="51"/>
  <c r="I185" i="51"/>
  <c r="I182" i="51"/>
  <c r="I189" i="51"/>
  <c r="I161" i="51"/>
  <c r="I172" i="51"/>
  <c r="I171" i="51"/>
  <c r="I176" i="51"/>
  <c r="I160" i="51"/>
  <c r="I167" i="51"/>
  <c r="I180" i="51"/>
  <c r="I262" i="51"/>
  <c r="I251" i="51"/>
  <c r="I263" i="51"/>
  <c r="I266" i="51"/>
  <c r="I264" i="51"/>
  <c r="I267" i="51"/>
  <c r="I280" i="51"/>
  <c r="I271" i="51"/>
  <c r="I279" i="51"/>
  <c r="I246" i="51"/>
  <c r="F244" i="51" a="1"/>
  <c r="F255" i="51" s="1"/>
  <c r="I253" i="51"/>
  <c r="I260" i="51"/>
  <c r="I265" i="51"/>
  <c r="I249" i="51"/>
  <c r="I275" i="51"/>
  <c r="I259" i="51"/>
  <c r="I268" i="51"/>
  <c r="I257" i="51"/>
  <c r="I278" i="51"/>
  <c r="I272" i="51"/>
  <c r="I274" i="51"/>
  <c r="I273" i="51"/>
  <c r="I256" i="51"/>
  <c r="I245" i="51"/>
  <c r="I254" i="51"/>
  <c r="I281" i="51"/>
  <c r="I252" i="51"/>
  <c r="I270" i="51"/>
  <c r="I250" i="51"/>
  <c r="G244" i="51" a="1"/>
  <c r="G249" i="51" s="1"/>
  <c r="I562" i="51" a="1"/>
  <c r="I585" i="51" s="1"/>
  <c r="H153" i="51" a="1"/>
  <c r="H161" i="51" s="1"/>
  <c r="F698" i="51" a="1"/>
  <c r="F729" i="51" s="1"/>
  <c r="G599" i="51"/>
  <c r="G585" i="51"/>
  <c r="G587" i="51"/>
  <c r="G579" i="51"/>
  <c r="G581" i="51"/>
  <c r="G577" i="51"/>
  <c r="G594" i="51"/>
  <c r="G574" i="51"/>
  <c r="G567" i="51"/>
  <c r="G575" i="51"/>
  <c r="G566" i="51"/>
  <c r="G570" i="51"/>
  <c r="G596" i="51"/>
  <c r="G593" i="51"/>
  <c r="G580" i="51"/>
  <c r="G590" i="51"/>
  <c r="G578" i="51"/>
  <c r="G563" i="51"/>
  <c r="G571" i="51"/>
  <c r="G598" i="51"/>
  <c r="G565" i="51"/>
  <c r="G569" i="51"/>
  <c r="G572" i="51"/>
  <c r="G588" i="51"/>
  <c r="G562" i="51"/>
  <c r="G576" i="51"/>
  <c r="G583" i="51"/>
  <c r="G584" i="51"/>
  <c r="G595" i="51"/>
  <c r="G592" i="51"/>
  <c r="G568" i="51"/>
  <c r="G586" i="51"/>
  <c r="G573" i="51"/>
  <c r="G597" i="51"/>
  <c r="G564" i="51"/>
  <c r="G591" i="51"/>
  <c r="G589" i="51"/>
  <c r="F443" i="51"/>
  <c r="F433" i="51"/>
  <c r="F451" i="51"/>
  <c r="F452" i="51"/>
  <c r="F428" i="51"/>
  <c r="F447" i="51"/>
  <c r="F460" i="51"/>
  <c r="F457" i="51"/>
  <c r="F427" i="51"/>
  <c r="F444" i="51"/>
  <c r="F462" i="51"/>
  <c r="F435" i="51"/>
  <c r="F453" i="51"/>
  <c r="F463" i="51"/>
  <c r="F454" i="51"/>
  <c r="F445" i="51"/>
  <c r="F455" i="51"/>
  <c r="F456" i="51"/>
  <c r="F448" i="51"/>
  <c r="F430" i="51"/>
  <c r="F436" i="51"/>
  <c r="F461" i="51"/>
  <c r="F431" i="51"/>
  <c r="F439" i="51"/>
  <c r="F449" i="51"/>
  <c r="F446" i="51"/>
  <c r="F442" i="51"/>
  <c r="F429" i="51"/>
  <c r="F434" i="51"/>
  <c r="F432" i="51"/>
  <c r="F459" i="51"/>
  <c r="F450" i="51"/>
  <c r="F426" i="51"/>
  <c r="F437" i="51"/>
  <c r="F440" i="51"/>
  <c r="F441" i="51"/>
  <c r="F458" i="51"/>
  <c r="H58" i="51" a="1"/>
  <c r="E335" i="51" a="1"/>
  <c r="E58" i="51" a="1"/>
  <c r="G582" i="51"/>
  <c r="F438" i="51"/>
  <c r="I335" i="51" a="1"/>
  <c r="I336" i="51" s="1"/>
  <c r="F58" i="51" a="1"/>
  <c r="F64" i="51" s="1"/>
  <c r="J698" i="51" a="1"/>
  <c r="H562" i="51" a="1"/>
  <c r="H563" i="51" s="1"/>
  <c r="J58" i="51" a="1"/>
  <c r="J58" i="51" s="1"/>
  <c r="J426" i="51" a="1"/>
  <c r="H255" i="51"/>
  <c r="H262" i="51"/>
  <c r="H250" i="51"/>
  <c r="H252" i="51"/>
  <c r="H249" i="51"/>
  <c r="H274" i="51"/>
  <c r="H253" i="51"/>
  <c r="H272" i="51"/>
  <c r="H269" i="51"/>
  <c r="H257" i="51"/>
  <c r="H263" i="51"/>
  <c r="H248" i="51"/>
  <c r="H275" i="51"/>
  <c r="H273" i="51"/>
  <c r="H260" i="51"/>
  <c r="H281" i="51"/>
  <c r="H279" i="51"/>
  <c r="H256" i="51"/>
  <c r="H261" i="51"/>
  <c r="H268" i="51"/>
  <c r="H270" i="51"/>
  <c r="H267" i="51"/>
  <c r="H254" i="51"/>
  <c r="H247" i="51"/>
  <c r="H276" i="51"/>
  <c r="H266" i="51"/>
  <c r="H246" i="51"/>
  <c r="H245" i="51"/>
  <c r="H277" i="51"/>
  <c r="H271" i="51"/>
  <c r="H278" i="51"/>
  <c r="H265" i="51"/>
  <c r="H251" i="51"/>
  <c r="H264" i="51"/>
  <c r="H258" i="51"/>
  <c r="H280" i="51"/>
  <c r="H259" i="51"/>
  <c r="H244" i="51"/>
  <c r="G353" i="51"/>
  <c r="G370" i="51"/>
  <c r="G351" i="51"/>
  <c r="G337" i="51"/>
  <c r="G357" i="51"/>
  <c r="G371" i="51"/>
  <c r="G372" i="51"/>
  <c r="G367" i="51"/>
  <c r="G359" i="51"/>
  <c r="G366" i="51"/>
  <c r="G346" i="51"/>
  <c r="G341" i="51"/>
  <c r="G358" i="51"/>
  <c r="G355" i="51"/>
  <c r="G345" i="51"/>
  <c r="G349" i="51"/>
  <c r="G369" i="51"/>
  <c r="G340" i="51"/>
  <c r="G336" i="51"/>
  <c r="G339" i="51"/>
  <c r="G335" i="51"/>
  <c r="G368" i="51"/>
  <c r="G344" i="51"/>
  <c r="G360" i="51"/>
  <c r="G343" i="51"/>
  <c r="G356" i="51"/>
  <c r="G348" i="51"/>
  <c r="G363" i="51"/>
  <c r="G365" i="51"/>
  <c r="G338" i="51"/>
  <c r="G354" i="51"/>
  <c r="G361" i="51"/>
  <c r="G347" i="51"/>
  <c r="G352" i="51"/>
  <c r="G364" i="51"/>
  <c r="G362" i="51"/>
  <c r="G342" i="51"/>
  <c r="G350" i="51"/>
  <c r="F581" i="51"/>
  <c r="F584" i="51"/>
  <c r="F570" i="51"/>
  <c r="F589" i="51"/>
  <c r="F577" i="51"/>
  <c r="F592" i="51"/>
  <c r="F575" i="51"/>
  <c r="F586" i="51"/>
  <c r="F585" i="51"/>
  <c r="F587" i="51"/>
  <c r="F594" i="51"/>
  <c r="F593" i="51"/>
  <c r="F590" i="51"/>
  <c r="F599" i="51"/>
  <c r="F595" i="51"/>
  <c r="F562" i="51"/>
  <c r="F571" i="51"/>
  <c r="F583" i="51"/>
  <c r="F567" i="51"/>
  <c r="F598" i="51"/>
  <c r="F579" i="51"/>
  <c r="F568" i="51"/>
  <c r="F580" i="51"/>
  <c r="F565" i="51"/>
  <c r="F596" i="51"/>
  <c r="F572" i="51"/>
  <c r="F578" i="51"/>
  <c r="F576" i="51"/>
  <c r="F574" i="51"/>
  <c r="F588" i="51"/>
  <c r="F566" i="51"/>
  <c r="F597" i="51"/>
  <c r="F573" i="51"/>
  <c r="F591" i="51"/>
  <c r="F582" i="51"/>
  <c r="F569" i="51"/>
  <c r="F564" i="51"/>
  <c r="G724" i="51"/>
  <c r="G728" i="51"/>
  <c r="G721" i="51"/>
  <c r="G717" i="51"/>
  <c r="G708" i="51"/>
  <c r="G703" i="51"/>
  <c r="G707" i="51"/>
  <c r="G722" i="51"/>
  <c r="G706" i="51"/>
  <c r="G701" i="51"/>
  <c r="G713" i="51"/>
  <c r="G719" i="51"/>
  <c r="G725" i="51"/>
  <c r="G698" i="51"/>
  <c r="G735" i="51"/>
  <c r="G716" i="51"/>
  <c r="G729" i="51"/>
  <c r="G715" i="51"/>
  <c r="G720" i="51"/>
  <c r="G731" i="51"/>
  <c r="G712" i="51"/>
  <c r="G702" i="51"/>
  <c r="G709" i="51"/>
  <c r="G734" i="51"/>
  <c r="G704" i="51"/>
  <c r="G711" i="51"/>
  <c r="G730" i="51"/>
  <c r="G710" i="51"/>
  <c r="G733" i="51"/>
  <c r="G732" i="51"/>
  <c r="G714" i="51"/>
  <c r="G727" i="51"/>
  <c r="G718" i="51"/>
  <c r="G700" i="51"/>
  <c r="G723" i="51"/>
  <c r="G699" i="51"/>
  <c r="G726" i="51"/>
  <c r="G94" i="51"/>
  <c r="G78" i="51"/>
  <c r="G76" i="51"/>
  <c r="G75" i="51"/>
  <c r="G86" i="51"/>
  <c r="G91" i="51"/>
  <c r="G63" i="51"/>
  <c r="G64" i="51"/>
  <c r="G83" i="51"/>
  <c r="G70" i="51"/>
  <c r="G68" i="51"/>
  <c r="G62" i="51"/>
  <c r="G82" i="51"/>
  <c r="G90" i="51"/>
  <c r="G77" i="51"/>
  <c r="G69" i="51"/>
  <c r="G61" i="51"/>
  <c r="G84" i="51"/>
  <c r="G67" i="51"/>
  <c r="G89" i="51"/>
  <c r="G59" i="51"/>
  <c r="G80" i="51"/>
  <c r="G81" i="51"/>
  <c r="G92" i="51"/>
  <c r="G65" i="51"/>
  <c r="G60" i="51"/>
  <c r="G73" i="51"/>
  <c r="G79" i="51"/>
  <c r="G87" i="51"/>
  <c r="G95" i="51"/>
  <c r="G72" i="51"/>
  <c r="G74" i="51"/>
  <c r="G93" i="51"/>
  <c r="G88" i="51"/>
  <c r="G85" i="51"/>
  <c r="G71" i="51"/>
  <c r="G66" i="51"/>
  <c r="E699" i="51"/>
  <c r="E724" i="51"/>
  <c r="E707" i="51"/>
  <c r="E719" i="51"/>
  <c r="E731" i="51"/>
  <c r="E722" i="51"/>
  <c r="E732" i="51"/>
  <c r="E721" i="51"/>
  <c r="E723" i="51"/>
  <c r="E728" i="51"/>
  <c r="E702" i="51"/>
  <c r="E703" i="51"/>
  <c r="E704" i="51"/>
  <c r="E735" i="51"/>
  <c r="E698" i="51"/>
  <c r="E706" i="51"/>
  <c r="E729" i="51"/>
  <c r="E708" i="51"/>
  <c r="E716" i="51"/>
  <c r="E726" i="51"/>
  <c r="E711" i="51"/>
  <c r="E712" i="51"/>
  <c r="E727" i="51"/>
  <c r="E709" i="51"/>
  <c r="E710" i="51"/>
  <c r="E734" i="51"/>
  <c r="E717" i="51"/>
  <c r="E725" i="51"/>
  <c r="E705" i="51"/>
  <c r="E701" i="51"/>
  <c r="E713" i="51"/>
  <c r="E730" i="51"/>
  <c r="E733" i="51"/>
  <c r="E720" i="51"/>
  <c r="E715" i="51"/>
  <c r="E700" i="51"/>
  <c r="E718" i="51"/>
  <c r="E714" i="51"/>
  <c r="I432" i="51"/>
  <c r="I426" i="51"/>
  <c r="I441" i="51"/>
  <c r="I428" i="51"/>
  <c r="I450" i="51"/>
  <c r="I461" i="51"/>
  <c r="I438" i="51"/>
  <c r="I440" i="51"/>
  <c r="I457" i="51"/>
  <c r="I435" i="51"/>
  <c r="I444" i="51"/>
  <c r="I446" i="51"/>
  <c r="I442" i="51"/>
  <c r="I433" i="51"/>
  <c r="I443" i="51"/>
  <c r="I447" i="51"/>
  <c r="I445" i="51"/>
  <c r="I454" i="51"/>
  <c r="I452" i="51"/>
  <c r="I427" i="51"/>
  <c r="I439" i="51"/>
  <c r="I460" i="51"/>
  <c r="I463" i="51"/>
  <c r="I456" i="51"/>
  <c r="I462" i="51"/>
  <c r="I449" i="51"/>
  <c r="I459" i="51"/>
  <c r="I436" i="51"/>
  <c r="I434" i="51"/>
  <c r="I429" i="51"/>
  <c r="I431" i="51"/>
  <c r="I437" i="51"/>
  <c r="I430" i="51"/>
  <c r="I451" i="51"/>
  <c r="I453" i="51"/>
  <c r="I455" i="51"/>
  <c r="I448" i="51"/>
  <c r="I458" i="51"/>
  <c r="G161" i="51"/>
  <c r="G175" i="51"/>
  <c r="G168" i="51"/>
  <c r="G171" i="51"/>
  <c r="G155" i="51"/>
  <c r="G163" i="51"/>
  <c r="G158" i="51"/>
  <c r="G185" i="51"/>
  <c r="G156" i="51"/>
  <c r="G187" i="51"/>
  <c r="G160" i="51"/>
  <c r="G172" i="51"/>
  <c r="G179" i="51"/>
  <c r="G188" i="51"/>
  <c r="G189" i="51"/>
  <c r="G167" i="51"/>
  <c r="G154" i="51"/>
  <c r="G165" i="51"/>
  <c r="G180" i="51"/>
  <c r="G159" i="51"/>
  <c r="G169" i="51"/>
  <c r="G183" i="51"/>
  <c r="G170" i="51"/>
  <c r="G174" i="51"/>
  <c r="G157" i="51"/>
  <c r="G186" i="51"/>
  <c r="G153" i="51"/>
  <c r="G182" i="51"/>
  <c r="G178" i="51"/>
  <c r="G173" i="51"/>
  <c r="G164" i="51"/>
  <c r="G184" i="51"/>
  <c r="G176" i="51"/>
  <c r="G162" i="51"/>
  <c r="G166" i="51"/>
  <c r="G181" i="51"/>
  <c r="G190" i="51"/>
  <c r="G177" i="51"/>
  <c r="G453" i="51"/>
  <c r="G450" i="51"/>
  <c r="G458" i="51"/>
  <c r="G430" i="51"/>
  <c r="G446" i="51"/>
  <c r="G457" i="51"/>
  <c r="G437" i="51"/>
  <c r="G436" i="51"/>
  <c r="G443" i="51"/>
  <c r="G433" i="51"/>
  <c r="G456" i="51"/>
  <c r="G428" i="51"/>
  <c r="G444" i="51"/>
  <c r="G448" i="51"/>
  <c r="G447" i="51"/>
  <c r="G461" i="51"/>
  <c r="G451" i="51"/>
  <c r="G427" i="51"/>
  <c r="G435" i="51"/>
  <c r="G454" i="51"/>
  <c r="G438" i="51"/>
  <c r="G429" i="51"/>
  <c r="G440" i="51"/>
  <c r="G452" i="51"/>
  <c r="G463" i="51"/>
  <c r="G449" i="51"/>
  <c r="G439" i="51"/>
  <c r="G431" i="51"/>
  <c r="G442" i="51"/>
  <c r="G455" i="51"/>
  <c r="G459" i="51"/>
  <c r="G434" i="51"/>
  <c r="G441" i="51"/>
  <c r="G426" i="51"/>
  <c r="G445" i="51"/>
  <c r="G460" i="51"/>
  <c r="G432" i="51"/>
  <c r="E256" i="51"/>
  <c r="E279" i="51"/>
  <c r="E268" i="51"/>
  <c r="E261" i="51"/>
  <c r="E254" i="51"/>
  <c r="E255" i="51"/>
  <c r="E280" i="51"/>
  <c r="E245" i="51"/>
  <c r="E269" i="51"/>
  <c r="E248" i="51"/>
  <c r="E274" i="51"/>
  <c r="E272" i="51"/>
  <c r="E263" i="51"/>
  <c r="E262" i="51"/>
  <c r="E278" i="51"/>
  <c r="E253" i="51"/>
  <c r="E276" i="51"/>
  <c r="E260" i="51"/>
  <c r="E264" i="51"/>
  <c r="E258" i="51"/>
  <c r="E244" i="51"/>
  <c r="E271" i="51"/>
  <c r="E246" i="51"/>
  <c r="E252" i="51"/>
  <c r="E247" i="51"/>
  <c r="E270" i="51"/>
  <c r="E277" i="51"/>
  <c r="E273" i="51"/>
  <c r="E275" i="51"/>
  <c r="E249" i="51"/>
  <c r="E267" i="51"/>
  <c r="E251" i="51"/>
  <c r="E250" i="51"/>
  <c r="E265" i="51"/>
  <c r="E281" i="51"/>
  <c r="E266" i="51"/>
  <c r="E259" i="51"/>
  <c r="J562" i="51" a="1"/>
  <c r="J576" i="51" s="1"/>
  <c r="H335" i="51" a="1"/>
  <c r="J244" i="51" a="1"/>
  <c r="J335" i="51" a="1"/>
  <c r="H426" i="51" a="1"/>
  <c r="E156" i="51"/>
  <c r="E180" i="51"/>
  <c r="E187" i="51"/>
  <c r="E165" i="51"/>
  <c r="E164" i="51"/>
  <c r="E157" i="51"/>
  <c r="E153" i="51"/>
  <c r="E173" i="51"/>
  <c r="E178" i="51"/>
  <c r="E175" i="51"/>
  <c r="E166" i="51"/>
  <c r="E186" i="51"/>
  <c r="E161" i="51"/>
  <c r="E163" i="51"/>
  <c r="E158" i="51"/>
  <c r="E177" i="51"/>
  <c r="E189" i="51"/>
  <c r="E162" i="51"/>
  <c r="E188" i="51"/>
  <c r="E190" i="51"/>
  <c r="E169" i="51"/>
  <c r="E160" i="51"/>
  <c r="E181" i="51"/>
  <c r="E182" i="51"/>
  <c r="E184" i="51"/>
  <c r="E179" i="51"/>
  <c r="E185" i="51"/>
  <c r="E174" i="51"/>
  <c r="E167" i="51"/>
  <c r="E171" i="51"/>
  <c r="E183" i="51"/>
  <c r="E168" i="51"/>
  <c r="E155" i="51"/>
  <c r="E159" i="51"/>
  <c r="E176" i="51"/>
  <c r="E170" i="51"/>
  <c r="E154" i="51"/>
  <c r="E172" i="51"/>
  <c r="H728" i="51"/>
  <c r="H725" i="51"/>
  <c r="H723" i="51"/>
  <c r="H716" i="51"/>
  <c r="H717" i="51"/>
  <c r="H706" i="51"/>
  <c r="H734" i="51"/>
  <c r="H714" i="51"/>
  <c r="H732" i="51"/>
  <c r="H708" i="51"/>
  <c r="H720" i="51"/>
  <c r="H711" i="51"/>
  <c r="H722" i="51"/>
  <c r="H715" i="51"/>
  <c r="H700" i="51"/>
  <c r="H704" i="51"/>
  <c r="H702" i="51"/>
  <c r="H707" i="51"/>
  <c r="H735" i="51"/>
  <c r="H719" i="51"/>
  <c r="H703" i="51"/>
  <c r="H709" i="51"/>
  <c r="H698" i="51"/>
  <c r="H727" i="51"/>
  <c r="H729" i="51"/>
  <c r="H731" i="51"/>
  <c r="H721" i="51"/>
  <c r="H726" i="51"/>
  <c r="H710" i="51"/>
  <c r="H718" i="51"/>
  <c r="H724" i="51"/>
  <c r="H733" i="51"/>
  <c r="H712" i="51"/>
  <c r="H699" i="51"/>
  <c r="H713" i="51"/>
  <c r="H730" i="51"/>
  <c r="H701" i="51"/>
  <c r="H705" i="51"/>
  <c r="E431" i="51"/>
  <c r="E455" i="51"/>
  <c r="E441" i="51"/>
  <c r="E442" i="51"/>
  <c r="E426" i="51"/>
  <c r="E428" i="51"/>
  <c r="E462" i="51"/>
  <c r="E457" i="51"/>
  <c r="E454" i="51"/>
  <c r="E461" i="51"/>
  <c r="E433" i="51"/>
  <c r="E451" i="51"/>
  <c r="E439" i="51"/>
  <c r="E459" i="51"/>
  <c r="E444" i="51"/>
  <c r="E458" i="51"/>
  <c r="E450" i="51"/>
  <c r="E445" i="51"/>
  <c r="E448" i="51"/>
  <c r="E435" i="51"/>
  <c r="E452" i="51"/>
  <c r="E436" i="51"/>
  <c r="E449" i="51"/>
  <c r="E427" i="51"/>
  <c r="E438" i="51"/>
  <c r="E434" i="51"/>
  <c r="E437" i="51"/>
  <c r="E430" i="51"/>
  <c r="E463" i="51"/>
  <c r="E447" i="51"/>
  <c r="E440" i="51"/>
  <c r="E432" i="51"/>
  <c r="E429" i="51"/>
  <c r="E460" i="51"/>
  <c r="E453" i="51"/>
  <c r="E446" i="51"/>
  <c r="E456" i="51"/>
  <c r="E443" i="51"/>
  <c r="J153" i="51" a="1"/>
  <c r="F365" i="51"/>
  <c r="F336" i="51"/>
  <c r="F366" i="51"/>
  <c r="F341" i="51"/>
  <c r="F339" i="51"/>
  <c r="F362" i="51"/>
  <c r="F354" i="51"/>
  <c r="F364" i="51"/>
  <c r="F360" i="51"/>
  <c r="F344" i="51"/>
  <c r="F337" i="51"/>
  <c r="F342" i="51"/>
  <c r="F346" i="51"/>
  <c r="F338" i="51"/>
  <c r="F356" i="51"/>
  <c r="F340" i="51"/>
  <c r="F368" i="51"/>
  <c r="F345" i="51"/>
  <c r="F347" i="51"/>
  <c r="F370" i="51"/>
  <c r="F358" i="51"/>
  <c r="F343" i="51"/>
  <c r="F335" i="51"/>
  <c r="F352" i="51"/>
  <c r="F348" i="51"/>
  <c r="F355" i="51"/>
  <c r="F349" i="51"/>
  <c r="F359" i="51"/>
  <c r="F361" i="51"/>
  <c r="F363" i="51"/>
  <c r="F367" i="51"/>
  <c r="F351" i="51"/>
  <c r="F353" i="51"/>
  <c r="F372" i="51"/>
  <c r="F369" i="51"/>
  <c r="F350" i="51"/>
  <c r="F357" i="51"/>
  <c r="F371" i="51"/>
  <c r="E562" i="51" a="1"/>
  <c r="E569" i="51" s="1"/>
  <c r="F162" i="51"/>
  <c r="F168" i="51"/>
  <c r="F179" i="51"/>
  <c r="F175" i="51"/>
  <c r="F185" i="51"/>
  <c r="F189" i="51"/>
  <c r="F167" i="51"/>
  <c r="F161" i="51"/>
  <c r="F184" i="51"/>
  <c r="F178" i="51"/>
  <c r="F190" i="51"/>
  <c r="F181" i="51"/>
  <c r="F180" i="51"/>
  <c r="F170" i="51"/>
  <c r="F154" i="51"/>
  <c r="F171" i="51"/>
  <c r="F173" i="51"/>
  <c r="F174" i="51"/>
  <c r="F183" i="51"/>
  <c r="F164" i="51"/>
  <c r="F155" i="51"/>
  <c r="F177" i="51"/>
  <c r="F182" i="51"/>
  <c r="F163" i="51"/>
  <c r="F165" i="51"/>
  <c r="F156" i="51"/>
  <c r="F159" i="51"/>
  <c r="F158" i="51"/>
  <c r="F157" i="51"/>
  <c r="F186" i="51"/>
  <c r="F176" i="51"/>
  <c r="F166" i="51"/>
  <c r="F160" i="51"/>
  <c r="F172" i="51"/>
  <c r="F153" i="51"/>
  <c r="F169" i="51"/>
  <c r="F187" i="51"/>
  <c r="F188" i="51"/>
  <c r="I698" i="51" a="1"/>
  <c r="I720" i="51" s="1"/>
  <c r="G462" i="51"/>
  <c r="F563" i="51"/>
  <c r="G705" i="51"/>
  <c r="G58" i="51"/>
  <c r="F131" i="66"/>
  <c r="F130" i="66"/>
  <c r="F129" i="66"/>
  <c r="E131" i="66"/>
  <c r="E130" i="66"/>
  <c r="E129" i="66"/>
  <c r="H131" i="66"/>
  <c r="H139" i="66" s="1"/>
  <c r="H130" i="66"/>
  <c r="H129" i="66"/>
  <c r="G131" i="66"/>
  <c r="G130" i="66"/>
  <c r="G138" i="66" s="1"/>
  <c r="G129" i="66"/>
  <c r="F139" i="66" l="1"/>
  <c r="G276" i="51"/>
  <c r="F258" i="51"/>
  <c r="G272" i="51"/>
  <c r="G254" i="51"/>
  <c r="G258" i="51"/>
  <c r="G247" i="51"/>
  <c r="F244" i="51"/>
  <c r="G266" i="51"/>
  <c r="F269" i="51"/>
  <c r="F249" i="51"/>
  <c r="F274" i="51"/>
  <c r="F250" i="51"/>
  <c r="G264" i="51"/>
  <c r="F265" i="51"/>
  <c r="G257" i="51"/>
  <c r="F273" i="51"/>
  <c r="F276" i="51"/>
  <c r="F245" i="51"/>
  <c r="G280" i="51"/>
  <c r="F279" i="51"/>
  <c r="F254" i="51"/>
  <c r="G259" i="51"/>
  <c r="F266" i="51"/>
  <c r="F263" i="51"/>
  <c r="F248" i="51"/>
  <c r="G271" i="51"/>
  <c r="G267" i="51"/>
  <c r="G278" i="51"/>
  <c r="F251" i="51"/>
  <c r="F257" i="51"/>
  <c r="F253" i="51"/>
  <c r="F267" i="51"/>
  <c r="F247" i="51"/>
  <c r="N299" i="58"/>
  <c r="N315" i="58"/>
  <c r="N323" i="58"/>
  <c r="N288" i="58"/>
  <c r="N287" i="58"/>
  <c r="N307" i="58"/>
  <c r="N304" i="58"/>
  <c r="N320" i="58"/>
  <c r="N291" i="58"/>
  <c r="N303" i="58"/>
  <c r="N319" i="58"/>
  <c r="N290" i="58"/>
  <c r="N308" i="58"/>
  <c r="N322" i="58"/>
  <c r="N294" i="58"/>
  <c r="N293" i="58"/>
  <c r="N310" i="58"/>
  <c r="N306" i="58"/>
  <c r="N309" i="58"/>
  <c r="N292" i="58"/>
  <c r="N311" i="58"/>
  <c r="N297" i="58"/>
  <c r="N295" i="58"/>
  <c r="N312" i="58"/>
  <c r="N314" i="58"/>
  <c r="N301" i="58"/>
  <c r="N298" i="58"/>
  <c r="N313" i="58"/>
  <c r="N317" i="58"/>
  <c r="N296" i="58"/>
  <c r="N300" i="58"/>
  <c r="N305" i="58"/>
  <c r="N289" i="58"/>
  <c r="N316" i="58"/>
  <c r="N302" i="58"/>
  <c r="N318" i="58"/>
  <c r="N321" i="58"/>
  <c r="N286" i="58"/>
  <c r="L313" i="58"/>
  <c r="L317" i="58"/>
  <c r="L305" i="58"/>
  <c r="L289" i="58"/>
  <c r="L314" i="58"/>
  <c r="L301" i="58"/>
  <c r="L298" i="58"/>
  <c r="L321" i="58"/>
  <c r="L299" i="58"/>
  <c r="L302" i="58"/>
  <c r="L315" i="58"/>
  <c r="L318" i="58"/>
  <c r="L290" i="58"/>
  <c r="L312" i="58"/>
  <c r="L323" i="58"/>
  <c r="L288" i="58"/>
  <c r="L308" i="58"/>
  <c r="L322" i="58"/>
  <c r="L287" i="58"/>
  <c r="L307" i="58"/>
  <c r="L304" i="58"/>
  <c r="L294" i="58"/>
  <c r="L293" i="58"/>
  <c r="L296" i="58"/>
  <c r="L300" i="58"/>
  <c r="L320" i="58"/>
  <c r="L310" i="58"/>
  <c r="L291" i="58"/>
  <c r="L306" i="58"/>
  <c r="L316" i="58"/>
  <c r="L309" i="58"/>
  <c r="L303" i="58"/>
  <c r="L319" i="58"/>
  <c r="L292" i="58"/>
  <c r="L311" i="58"/>
  <c r="L297" i="58"/>
  <c r="L295" i="58"/>
  <c r="L286" i="58"/>
  <c r="M290" i="58"/>
  <c r="M302" i="58"/>
  <c r="M322" i="58"/>
  <c r="M314" i="58"/>
  <c r="M298" i="58"/>
  <c r="M294" i="58"/>
  <c r="M318" i="58"/>
  <c r="M300" i="58"/>
  <c r="M310" i="58"/>
  <c r="M306" i="58"/>
  <c r="M316" i="58"/>
  <c r="M299" i="58"/>
  <c r="M312" i="58"/>
  <c r="M315" i="58"/>
  <c r="M323" i="58"/>
  <c r="M287" i="58"/>
  <c r="M307" i="58"/>
  <c r="M296" i="58"/>
  <c r="M291" i="58"/>
  <c r="M303" i="58"/>
  <c r="M319" i="58"/>
  <c r="M288" i="58"/>
  <c r="M308" i="58"/>
  <c r="M304" i="58"/>
  <c r="M293" i="58"/>
  <c r="M320" i="58"/>
  <c r="M309" i="58"/>
  <c r="M301" i="58"/>
  <c r="M313" i="58"/>
  <c r="M317" i="58"/>
  <c r="M305" i="58"/>
  <c r="M289" i="58"/>
  <c r="M321" i="58"/>
  <c r="M311" i="58"/>
  <c r="M295" i="58"/>
  <c r="M286" i="58"/>
  <c r="M292" i="58"/>
  <c r="M297" i="58"/>
  <c r="O312" i="58"/>
  <c r="O308" i="58"/>
  <c r="O301" i="58"/>
  <c r="O293" i="58"/>
  <c r="O296" i="58"/>
  <c r="O309" i="58"/>
  <c r="O302" i="58"/>
  <c r="O288" i="58"/>
  <c r="O304" i="58"/>
  <c r="O318" i="58"/>
  <c r="O313" i="58"/>
  <c r="O317" i="58"/>
  <c r="O300" i="58"/>
  <c r="O320" i="58"/>
  <c r="O305" i="58"/>
  <c r="O289" i="58"/>
  <c r="O316" i="58"/>
  <c r="O286" i="58"/>
  <c r="O290" i="58"/>
  <c r="O323" i="58"/>
  <c r="O322" i="58"/>
  <c r="O287" i="58"/>
  <c r="O307" i="58"/>
  <c r="O294" i="58"/>
  <c r="O310" i="58"/>
  <c r="O291" i="58"/>
  <c r="O306" i="58"/>
  <c r="O303" i="58"/>
  <c r="O299" i="58"/>
  <c r="O315" i="58"/>
  <c r="O314" i="58"/>
  <c r="O298" i="58"/>
  <c r="O321" i="58"/>
  <c r="O311" i="58"/>
  <c r="O295" i="58"/>
  <c r="O292" i="58"/>
  <c r="O297" i="58"/>
  <c r="O319" i="58"/>
  <c r="G269" i="51"/>
  <c r="G250" i="51"/>
  <c r="G255" i="51"/>
  <c r="G244" i="51"/>
  <c r="G260" i="51"/>
  <c r="G263" i="51"/>
  <c r="G246" i="51"/>
  <c r="G273" i="51"/>
  <c r="G262" i="51"/>
  <c r="G274" i="51"/>
  <c r="G251" i="51"/>
  <c r="G279" i="51"/>
  <c r="G275" i="51"/>
  <c r="G281" i="51"/>
  <c r="F252" i="51"/>
  <c r="F280" i="51"/>
  <c r="F281" i="51"/>
  <c r="F259" i="51"/>
  <c r="F261" i="51"/>
  <c r="F278" i="51"/>
  <c r="F246" i="51"/>
  <c r="F275" i="51"/>
  <c r="G252" i="51"/>
  <c r="G261" i="51"/>
  <c r="G270" i="51"/>
  <c r="F264" i="51"/>
  <c r="F270" i="51"/>
  <c r="G268" i="51"/>
  <c r="G248" i="51"/>
  <c r="G245" i="51"/>
  <c r="G256" i="51"/>
  <c r="G277" i="51"/>
  <c r="G253" i="51"/>
  <c r="G265" i="51"/>
  <c r="F262" i="51"/>
  <c r="F260" i="51"/>
  <c r="F271" i="51"/>
  <c r="F256" i="51"/>
  <c r="F268" i="51"/>
  <c r="F277" i="51"/>
  <c r="F272" i="51"/>
  <c r="J153" i="51"/>
  <c r="J179" i="51"/>
  <c r="J162" i="51"/>
  <c r="J161" i="51"/>
  <c r="J163" i="51"/>
  <c r="J187" i="51"/>
  <c r="J172" i="51"/>
  <c r="J190" i="51"/>
  <c r="J155" i="51"/>
  <c r="J177" i="51"/>
  <c r="J171" i="51"/>
  <c r="J160" i="51"/>
  <c r="J186" i="51"/>
  <c r="J175" i="51"/>
  <c r="J184" i="51"/>
  <c r="J156" i="51"/>
  <c r="J165" i="51"/>
  <c r="J154" i="51"/>
  <c r="J167" i="51"/>
  <c r="J158" i="51"/>
  <c r="J182" i="51"/>
  <c r="J157" i="51"/>
  <c r="J189" i="51"/>
  <c r="J159" i="51"/>
  <c r="J185" i="51"/>
  <c r="J180" i="51"/>
  <c r="J188" i="51"/>
  <c r="J174" i="51"/>
  <c r="J170" i="51"/>
  <c r="J176" i="51"/>
  <c r="J178" i="51"/>
  <c r="J181" i="51"/>
  <c r="J173" i="51"/>
  <c r="J168" i="51"/>
  <c r="J169" i="51"/>
  <c r="J183" i="51"/>
  <c r="J166" i="51"/>
  <c r="H426" i="51"/>
  <c r="H450" i="51"/>
  <c r="H432" i="51"/>
  <c r="H457" i="51"/>
  <c r="H433" i="51"/>
  <c r="H460" i="51"/>
  <c r="H442" i="51"/>
  <c r="H441" i="51"/>
  <c r="H439" i="51"/>
  <c r="H438" i="51"/>
  <c r="H455" i="51"/>
  <c r="H449" i="51"/>
  <c r="H447" i="51"/>
  <c r="H458" i="51"/>
  <c r="H454" i="51"/>
  <c r="H436" i="51"/>
  <c r="H437" i="51"/>
  <c r="H444" i="51"/>
  <c r="H463" i="51"/>
  <c r="H435" i="51"/>
  <c r="H440" i="51"/>
  <c r="H461" i="51"/>
  <c r="H453" i="51"/>
  <c r="H462" i="51"/>
  <c r="H459" i="51"/>
  <c r="H452" i="51"/>
  <c r="H434" i="51"/>
  <c r="H431" i="51"/>
  <c r="H429" i="51"/>
  <c r="H456" i="51"/>
  <c r="H448" i="51"/>
  <c r="H430" i="51"/>
  <c r="H451" i="51"/>
  <c r="H446" i="51"/>
  <c r="H443" i="51"/>
  <c r="H445" i="51"/>
  <c r="H427" i="51"/>
  <c r="H369" i="51"/>
  <c r="H367" i="51"/>
  <c r="H335" i="51"/>
  <c r="H343" i="51"/>
  <c r="H337" i="51"/>
  <c r="H341" i="51"/>
  <c r="H365" i="51"/>
  <c r="H339" i="51"/>
  <c r="H363" i="51"/>
  <c r="H347" i="51"/>
  <c r="H353" i="51"/>
  <c r="H345" i="51"/>
  <c r="H354" i="51"/>
  <c r="H351" i="51"/>
  <c r="H346" i="51"/>
  <c r="H340" i="51"/>
  <c r="H355" i="51"/>
  <c r="H359" i="51"/>
  <c r="H344" i="51"/>
  <c r="H361" i="51"/>
  <c r="H338" i="51"/>
  <c r="H349" i="51"/>
  <c r="H371" i="51"/>
  <c r="H342" i="51"/>
  <c r="H357" i="51"/>
  <c r="H372" i="51"/>
  <c r="H336" i="51"/>
  <c r="H348" i="51"/>
  <c r="H350" i="51"/>
  <c r="H352" i="51"/>
  <c r="H356" i="51"/>
  <c r="H362" i="51"/>
  <c r="H358" i="51"/>
  <c r="H364" i="51"/>
  <c r="H366" i="51"/>
  <c r="H370" i="51"/>
  <c r="H360" i="51"/>
  <c r="J72" i="51"/>
  <c r="J88" i="51"/>
  <c r="J59" i="51"/>
  <c r="J78" i="51"/>
  <c r="J65" i="51"/>
  <c r="J91" i="51"/>
  <c r="J82" i="51"/>
  <c r="J63" i="51"/>
  <c r="J95" i="51"/>
  <c r="J61" i="51"/>
  <c r="J83" i="51"/>
  <c r="J74" i="51"/>
  <c r="J85" i="51"/>
  <c r="J80" i="51"/>
  <c r="J75" i="51"/>
  <c r="J79" i="51"/>
  <c r="J67" i="51"/>
  <c r="J66" i="51"/>
  <c r="J89" i="51"/>
  <c r="J81" i="51"/>
  <c r="J70" i="51"/>
  <c r="J62" i="51"/>
  <c r="J60" i="51"/>
  <c r="J92" i="51"/>
  <c r="J77" i="51"/>
  <c r="J94" i="51"/>
  <c r="J68" i="51"/>
  <c r="J90" i="51"/>
  <c r="J64" i="51"/>
  <c r="J76" i="51"/>
  <c r="J71" i="51"/>
  <c r="J93" i="51"/>
  <c r="J73" i="51"/>
  <c r="J87" i="51"/>
  <c r="J84" i="51"/>
  <c r="J69" i="51"/>
  <c r="J86" i="51"/>
  <c r="E367" i="51"/>
  <c r="E362" i="51"/>
  <c r="E365" i="51"/>
  <c r="E339" i="51"/>
  <c r="E335" i="51"/>
  <c r="E360" i="51"/>
  <c r="E370" i="51"/>
  <c r="E358" i="51"/>
  <c r="E355" i="51"/>
  <c r="E350" i="51"/>
  <c r="E340" i="51"/>
  <c r="E346" i="51"/>
  <c r="E347" i="51"/>
  <c r="E344" i="51"/>
  <c r="E349" i="51"/>
  <c r="E371" i="51"/>
  <c r="E341" i="51"/>
  <c r="E351" i="51"/>
  <c r="E363" i="51"/>
  <c r="E368" i="51"/>
  <c r="E348" i="51"/>
  <c r="E372" i="51"/>
  <c r="E338" i="51"/>
  <c r="E353" i="51"/>
  <c r="E336" i="51"/>
  <c r="E361" i="51"/>
  <c r="E357" i="51"/>
  <c r="E354" i="51"/>
  <c r="E359" i="51"/>
  <c r="E345" i="51"/>
  <c r="E364" i="51"/>
  <c r="E342" i="51"/>
  <c r="E343" i="51"/>
  <c r="E337" i="51"/>
  <c r="E352" i="51"/>
  <c r="E369" i="51"/>
  <c r="E356" i="51"/>
  <c r="J164" i="51"/>
  <c r="H428" i="51"/>
  <c r="J570" i="51"/>
  <c r="J572" i="51"/>
  <c r="J581" i="51"/>
  <c r="J594" i="51"/>
  <c r="J577" i="51"/>
  <c r="J564" i="51"/>
  <c r="J596" i="51"/>
  <c r="J599" i="51"/>
  <c r="J563" i="51"/>
  <c r="J593" i="51"/>
  <c r="J583" i="51"/>
  <c r="J584" i="51"/>
  <c r="J565" i="51"/>
  <c r="J562" i="51"/>
  <c r="J595" i="51"/>
  <c r="J579" i="51"/>
  <c r="J573" i="51"/>
  <c r="J587" i="51"/>
  <c r="J591" i="51"/>
  <c r="J571" i="51"/>
  <c r="J589" i="51"/>
  <c r="J585" i="51"/>
  <c r="J597" i="51"/>
  <c r="J588" i="51"/>
  <c r="J586" i="51"/>
  <c r="J592" i="51"/>
  <c r="J566" i="51"/>
  <c r="J568" i="51"/>
  <c r="J582" i="51"/>
  <c r="J580" i="51"/>
  <c r="J598" i="51"/>
  <c r="J574" i="51"/>
  <c r="J567" i="51"/>
  <c r="J578" i="51"/>
  <c r="J590" i="51"/>
  <c r="J569" i="51"/>
  <c r="J575" i="51"/>
  <c r="I338" i="51"/>
  <c r="I356" i="51"/>
  <c r="I355" i="51"/>
  <c r="I343" i="51"/>
  <c r="I361" i="51"/>
  <c r="I359" i="51"/>
  <c r="I351" i="51"/>
  <c r="I371" i="51"/>
  <c r="I363" i="51"/>
  <c r="I341" i="51"/>
  <c r="I372" i="51"/>
  <c r="I354" i="51"/>
  <c r="I369" i="51"/>
  <c r="I335" i="51"/>
  <c r="I340" i="51"/>
  <c r="I365" i="51"/>
  <c r="I344" i="51"/>
  <c r="I349" i="51"/>
  <c r="I347" i="51"/>
  <c r="I352" i="51"/>
  <c r="I348" i="51"/>
  <c r="I357" i="51"/>
  <c r="I360" i="51"/>
  <c r="I337" i="51"/>
  <c r="I358" i="51"/>
  <c r="I362" i="51"/>
  <c r="I366" i="51"/>
  <c r="I353" i="51"/>
  <c r="I345" i="51"/>
  <c r="I346" i="51"/>
  <c r="I364" i="51"/>
  <c r="I339" i="51"/>
  <c r="I368" i="51"/>
  <c r="I367" i="51"/>
  <c r="I350" i="51"/>
  <c r="I370" i="51"/>
  <c r="I342" i="51"/>
  <c r="F709" i="51"/>
  <c r="F733" i="51"/>
  <c r="F726" i="51"/>
  <c r="F716" i="51"/>
  <c r="F724" i="51"/>
  <c r="F700" i="51"/>
  <c r="F731" i="51"/>
  <c r="F698" i="51"/>
  <c r="F713" i="51"/>
  <c r="F722" i="51"/>
  <c r="F727" i="51"/>
  <c r="F730" i="51"/>
  <c r="F705" i="51"/>
  <c r="F715" i="51"/>
  <c r="F719" i="51"/>
  <c r="F707" i="51"/>
  <c r="F703" i="51"/>
  <c r="F718" i="51"/>
  <c r="F725" i="51"/>
  <c r="F702" i="51"/>
  <c r="F723" i="51"/>
  <c r="F704" i="51"/>
  <c r="F712" i="51"/>
  <c r="F721" i="51"/>
  <c r="F708" i="51"/>
  <c r="F701" i="51"/>
  <c r="F711" i="51"/>
  <c r="F734" i="51"/>
  <c r="F735" i="51"/>
  <c r="F699" i="51"/>
  <c r="F728" i="51"/>
  <c r="F732" i="51"/>
  <c r="F710" i="51"/>
  <c r="F706" i="51"/>
  <c r="F720" i="51"/>
  <c r="F717" i="51"/>
  <c r="F714" i="51"/>
  <c r="I568" i="51"/>
  <c r="I564" i="51"/>
  <c r="I589" i="51"/>
  <c r="I590" i="51"/>
  <c r="I570" i="51"/>
  <c r="I574" i="51"/>
  <c r="I562" i="51"/>
  <c r="I595" i="51"/>
  <c r="I575" i="51"/>
  <c r="I563" i="51"/>
  <c r="I597" i="51"/>
  <c r="I591" i="51"/>
  <c r="I586" i="51"/>
  <c r="I583" i="51"/>
  <c r="I593" i="51"/>
  <c r="I573" i="51"/>
  <c r="I576" i="51"/>
  <c r="I594" i="51"/>
  <c r="I582" i="51"/>
  <c r="I571" i="51"/>
  <c r="I599" i="51"/>
  <c r="I566" i="51"/>
  <c r="I596" i="51"/>
  <c r="I578" i="51"/>
  <c r="I584" i="51"/>
  <c r="I587" i="51"/>
  <c r="I581" i="51"/>
  <c r="I598" i="51"/>
  <c r="I572" i="51"/>
  <c r="I588" i="51"/>
  <c r="I580" i="51"/>
  <c r="I577" i="51"/>
  <c r="I569" i="51"/>
  <c r="I592" i="51"/>
  <c r="I567" i="51"/>
  <c r="I565" i="51"/>
  <c r="I579" i="51"/>
  <c r="J339" i="51"/>
  <c r="J362" i="51"/>
  <c r="J356" i="51"/>
  <c r="J337" i="51"/>
  <c r="J366" i="51"/>
  <c r="J352" i="51"/>
  <c r="J372" i="51"/>
  <c r="J360" i="51"/>
  <c r="J357" i="51"/>
  <c r="J346" i="51"/>
  <c r="J367" i="51"/>
  <c r="J369" i="51"/>
  <c r="J370" i="51"/>
  <c r="J340" i="51"/>
  <c r="J361" i="51"/>
  <c r="J344" i="51"/>
  <c r="J338" i="51"/>
  <c r="J355" i="51"/>
  <c r="J341" i="51"/>
  <c r="J354" i="51"/>
  <c r="J359" i="51"/>
  <c r="J336" i="51"/>
  <c r="J342" i="51"/>
  <c r="J351" i="51"/>
  <c r="J353" i="51"/>
  <c r="J349" i="51"/>
  <c r="J350" i="51"/>
  <c r="J343" i="51"/>
  <c r="J368" i="51"/>
  <c r="J365" i="51"/>
  <c r="J364" i="51"/>
  <c r="J358" i="51"/>
  <c r="J347" i="51"/>
  <c r="J371" i="51"/>
  <c r="J335" i="51"/>
  <c r="J345" i="51"/>
  <c r="J363" i="51"/>
  <c r="J714" i="51"/>
  <c r="J698" i="51"/>
  <c r="J712" i="51"/>
  <c r="J711" i="51"/>
  <c r="J706" i="51"/>
  <c r="J717" i="51"/>
  <c r="J704" i="51"/>
  <c r="J709" i="51"/>
  <c r="J732" i="51"/>
  <c r="J716" i="51"/>
  <c r="J700" i="51"/>
  <c r="J713" i="51"/>
  <c r="J721" i="51"/>
  <c r="J705" i="51"/>
  <c r="J724" i="51"/>
  <c r="J708" i="51"/>
  <c r="J703" i="51"/>
  <c r="J725" i="51"/>
  <c r="J731" i="51"/>
  <c r="J735" i="51"/>
  <c r="J728" i="51"/>
  <c r="J723" i="51"/>
  <c r="J722" i="51"/>
  <c r="J726" i="51"/>
  <c r="J730" i="51"/>
  <c r="J733" i="51"/>
  <c r="J702" i="51"/>
  <c r="J701" i="51"/>
  <c r="J719" i="51"/>
  <c r="J734" i="51"/>
  <c r="J699" i="51"/>
  <c r="J707" i="51"/>
  <c r="J715" i="51"/>
  <c r="J729" i="51"/>
  <c r="J718" i="51"/>
  <c r="J727" i="51"/>
  <c r="J720" i="51"/>
  <c r="J710" i="51"/>
  <c r="E74" i="51"/>
  <c r="E85" i="51"/>
  <c r="E79" i="51"/>
  <c r="E70" i="51"/>
  <c r="E72" i="51"/>
  <c r="E60" i="51"/>
  <c r="E93" i="51"/>
  <c r="E58" i="51"/>
  <c r="E91" i="51"/>
  <c r="E78" i="51"/>
  <c r="E83" i="51"/>
  <c r="E73" i="51"/>
  <c r="E84" i="51"/>
  <c r="E65" i="51"/>
  <c r="E80" i="51"/>
  <c r="E86" i="51"/>
  <c r="E88" i="51"/>
  <c r="E87" i="51"/>
  <c r="E59" i="51"/>
  <c r="E64" i="51"/>
  <c r="E63" i="51"/>
  <c r="E77" i="51"/>
  <c r="E71" i="51"/>
  <c r="E82" i="51"/>
  <c r="E66" i="51"/>
  <c r="E61" i="51"/>
  <c r="E92" i="51"/>
  <c r="E89" i="51"/>
  <c r="E69" i="51"/>
  <c r="E90" i="51"/>
  <c r="E75" i="51"/>
  <c r="E81" i="51"/>
  <c r="E94" i="51"/>
  <c r="E62" i="51"/>
  <c r="E68" i="51"/>
  <c r="E76" i="51"/>
  <c r="E95" i="51"/>
  <c r="H73" i="51"/>
  <c r="H63" i="51"/>
  <c r="H79" i="51"/>
  <c r="H95" i="51"/>
  <c r="H81" i="51"/>
  <c r="H60" i="51"/>
  <c r="H82" i="51"/>
  <c r="H88" i="51"/>
  <c r="H59" i="51"/>
  <c r="H71" i="51"/>
  <c r="H87" i="51"/>
  <c r="H86" i="51"/>
  <c r="H84" i="51"/>
  <c r="H94" i="51"/>
  <c r="H64" i="51"/>
  <c r="H83" i="51"/>
  <c r="H77" i="51"/>
  <c r="H91" i="51"/>
  <c r="H89" i="51"/>
  <c r="H93" i="51"/>
  <c r="H76" i="51"/>
  <c r="H90" i="51"/>
  <c r="H66" i="51"/>
  <c r="H78" i="51"/>
  <c r="H75" i="51"/>
  <c r="H70" i="51"/>
  <c r="H62" i="51"/>
  <c r="H61" i="51"/>
  <c r="H74" i="51"/>
  <c r="H68" i="51"/>
  <c r="H92" i="51"/>
  <c r="H80" i="51"/>
  <c r="H69" i="51"/>
  <c r="H67" i="51"/>
  <c r="H58" i="51"/>
  <c r="H85" i="51"/>
  <c r="H72" i="51"/>
  <c r="H138" i="66"/>
  <c r="I705" i="51"/>
  <c r="I698" i="51"/>
  <c r="I729" i="51"/>
  <c r="I714" i="51"/>
  <c r="I716" i="51"/>
  <c r="I704" i="51"/>
  <c r="I732" i="51"/>
  <c r="I709" i="51"/>
  <c r="I707" i="51"/>
  <c r="I710" i="51"/>
  <c r="I718" i="51"/>
  <c r="I700" i="51"/>
  <c r="I723" i="51"/>
  <c r="I713" i="51"/>
  <c r="I726" i="51"/>
  <c r="I703" i="51"/>
  <c r="I702" i="51"/>
  <c r="I711" i="51"/>
  <c r="I721" i="51"/>
  <c r="I724" i="51"/>
  <c r="I717" i="51"/>
  <c r="I728" i="51"/>
  <c r="I730" i="51"/>
  <c r="I725" i="51"/>
  <c r="I708" i="51"/>
  <c r="I719" i="51"/>
  <c r="I701" i="51"/>
  <c r="I733" i="51"/>
  <c r="I706" i="51"/>
  <c r="I731" i="51"/>
  <c r="I712" i="51"/>
  <c r="I727" i="51"/>
  <c r="I699" i="51"/>
  <c r="I715" i="51"/>
  <c r="I735" i="51"/>
  <c r="I722" i="51"/>
  <c r="I734" i="51"/>
  <c r="E576" i="51"/>
  <c r="E593" i="51"/>
  <c r="E582" i="51"/>
  <c r="E570" i="51"/>
  <c r="E562" i="51"/>
  <c r="E567" i="51"/>
  <c r="E574" i="51"/>
  <c r="E594" i="51"/>
  <c r="E568" i="51"/>
  <c r="E583" i="51"/>
  <c r="E589" i="51"/>
  <c r="E596" i="51"/>
  <c r="E586" i="51"/>
  <c r="E590" i="51"/>
  <c r="E584" i="51"/>
  <c r="E580" i="51"/>
  <c r="E588" i="51"/>
  <c r="E599" i="51"/>
  <c r="E573" i="51"/>
  <c r="E598" i="51"/>
  <c r="E565" i="51"/>
  <c r="E591" i="51"/>
  <c r="E579" i="51"/>
  <c r="E578" i="51"/>
  <c r="E595" i="51"/>
  <c r="E585" i="51"/>
  <c r="E563" i="51"/>
  <c r="E587" i="51"/>
  <c r="E581" i="51"/>
  <c r="E564" i="51"/>
  <c r="E592" i="51"/>
  <c r="E566" i="51"/>
  <c r="E571" i="51"/>
  <c r="E597" i="51"/>
  <c r="E572" i="51"/>
  <c r="E575" i="51"/>
  <c r="E577" i="51"/>
  <c r="J254" i="51"/>
  <c r="J281" i="51"/>
  <c r="J244" i="51"/>
  <c r="J261" i="51"/>
  <c r="J272" i="51"/>
  <c r="J246" i="51"/>
  <c r="J251" i="51"/>
  <c r="J277" i="51"/>
  <c r="J274" i="51"/>
  <c r="J263" i="51"/>
  <c r="J265" i="51"/>
  <c r="J260" i="51"/>
  <c r="J266" i="51"/>
  <c r="J270" i="51"/>
  <c r="J257" i="51"/>
  <c r="J268" i="51"/>
  <c r="J247" i="51"/>
  <c r="J253" i="51"/>
  <c r="J267" i="51"/>
  <c r="J264" i="51"/>
  <c r="J275" i="51"/>
  <c r="J273" i="51"/>
  <c r="J269" i="51"/>
  <c r="J248" i="51"/>
  <c r="J280" i="51"/>
  <c r="J271" i="51"/>
  <c r="J252" i="51"/>
  <c r="J276" i="51"/>
  <c r="J259" i="51"/>
  <c r="J256" i="51"/>
  <c r="J258" i="51"/>
  <c r="J278" i="51"/>
  <c r="J245" i="51"/>
  <c r="J249" i="51"/>
  <c r="J262" i="51"/>
  <c r="J255" i="51"/>
  <c r="J250" i="51"/>
  <c r="J279" i="51"/>
  <c r="J452" i="51"/>
  <c r="J436" i="51"/>
  <c r="J443" i="51"/>
  <c r="J446" i="51"/>
  <c r="J451" i="51"/>
  <c r="J460" i="51"/>
  <c r="J444" i="51"/>
  <c r="J457" i="51"/>
  <c r="J447" i="51"/>
  <c r="J462" i="51"/>
  <c r="J434" i="51"/>
  <c r="J449" i="51"/>
  <c r="J438" i="51"/>
  <c r="J426" i="51"/>
  <c r="J453" i="51"/>
  <c r="J428" i="51"/>
  <c r="J454" i="51"/>
  <c r="J441" i="51"/>
  <c r="J431" i="51"/>
  <c r="J437" i="51"/>
  <c r="J427" i="51"/>
  <c r="J461" i="51"/>
  <c r="J430" i="51"/>
  <c r="J445" i="51"/>
  <c r="J450" i="51"/>
  <c r="J442" i="51"/>
  <c r="J463" i="51"/>
  <c r="J435" i="51"/>
  <c r="J448" i="51"/>
  <c r="J455" i="51"/>
  <c r="J429" i="51"/>
  <c r="J458" i="51"/>
  <c r="J440" i="51"/>
  <c r="J432" i="51"/>
  <c r="J456" i="51"/>
  <c r="J459" i="51"/>
  <c r="J433" i="51"/>
  <c r="J439" i="51"/>
  <c r="H589" i="51"/>
  <c r="H578" i="51"/>
  <c r="H564" i="51"/>
  <c r="H591" i="51"/>
  <c r="H581" i="51"/>
  <c r="H598" i="51"/>
  <c r="H583" i="51"/>
  <c r="H572" i="51"/>
  <c r="H562" i="51"/>
  <c r="H580" i="51"/>
  <c r="H595" i="51"/>
  <c r="H575" i="51"/>
  <c r="H587" i="51"/>
  <c r="H566" i="51"/>
  <c r="H594" i="51"/>
  <c r="H582" i="51"/>
  <c r="H596" i="51"/>
  <c r="H573" i="51"/>
  <c r="H592" i="51"/>
  <c r="H590" i="51"/>
  <c r="H568" i="51"/>
  <c r="H584" i="51"/>
  <c r="H570" i="51"/>
  <c r="H571" i="51"/>
  <c r="H586" i="51"/>
  <c r="H577" i="51"/>
  <c r="H569" i="51"/>
  <c r="H574" i="51"/>
  <c r="H585" i="51"/>
  <c r="H576" i="51"/>
  <c r="H567" i="51"/>
  <c r="H565" i="51"/>
  <c r="H579" i="51"/>
  <c r="H593" i="51"/>
  <c r="H599" i="51"/>
  <c r="H588" i="51"/>
  <c r="H597" i="51"/>
  <c r="F77" i="51"/>
  <c r="F93" i="51"/>
  <c r="F59" i="51"/>
  <c r="F89" i="51"/>
  <c r="F70" i="51"/>
  <c r="F88" i="51"/>
  <c r="F71" i="51"/>
  <c r="F78" i="51"/>
  <c r="F58" i="51"/>
  <c r="F82" i="51"/>
  <c r="F61" i="51"/>
  <c r="F73" i="51"/>
  <c r="F62" i="51"/>
  <c r="F72" i="51"/>
  <c r="F79" i="51"/>
  <c r="F92" i="51"/>
  <c r="F76" i="51"/>
  <c r="F85" i="51"/>
  <c r="F67" i="51"/>
  <c r="F63" i="51"/>
  <c r="F68" i="51"/>
  <c r="F84" i="51"/>
  <c r="F60" i="51"/>
  <c r="F87" i="51"/>
  <c r="F83" i="51"/>
  <c r="F86" i="51"/>
  <c r="F90" i="51"/>
  <c r="F95" i="51"/>
  <c r="F81" i="51"/>
  <c r="F66" i="51"/>
  <c r="F91" i="51"/>
  <c r="F69" i="51"/>
  <c r="F74" i="51"/>
  <c r="F65" i="51"/>
  <c r="F80" i="51"/>
  <c r="F75" i="51"/>
  <c r="F94" i="51"/>
  <c r="J348" i="51"/>
  <c r="E67" i="51"/>
  <c r="H65" i="51"/>
  <c r="E366" i="51"/>
  <c r="H157" i="51"/>
  <c r="H172" i="51"/>
  <c r="H164" i="51"/>
  <c r="H166" i="51"/>
  <c r="H177" i="51"/>
  <c r="H165" i="51"/>
  <c r="H185" i="51"/>
  <c r="H183" i="51"/>
  <c r="H181" i="51"/>
  <c r="H182" i="51"/>
  <c r="H188" i="51"/>
  <c r="H174" i="51"/>
  <c r="H155" i="51"/>
  <c r="H173" i="51"/>
  <c r="H169" i="51"/>
  <c r="H187" i="51"/>
  <c r="H176" i="51"/>
  <c r="H160" i="51"/>
  <c r="H159" i="51"/>
  <c r="H171" i="51"/>
  <c r="H156" i="51"/>
  <c r="H180" i="51"/>
  <c r="H167" i="51"/>
  <c r="H184" i="51"/>
  <c r="H168" i="51"/>
  <c r="H190" i="51"/>
  <c r="H158" i="51"/>
  <c r="H154" i="51"/>
  <c r="H153" i="51"/>
  <c r="H189" i="51"/>
  <c r="H163" i="51"/>
  <c r="H175" i="51"/>
  <c r="H186" i="51"/>
  <c r="H178" i="51"/>
  <c r="H170" i="51"/>
  <c r="H179" i="51"/>
  <c r="H162" i="51"/>
  <c r="H368" i="51"/>
  <c r="H132" i="66"/>
  <c r="H137" i="66"/>
  <c r="H140" i="66" s="1"/>
  <c r="F132" i="66"/>
  <c r="F137" i="66"/>
  <c r="G139" i="66"/>
  <c r="E132" i="66"/>
  <c r="F138" i="66"/>
  <c r="G137" i="66"/>
  <c r="G132" i="66"/>
  <c r="F140" i="66" l="1"/>
  <c r="G140" i="66"/>
  <c r="E88" i="52" l="1"/>
  <c r="E627" i="58" l="1"/>
  <c r="J435" i="58" l="1"/>
  <c r="I435" i="58"/>
  <c r="H435" i="58"/>
  <c r="G435" i="58"/>
  <c r="E617" i="58"/>
  <c r="E615" i="58"/>
  <c r="E673" i="58"/>
  <c r="E671" i="58"/>
  <c r="D60" i="60" l="1"/>
  <c r="D40" i="60"/>
  <c r="D19" i="60"/>
  <c r="E188" i="58" l="1"/>
  <c r="E661" i="58"/>
  <c r="E653" i="58"/>
  <c r="E643" i="58"/>
  <c r="E633" i="58"/>
  <c r="E605" i="58"/>
  <c r="E595" i="58"/>
  <c r="E655" i="58" l="1"/>
  <c r="B6" i="53" l="1"/>
  <c r="E58" i="58" l="1" a="1"/>
  <c r="B7" i="53"/>
  <c r="B8" i="53"/>
  <c r="B9" i="53" s="1"/>
  <c r="B10" i="53" s="1"/>
  <c r="C1" i="50"/>
  <c r="G13" i="58" l="1" a="1"/>
  <c r="H13" i="58" a="1"/>
  <c r="E13" i="58" a="1"/>
  <c r="G58" i="58" a="1"/>
  <c r="I13" i="58" a="1"/>
  <c r="P13" i="58" a="1"/>
  <c r="J58" i="58" a="1"/>
  <c r="H58" i="58" a="1"/>
  <c r="I58" i="58" a="1"/>
  <c r="E87" i="58"/>
  <c r="E67" i="58"/>
  <c r="E80" i="58"/>
  <c r="E73" i="58"/>
  <c r="E88" i="58"/>
  <c r="E85" i="58"/>
  <c r="E82" i="58"/>
  <c r="E94" i="58"/>
  <c r="E78" i="58"/>
  <c r="E59" i="58"/>
  <c r="E62" i="58"/>
  <c r="E83" i="58"/>
  <c r="E65" i="58"/>
  <c r="E60" i="58"/>
  <c r="E68" i="58"/>
  <c r="E75" i="58"/>
  <c r="E74" i="58"/>
  <c r="E72" i="58"/>
  <c r="E76" i="58"/>
  <c r="E95" i="58"/>
  <c r="E79" i="58"/>
  <c r="E90" i="58"/>
  <c r="E64" i="58"/>
  <c r="E61" i="58"/>
  <c r="E92" i="58"/>
  <c r="E69" i="58"/>
  <c r="E89" i="58"/>
  <c r="E91" i="58"/>
  <c r="E77" i="58"/>
  <c r="E81" i="58"/>
  <c r="E63" i="58"/>
  <c r="E66" i="58"/>
  <c r="E70" i="58"/>
  <c r="E71" i="58"/>
  <c r="E86" i="58"/>
  <c r="E58" i="58"/>
  <c r="E93" i="58"/>
  <c r="E84" i="58"/>
  <c r="J13" i="58" a="1"/>
  <c r="P58" i="58" a="1"/>
  <c r="K13" i="58" a="1"/>
  <c r="K58" i="58" a="1"/>
  <c r="B11" i="53"/>
  <c r="J61" i="58" l="1"/>
  <c r="J89" i="58"/>
  <c r="J93" i="58"/>
  <c r="J81" i="58"/>
  <c r="J94" i="58"/>
  <c r="J70" i="58"/>
  <c r="J83" i="58"/>
  <c r="J77" i="58"/>
  <c r="J86" i="58"/>
  <c r="J58" i="58"/>
  <c r="J68" i="58"/>
  <c r="J82" i="58"/>
  <c r="J69" i="58"/>
  <c r="J75" i="58"/>
  <c r="J92" i="58"/>
  <c r="J80" i="58"/>
  <c r="J60" i="58"/>
  <c r="J64" i="58"/>
  <c r="J59" i="58"/>
  <c r="J90" i="58"/>
  <c r="J88" i="58"/>
  <c r="J66" i="58"/>
  <c r="J65" i="58"/>
  <c r="J62" i="58"/>
  <c r="J71" i="58"/>
  <c r="J78" i="58"/>
  <c r="J76" i="58"/>
  <c r="J74" i="58"/>
  <c r="J85" i="58"/>
  <c r="J73" i="58"/>
  <c r="J79" i="58"/>
  <c r="J72" i="58"/>
  <c r="J84" i="58"/>
  <c r="J67" i="58"/>
  <c r="J95" i="58"/>
  <c r="J91" i="58"/>
  <c r="J63" i="58"/>
  <c r="J87" i="58"/>
  <c r="K38" i="58"/>
  <c r="K37" i="58"/>
  <c r="K13" i="58"/>
  <c r="K34" i="58"/>
  <c r="K41" i="58"/>
  <c r="K39" i="58"/>
  <c r="K42" i="58"/>
  <c r="K15" i="58"/>
  <c r="K18" i="58"/>
  <c r="K25" i="58"/>
  <c r="K36" i="58"/>
  <c r="K14" i="58"/>
  <c r="K45" i="58"/>
  <c r="K47" i="58"/>
  <c r="K23" i="58"/>
  <c r="K35" i="58"/>
  <c r="K50" i="58"/>
  <c r="K29" i="58"/>
  <c r="K19" i="58"/>
  <c r="K26" i="58"/>
  <c r="K48" i="58"/>
  <c r="K21" i="58"/>
  <c r="K22" i="58"/>
  <c r="K17" i="58"/>
  <c r="K31" i="58"/>
  <c r="K30" i="58"/>
  <c r="K46" i="58"/>
  <c r="K49" i="58"/>
  <c r="K28" i="58"/>
  <c r="K43" i="58"/>
  <c r="K40" i="58"/>
  <c r="K24" i="58"/>
  <c r="K16" i="58"/>
  <c r="K20" i="58"/>
  <c r="K27" i="58"/>
  <c r="K44" i="58"/>
  <c r="K32" i="58"/>
  <c r="K33" i="58"/>
  <c r="H39" i="58"/>
  <c r="H29" i="58"/>
  <c r="H30" i="58"/>
  <c r="H50" i="58"/>
  <c r="H19" i="58"/>
  <c r="H45" i="58"/>
  <c r="H34" i="58"/>
  <c r="H26" i="58"/>
  <c r="H18" i="58"/>
  <c r="H41" i="58"/>
  <c r="H44" i="58"/>
  <c r="H43" i="58"/>
  <c r="H40" i="58"/>
  <c r="H37" i="58"/>
  <c r="H17" i="58"/>
  <c r="H24" i="58"/>
  <c r="H21" i="58"/>
  <c r="H28" i="58"/>
  <c r="H16" i="58"/>
  <c r="H31" i="58"/>
  <c r="H32" i="58"/>
  <c r="H46" i="58"/>
  <c r="H42" i="58"/>
  <c r="H13" i="58"/>
  <c r="H49" i="58"/>
  <c r="H25" i="58"/>
  <c r="H20" i="58"/>
  <c r="H15" i="58"/>
  <c r="H27" i="58"/>
  <c r="H38" i="58"/>
  <c r="H23" i="58"/>
  <c r="H33" i="58"/>
  <c r="H35" i="58"/>
  <c r="H14" i="58"/>
  <c r="H22" i="58"/>
  <c r="H47" i="58"/>
  <c r="H36" i="58"/>
  <c r="H48" i="58"/>
  <c r="P76" i="58"/>
  <c r="P89" i="58"/>
  <c r="P63" i="58"/>
  <c r="P62" i="58"/>
  <c r="P85" i="58"/>
  <c r="P77" i="58"/>
  <c r="P64" i="58"/>
  <c r="P81" i="58"/>
  <c r="P83" i="58"/>
  <c r="P58" i="58"/>
  <c r="P66" i="58"/>
  <c r="P73" i="58"/>
  <c r="P61" i="58"/>
  <c r="P78" i="58"/>
  <c r="P95" i="58"/>
  <c r="P67" i="58"/>
  <c r="P94" i="58"/>
  <c r="P71" i="58"/>
  <c r="P75" i="58"/>
  <c r="P72" i="58"/>
  <c r="P87" i="58"/>
  <c r="P60" i="58"/>
  <c r="P90" i="58"/>
  <c r="P74" i="58"/>
  <c r="P70" i="58"/>
  <c r="P84" i="58"/>
  <c r="P69" i="58"/>
  <c r="P92" i="58"/>
  <c r="P59" i="58"/>
  <c r="P86" i="58"/>
  <c r="P93" i="58"/>
  <c r="P88" i="58"/>
  <c r="P68" i="58"/>
  <c r="P65" i="58"/>
  <c r="P91" i="58"/>
  <c r="P80" i="58"/>
  <c r="P79" i="58"/>
  <c r="P82" i="58"/>
  <c r="P38" i="58"/>
  <c r="P128" i="58" s="1"/>
  <c r="P47" i="58"/>
  <c r="P137" i="58" s="1"/>
  <c r="P36" i="58"/>
  <c r="P126" i="58" s="1"/>
  <c r="P48" i="58"/>
  <c r="P13" i="58"/>
  <c r="P22" i="58"/>
  <c r="P112" i="58" s="1"/>
  <c r="P14" i="58"/>
  <c r="P104" i="58" s="1"/>
  <c r="P45" i="58"/>
  <c r="P34" i="58"/>
  <c r="P124" i="58" s="1"/>
  <c r="P23" i="58"/>
  <c r="P113" i="58" s="1"/>
  <c r="P50" i="58"/>
  <c r="P39" i="58"/>
  <c r="P129" i="58" s="1"/>
  <c r="P44" i="58"/>
  <c r="P134" i="58" s="1"/>
  <c r="P18" i="58"/>
  <c r="P108" i="58" s="1"/>
  <c r="P26" i="58"/>
  <c r="P116" i="58" s="1"/>
  <c r="P28" i="58"/>
  <c r="P118" i="58" s="1"/>
  <c r="P42" i="58"/>
  <c r="P132" i="58" s="1"/>
  <c r="P35" i="58"/>
  <c r="P125" i="58" s="1"/>
  <c r="P17" i="58"/>
  <c r="P107" i="58" s="1"/>
  <c r="P31" i="58"/>
  <c r="P121" i="58" s="1"/>
  <c r="P49" i="58"/>
  <c r="P139" i="58" s="1"/>
  <c r="P19" i="58"/>
  <c r="P109" i="58" s="1"/>
  <c r="P43" i="58"/>
  <c r="P133" i="58" s="1"/>
  <c r="P29" i="58"/>
  <c r="P119" i="58" s="1"/>
  <c r="P15" i="58"/>
  <c r="P105" i="58" s="1"/>
  <c r="P30" i="58"/>
  <c r="P120" i="58" s="1"/>
  <c r="P41" i="58"/>
  <c r="P131" i="58" s="1"/>
  <c r="P46" i="58"/>
  <c r="P40" i="58"/>
  <c r="P130" i="58" s="1"/>
  <c r="P37" i="58"/>
  <c r="P127" i="58" s="1"/>
  <c r="P27" i="58"/>
  <c r="P117" i="58" s="1"/>
  <c r="P25" i="58"/>
  <c r="P115" i="58" s="1"/>
  <c r="P20" i="58"/>
  <c r="P110" i="58" s="1"/>
  <c r="P16" i="58"/>
  <c r="P106" i="58" s="1"/>
  <c r="P21" i="58"/>
  <c r="P111" i="58" s="1"/>
  <c r="P33" i="58"/>
  <c r="P123" i="58" s="1"/>
  <c r="P24" i="58"/>
  <c r="P32" i="58"/>
  <c r="P122" i="58" s="1"/>
  <c r="J42" i="58"/>
  <c r="J132" i="58" s="1"/>
  <c r="J18" i="58"/>
  <c r="J108" i="58" s="1"/>
  <c r="J48" i="58"/>
  <c r="J138" i="58" s="1"/>
  <c r="J41" i="58"/>
  <c r="J131" i="58" s="1"/>
  <c r="J28" i="58"/>
  <c r="J118" i="58" s="1"/>
  <c r="J14" i="58"/>
  <c r="J104" i="58" s="1"/>
  <c r="J47" i="58"/>
  <c r="J137" i="58" s="1"/>
  <c r="J32" i="58"/>
  <c r="J122" i="58" s="1"/>
  <c r="J45" i="58"/>
  <c r="J135" i="58" s="1"/>
  <c r="J20" i="58"/>
  <c r="J110" i="58" s="1"/>
  <c r="J17" i="58"/>
  <c r="J107" i="58" s="1"/>
  <c r="J46" i="58"/>
  <c r="J136" i="58" s="1"/>
  <c r="J49" i="58"/>
  <c r="J139" i="58" s="1"/>
  <c r="J13" i="58"/>
  <c r="J38" i="58"/>
  <c r="J128" i="58" s="1"/>
  <c r="J34" i="58"/>
  <c r="J124" i="58" s="1"/>
  <c r="J43" i="58"/>
  <c r="J133" i="58" s="1"/>
  <c r="J19" i="58"/>
  <c r="J109" i="58" s="1"/>
  <c r="J50" i="58"/>
  <c r="J140" i="58" s="1"/>
  <c r="J15" i="58"/>
  <c r="J105" i="58" s="1"/>
  <c r="J27" i="58"/>
  <c r="J117" i="58" s="1"/>
  <c r="J22" i="58"/>
  <c r="J112" i="58" s="1"/>
  <c r="J16" i="58"/>
  <c r="J106" i="58" s="1"/>
  <c r="J44" i="58"/>
  <c r="J134" i="58" s="1"/>
  <c r="J30" i="58"/>
  <c r="J120" i="58" s="1"/>
  <c r="J21" i="58"/>
  <c r="J111" i="58" s="1"/>
  <c r="J33" i="58"/>
  <c r="J123" i="58" s="1"/>
  <c r="J39" i="58"/>
  <c r="J129" i="58" s="1"/>
  <c r="J36" i="58"/>
  <c r="J126" i="58" s="1"/>
  <c r="J29" i="58"/>
  <c r="J119" i="58" s="1"/>
  <c r="J23" i="58"/>
  <c r="J113" i="58" s="1"/>
  <c r="J40" i="58"/>
  <c r="J130" i="58" s="1"/>
  <c r="J26" i="58"/>
  <c r="J116" i="58" s="1"/>
  <c r="J25" i="58"/>
  <c r="J115" i="58" s="1"/>
  <c r="J35" i="58"/>
  <c r="J125" i="58" s="1"/>
  <c r="J37" i="58"/>
  <c r="J127" i="58" s="1"/>
  <c r="J31" i="58"/>
  <c r="J121" i="58" s="1"/>
  <c r="J24" i="58"/>
  <c r="J114" i="58" s="1"/>
  <c r="I75" i="58"/>
  <c r="I77" i="58"/>
  <c r="I86" i="58"/>
  <c r="I59" i="58"/>
  <c r="I88" i="58"/>
  <c r="I81" i="58"/>
  <c r="I64" i="58"/>
  <c r="I63" i="58"/>
  <c r="I68" i="58"/>
  <c r="I89" i="58"/>
  <c r="I61" i="58"/>
  <c r="I60" i="58"/>
  <c r="I76" i="58"/>
  <c r="I84" i="58"/>
  <c r="I67" i="58"/>
  <c r="I90" i="58"/>
  <c r="I91" i="58"/>
  <c r="I58" i="58"/>
  <c r="I72" i="58"/>
  <c r="I73" i="58"/>
  <c r="I62" i="58"/>
  <c r="I79" i="58"/>
  <c r="I65" i="58"/>
  <c r="I92" i="58"/>
  <c r="I82" i="58"/>
  <c r="I74" i="58"/>
  <c r="I71" i="58"/>
  <c r="I80" i="58"/>
  <c r="I83" i="58"/>
  <c r="I70" i="58"/>
  <c r="I85" i="58"/>
  <c r="I95" i="58"/>
  <c r="I66" i="58"/>
  <c r="I87" i="58"/>
  <c r="I69" i="58"/>
  <c r="I93" i="58"/>
  <c r="I78" i="58"/>
  <c r="I94" i="58"/>
  <c r="I30" i="58"/>
  <c r="I44" i="58"/>
  <c r="I134" i="58" s="1"/>
  <c r="I23" i="58"/>
  <c r="I113" i="58" s="1"/>
  <c r="I28" i="58"/>
  <c r="I118" i="58" s="1"/>
  <c r="I27" i="58"/>
  <c r="I24" i="58"/>
  <c r="I114" i="58" s="1"/>
  <c r="I50" i="58"/>
  <c r="I140" i="58" s="1"/>
  <c r="I33" i="58"/>
  <c r="I31" i="58"/>
  <c r="I14" i="58"/>
  <c r="I104" i="58" s="1"/>
  <c r="I48" i="58"/>
  <c r="I138" i="58" s="1"/>
  <c r="I18" i="58"/>
  <c r="I108" i="58" s="1"/>
  <c r="I35" i="58"/>
  <c r="I125" i="58" s="1"/>
  <c r="I26" i="58"/>
  <c r="I116" i="58" s="1"/>
  <c r="I40" i="58"/>
  <c r="I130" i="58" s="1"/>
  <c r="I17" i="58"/>
  <c r="I20" i="58"/>
  <c r="I110" i="58" s="1"/>
  <c r="I46" i="58"/>
  <c r="I136" i="58" s="1"/>
  <c r="I37" i="58"/>
  <c r="I127" i="58" s="1"/>
  <c r="I21" i="58"/>
  <c r="I16" i="58"/>
  <c r="I106" i="58" s="1"/>
  <c r="I47" i="58"/>
  <c r="I137" i="58" s="1"/>
  <c r="I41" i="58"/>
  <c r="I131" i="58" s="1"/>
  <c r="I32" i="58"/>
  <c r="I49" i="58"/>
  <c r="I39" i="58"/>
  <c r="I129" i="58" s="1"/>
  <c r="I29" i="58"/>
  <c r="I119" i="58" s="1"/>
  <c r="I13" i="58"/>
  <c r="I38" i="58"/>
  <c r="I19" i="58"/>
  <c r="I109" i="58" s="1"/>
  <c r="I42" i="58"/>
  <c r="I132" i="58" s="1"/>
  <c r="I22" i="58"/>
  <c r="I112" i="58" s="1"/>
  <c r="I15" i="58"/>
  <c r="I105" i="58" s="1"/>
  <c r="I34" i="58"/>
  <c r="I124" i="58" s="1"/>
  <c r="I36" i="58"/>
  <c r="I126" i="58" s="1"/>
  <c r="I43" i="58"/>
  <c r="I25" i="58"/>
  <c r="I45" i="58"/>
  <c r="I135" i="58" s="1"/>
  <c r="G79" i="58"/>
  <c r="G94" i="58"/>
  <c r="G82" i="58"/>
  <c r="G78" i="58"/>
  <c r="G62" i="58"/>
  <c r="G64" i="58"/>
  <c r="F64" i="58" s="1"/>
  <c r="G65" i="58"/>
  <c r="G63" i="58"/>
  <c r="G74" i="58"/>
  <c r="G81" i="58"/>
  <c r="F81" i="58" s="1"/>
  <c r="G93" i="58"/>
  <c r="G76" i="58"/>
  <c r="G72" i="58"/>
  <c r="G58" i="58"/>
  <c r="G91" i="58"/>
  <c r="F91" i="58" s="1"/>
  <c r="G77" i="58"/>
  <c r="G71" i="58"/>
  <c r="G83" i="58"/>
  <c r="F83" i="58" s="1"/>
  <c r="G68" i="58"/>
  <c r="G86" i="58"/>
  <c r="G89" i="58"/>
  <c r="G95" i="58"/>
  <c r="G75" i="58"/>
  <c r="F75" i="58" s="1"/>
  <c r="G87" i="58"/>
  <c r="G59" i="58"/>
  <c r="G67" i="58"/>
  <c r="G60" i="58"/>
  <c r="G61" i="58"/>
  <c r="G73" i="58"/>
  <c r="G90" i="58"/>
  <c r="F90" i="58" s="1"/>
  <c r="G84" i="58"/>
  <c r="F84" i="58" s="1"/>
  <c r="G66" i="58"/>
  <c r="G70" i="58"/>
  <c r="G69" i="58"/>
  <c r="G88" i="58"/>
  <c r="G80" i="58"/>
  <c r="G85" i="58"/>
  <c r="G92" i="58"/>
  <c r="G31" i="58"/>
  <c r="G14" i="58"/>
  <c r="G36" i="58"/>
  <c r="G49" i="58"/>
  <c r="G46" i="58"/>
  <c r="G33" i="58"/>
  <c r="G19" i="58"/>
  <c r="G18" i="58"/>
  <c r="G17" i="58"/>
  <c r="G44" i="58"/>
  <c r="G21" i="58"/>
  <c r="G35" i="58"/>
  <c r="G26" i="58"/>
  <c r="G40" i="58"/>
  <c r="G32" i="58"/>
  <c r="G15" i="58"/>
  <c r="G30" i="58"/>
  <c r="G16" i="58"/>
  <c r="G38" i="58"/>
  <c r="G27" i="58"/>
  <c r="G42" i="58"/>
  <c r="G29" i="58"/>
  <c r="G37" i="58"/>
  <c r="G50" i="58"/>
  <c r="G22" i="58"/>
  <c r="G34" i="58"/>
  <c r="G13" i="58"/>
  <c r="G45" i="58"/>
  <c r="G20" i="58"/>
  <c r="G41" i="58"/>
  <c r="G28" i="58"/>
  <c r="G24" i="58"/>
  <c r="G48" i="58"/>
  <c r="G25" i="58"/>
  <c r="G39" i="58"/>
  <c r="G47" i="58"/>
  <c r="G43" i="58"/>
  <c r="G23" i="58"/>
  <c r="K76" i="58"/>
  <c r="K60" i="58"/>
  <c r="K71" i="58"/>
  <c r="K91" i="58"/>
  <c r="K67" i="58"/>
  <c r="K74" i="58"/>
  <c r="K63" i="58"/>
  <c r="K61" i="58"/>
  <c r="K69" i="58"/>
  <c r="K58" i="58"/>
  <c r="K70" i="58"/>
  <c r="K83" i="58"/>
  <c r="K86" i="58"/>
  <c r="K66" i="58"/>
  <c r="K64" i="58"/>
  <c r="K65" i="58"/>
  <c r="K89" i="58"/>
  <c r="K90" i="58"/>
  <c r="K88" i="58"/>
  <c r="K68" i="58"/>
  <c r="K87" i="58"/>
  <c r="K79" i="58"/>
  <c r="K93" i="58"/>
  <c r="K95" i="58"/>
  <c r="K94" i="58"/>
  <c r="K85" i="58"/>
  <c r="K84" i="58"/>
  <c r="K72" i="58"/>
  <c r="K80" i="58"/>
  <c r="K82" i="58"/>
  <c r="K73" i="58"/>
  <c r="K75" i="58"/>
  <c r="K81" i="58"/>
  <c r="K77" i="58"/>
  <c r="K78" i="58"/>
  <c r="K92" i="58"/>
  <c r="K59" i="58"/>
  <c r="K62" i="58"/>
  <c r="E96" i="58"/>
  <c r="H80" i="58"/>
  <c r="H84" i="58"/>
  <c r="H94" i="58"/>
  <c r="H95" i="58"/>
  <c r="H71" i="58"/>
  <c r="H59" i="58"/>
  <c r="H69" i="58"/>
  <c r="H61" i="58"/>
  <c r="H62" i="58"/>
  <c r="H58" i="58"/>
  <c r="H74" i="58"/>
  <c r="H68" i="58"/>
  <c r="H66" i="58"/>
  <c r="H70" i="58"/>
  <c r="H87" i="58"/>
  <c r="H63" i="58"/>
  <c r="H79" i="58"/>
  <c r="H90" i="58"/>
  <c r="H88" i="58"/>
  <c r="H72" i="58"/>
  <c r="H91" i="58"/>
  <c r="H64" i="58"/>
  <c r="H73" i="58"/>
  <c r="H60" i="58"/>
  <c r="H83" i="58"/>
  <c r="H76" i="58"/>
  <c r="H89" i="58"/>
  <c r="H82" i="58"/>
  <c r="H77" i="58"/>
  <c r="H86" i="58"/>
  <c r="H92" i="58"/>
  <c r="H65" i="58"/>
  <c r="H85" i="58"/>
  <c r="H81" i="58"/>
  <c r="H67" i="58"/>
  <c r="H93" i="58"/>
  <c r="H75" i="58"/>
  <c r="H78" i="58"/>
  <c r="E44" i="58"/>
  <c r="E134" i="58" s="1"/>
  <c r="E39" i="58"/>
  <c r="E129" i="58" s="1"/>
  <c r="E47" i="58"/>
  <c r="E137" i="58" s="1"/>
  <c r="E21" i="58"/>
  <c r="E111" i="58" s="1"/>
  <c r="E41" i="58"/>
  <c r="E131" i="58" s="1"/>
  <c r="E40" i="58"/>
  <c r="E130" i="58" s="1"/>
  <c r="E16" i="58"/>
  <c r="E106" i="58" s="1"/>
  <c r="E37" i="58"/>
  <c r="E127" i="58" s="1"/>
  <c r="E31" i="58"/>
  <c r="E121" i="58" s="1"/>
  <c r="E50" i="58"/>
  <c r="E140" i="58" s="1"/>
  <c r="E26" i="58"/>
  <c r="E116" i="58" s="1"/>
  <c r="E33" i="58"/>
  <c r="E123" i="58" s="1"/>
  <c r="E13" i="58"/>
  <c r="E17" i="58"/>
  <c r="E107" i="58" s="1"/>
  <c r="E35" i="58"/>
  <c r="E125" i="58" s="1"/>
  <c r="E42" i="58"/>
  <c r="E132" i="58" s="1"/>
  <c r="E48" i="58"/>
  <c r="E138" i="58" s="1"/>
  <c r="E19" i="58"/>
  <c r="E109" i="58" s="1"/>
  <c r="E23" i="58"/>
  <c r="E113" i="58" s="1"/>
  <c r="E25" i="58"/>
  <c r="E115" i="58" s="1"/>
  <c r="E20" i="58"/>
  <c r="E110" i="58" s="1"/>
  <c r="E34" i="58"/>
  <c r="E124" i="58" s="1"/>
  <c r="E18" i="58"/>
  <c r="E108" i="58" s="1"/>
  <c r="E28" i="58"/>
  <c r="E118" i="58" s="1"/>
  <c r="E29" i="58"/>
  <c r="E119" i="58" s="1"/>
  <c r="E36" i="58"/>
  <c r="E126" i="58" s="1"/>
  <c r="E30" i="58"/>
  <c r="E120" i="58" s="1"/>
  <c r="E43" i="58"/>
  <c r="E133" i="58" s="1"/>
  <c r="E38" i="58"/>
  <c r="E128" i="58" s="1"/>
  <c r="E15" i="58"/>
  <c r="E105" i="58" s="1"/>
  <c r="E22" i="58"/>
  <c r="E112" i="58" s="1"/>
  <c r="E24" i="58"/>
  <c r="E114" i="58" s="1"/>
  <c r="E49" i="58"/>
  <c r="E139" i="58" s="1"/>
  <c r="E27" i="58"/>
  <c r="E117" i="58" s="1"/>
  <c r="E46" i="58"/>
  <c r="E136" i="58" s="1"/>
  <c r="E14" i="58"/>
  <c r="E104" i="58" s="1"/>
  <c r="E45" i="58"/>
  <c r="E135" i="58" s="1"/>
  <c r="E32" i="58"/>
  <c r="E122" i="58" s="1"/>
  <c r="B12" i="53"/>
  <c r="L58" i="58" l="1" a="1"/>
  <c r="K96" i="58"/>
  <c r="G129" i="58"/>
  <c r="F39" i="58"/>
  <c r="F129" i="58" s="1"/>
  <c r="G118" i="58"/>
  <c r="F28" i="58"/>
  <c r="G51" i="58"/>
  <c r="G103" i="58"/>
  <c r="F13" i="58"/>
  <c r="G127" i="58"/>
  <c r="F37" i="58"/>
  <c r="G128" i="58"/>
  <c r="F38" i="58"/>
  <c r="F128" i="58" s="1"/>
  <c r="G122" i="58"/>
  <c r="F32" i="58"/>
  <c r="F21" i="58"/>
  <c r="G111" i="58"/>
  <c r="G109" i="58"/>
  <c r="F19" i="58"/>
  <c r="F109" i="58" s="1"/>
  <c r="F92" i="58"/>
  <c r="F69" i="58"/>
  <c r="F67" i="58"/>
  <c r="F58" i="58"/>
  <c r="G96" i="58"/>
  <c r="H96" i="58"/>
  <c r="G113" i="58"/>
  <c r="F23" i="58"/>
  <c r="F25" i="58"/>
  <c r="G115" i="58"/>
  <c r="F41" i="58"/>
  <c r="G131" i="58"/>
  <c r="F34" i="58"/>
  <c r="G124" i="58"/>
  <c r="F29" i="58"/>
  <c r="G119" i="58"/>
  <c r="F16" i="58"/>
  <c r="G106" i="58"/>
  <c r="G130" i="58"/>
  <c r="F40" i="58"/>
  <c r="G134" i="58"/>
  <c r="F44" i="58"/>
  <c r="F134" i="58" s="1"/>
  <c r="G123" i="58"/>
  <c r="F33" i="58"/>
  <c r="F14" i="58"/>
  <c r="G104" i="58"/>
  <c r="F85" i="58"/>
  <c r="F70" i="58"/>
  <c r="F73" i="58"/>
  <c r="F59" i="58"/>
  <c r="F89" i="58"/>
  <c r="F71" i="58"/>
  <c r="F72" i="58"/>
  <c r="F74" i="58"/>
  <c r="F62" i="58"/>
  <c r="F79" i="58"/>
  <c r="I115" i="58"/>
  <c r="I128" i="58"/>
  <c r="I139" i="58"/>
  <c r="I121" i="58"/>
  <c r="I117" i="58"/>
  <c r="I120" i="58"/>
  <c r="P114" i="58"/>
  <c r="P51" i="58"/>
  <c r="P103" i="58"/>
  <c r="P96" i="58"/>
  <c r="H137" i="58"/>
  <c r="H123" i="58"/>
  <c r="H105" i="58"/>
  <c r="H103" i="58"/>
  <c r="H51" i="58"/>
  <c r="H121" i="58"/>
  <c r="H114" i="58"/>
  <c r="H133" i="58"/>
  <c r="H116" i="58"/>
  <c r="H140" i="58"/>
  <c r="K134" i="58"/>
  <c r="K114" i="58"/>
  <c r="K139" i="58"/>
  <c r="K107" i="58"/>
  <c r="K116" i="58"/>
  <c r="K125" i="58"/>
  <c r="K104" i="58"/>
  <c r="K105" i="58"/>
  <c r="K124" i="58"/>
  <c r="G133" i="58"/>
  <c r="F43" i="58"/>
  <c r="G138" i="58"/>
  <c r="F48" i="58"/>
  <c r="G110" i="58"/>
  <c r="F20" i="58"/>
  <c r="F22" i="58"/>
  <c r="F112" i="58" s="1"/>
  <c r="G112" i="58"/>
  <c r="G132" i="58"/>
  <c r="F42" i="58"/>
  <c r="F30" i="58"/>
  <c r="F120" i="58" s="1"/>
  <c r="G120" i="58"/>
  <c r="G116" i="58"/>
  <c r="F26" i="58"/>
  <c r="F116" i="58" s="1"/>
  <c r="G107" i="58"/>
  <c r="F17" i="58"/>
  <c r="F107" i="58" s="1"/>
  <c r="G136" i="58"/>
  <c r="F46" i="58"/>
  <c r="F136" i="58" s="1"/>
  <c r="G121" i="58"/>
  <c r="F31" i="58"/>
  <c r="F121" i="58" s="1"/>
  <c r="F80" i="58"/>
  <c r="F66" i="58"/>
  <c r="F61" i="58"/>
  <c r="F87" i="58"/>
  <c r="F86" i="58"/>
  <c r="F77" i="58"/>
  <c r="F76" i="58"/>
  <c r="F63" i="58"/>
  <c r="F78" i="58"/>
  <c r="I133" i="58"/>
  <c r="I103" i="58"/>
  <c r="I51" i="58"/>
  <c r="I122" i="58"/>
  <c r="I111" i="58"/>
  <c r="I107" i="58"/>
  <c r="I123" i="58"/>
  <c r="P136" i="58"/>
  <c r="P135" i="58"/>
  <c r="P138" i="58"/>
  <c r="H112" i="58"/>
  <c r="H113" i="58"/>
  <c r="H110" i="58"/>
  <c r="H132" i="58"/>
  <c r="H106" i="58"/>
  <c r="H107" i="58"/>
  <c r="H134" i="58"/>
  <c r="H124" i="58"/>
  <c r="H120" i="58"/>
  <c r="K117" i="58"/>
  <c r="K130" i="58"/>
  <c r="K136" i="58"/>
  <c r="K112" i="58"/>
  <c r="K109" i="58"/>
  <c r="K113" i="58"/>
  <c r="K126" i="58"/>
  <c r="K132" i="58"/>
  <c r="K103" i="58"/>
  <c r="K51" i="58"/>
  <c r="L13" i="58" a="1"/>
  <c r="J96" i="58"/>
  <c r="F47" i="58"/>
  <c r="F137" i="58" s="1"/>
  <c r="G137" i="58"/>
  <c r="G114" i="58"/>
  <c r="F24" i="58"/>
  <c r="F114" i="58" s="1"/>
  <c r="G135" i="58"/>
  <c r="F45" i="58"/>
  <c r="F135" i="58" s="1"/>
  <c r="G140" i="58"/>
  <c r="F50" i="58"/>
  <c r="G117" i="58"/>
  <c r="F27" i="58"/>
  <c r="F117" i="58" s="1"/>
  <c r="G105" i="58"/>
  <c r="F15" i="58"/>
  <c r="F35" i="58"/>
  <c r="G125" i="58"/>
  <c r="G108" i="58"/>
  <c r="F18" i="58"/>
  <c r="F49" i="58"/>
  <c r="G139" i="58"/>
  <c r="F88" i="58"/>
  <c r="F60" i="58"/>
  <c r="F68" i="58"/>
  <c r="F93" i="58"/>
  <c r="F65" i="58"/>
  <c r="F82" i="58"/>
  <c r="I96" i="58"/>
  <c r="J103" i="58"/>
  <c r="J491" i="58" s="1" a="1"/>
  <c r="J51" i="58"/>
  <c r="P140" i="58"/>
  <c r="H138" i="58"/>
  <c r="H104" i="58"/>
  <c r="H128" i="58"/>
  <c r="H115" i="58"/>
  <c r="H136" i="58"/>
  <c r="H118" i="58"/>
  <c r="H127" i="58"/>
  <c r="H131" i="58"/>
  <c r="H135" i="58"/>
  <c r="H119" i="58"/>
  <c r="K123" i="58"/>
  <c r="K110" i="58"/>
  <c r="K133" i="58"/>
  <c r="K120" i="58"/>
  <c r="K111" i="58"/>
  <c r="K119" i="58"/>
  <c r="K137" i="58"/>
  <c r="K115" i="58"/>
  <c r="K129" i="58"/>
  <c r="K127" i="58"/>
  <c r="E51" i="58"/>
  <c r="F36" i="58"/>
  <c r="F126" i="58" s="1"/>
  <c r="G126" i="58"/>
  <c r="F95" i="58"/>
  <c r="F94" i="58"/>
  <c r="H126" i="58"/>
  <c r="H125" i="58"/>
  <c r="H117" i="58"/>
  <c r="H139" i="58"/>
  <c r="H122" i="58"/>
  <c r="H111" i="58"/>
  <c r="H130" i="58"/>
  <c r="H108" i="58"/>
  <c r="H109" i="58"/>
  <c r="H129" i="58"/>
  <c r="K122" i="58"/>
  <c r="K106" i="58"/>
  <c r="K118" i="58"/>
  <c r="K121" i="58"/>
  <c r="K138" i="58"/>
  <c r="K140" i="58"/>
  <c r="K135" i="58"/>
  <c r="K108" i="58"/>
  <c r="K131" i="58"/>
  <c r="K128" i="58"/>
  <c r="B13" i="53"/>
  <c r="E103" i="58"/>
  <c r="I491" i="58" l="1" a="1"/>
  <c r="F138" i="58"/>
  <c r="F96" i="58"/>
  <c r="F122" i="58"/>
  <c r="F127" i="58"/>
  <c r="J491" i="58"/>
  <c r="J500" i="58"/>
  <c r="J518" i="58"/>
  <c r="J521" i="58"/>
  <c r="J524" i="58"/>
  <c r="J508" i="58"/>
  <c r="J499" i="58"/>
  <c r="J494" i="58"/>
  <c r="J501" i="58"/>
  <c r="J526" i="58"/>
  <c r="J522" i="58"/>
  <c r="J509" i="58"/>
  <c r="J515" i="58"/>
  <c r="J513" i="58"/>
  <c r="J504" i="58"/>
  <c r="J527" i="58"/>
  <c r="J507" i="58"/>
  <c r="J497" i="58"/>
  <c r="J519" i="58"/>
  <c r="J493" i="58"/>
  <c r="J517" i="58"/>
  <c r="J525" i="58"/>
  <c r="J514" i="58"/>
  <c r="J506" i="58"/>
  <c r="J502" i="58"/>
  <c r="J505" i="58"/>
  <c r="J511" i="58"/>
  <c r="J495" i="58"/>
  <c r="J516" i="58"/>
  <c r="J528" i="58"/>
  <c r="J512" i="58"/>
  <c r="J520" i="58"/>
  <c r="J498" i="58"/>
  <c r="J510" i="58"/>
  <c r="J523" i="58"/>
  <c r="J496" i="58"/>
  <c r="J492" i="58"/>
  <c r="J503" i="58"/>
  <c r="F139" i="58"/>
  <c r="F125" i="58"/>
  <c r="P491" i="58" a="1"/>
  <c r="F104" i="58"/>
  <c r="F106" i="58"/>
  <c r="F124" i="58"/>
  <c r="F115" i="58"/>
  <c r="F118" i="58"/>
  <c r="F108" i="58"/>
  <c r="F105" i="58"/>
  <c r="F140" i="58"/>
  <c r="F132" i="58"/>
  <c r="F110" i="58"/>
  <c r="F133" i="58"/>
  <c r="F123" i="58"/>
  <c r="F130" i="58"/>
  <c r="F113" i="58"/>
  <c r="F103" i="58"/>
  <c r="E676" i="58" s="1"/>
  <c r="F51" i="58"/>
  <c r="H491" i="58" a="1"/>
  <c r="F119" i="58"/>
  <c r="F131" i="58"/>
  <c r="F111" i="58"/>
  <c r="G491" i="58" a="1"/>
  <c r="E491" i="58" a="1"/>
  <c r="B14" i="53"/>
  <c r="B15" i="53" l="1"/>
  <c r="H501" i="58"/>
  <c r="H522" i="58"/>
  <c r="H519" i="58"/>
  <c r="H502" i="58"/>
  <c r="H505" i="58"/>
  <c r="H514" i="58"/>
  <c r="H511" i="58"/>
  <c r="H506" i="58"/>
  <c r="H520" i="58"/>
  <c r="H496" i="58"/>
  <c r="H521" i="58"/>
  <c r="H498" i="58"/>
  <c r="H492" i="58"/>
  <c r="H494" i="58"/>
  <c r="H527" i="58"/>
  <c r="H495" i="58"/>
  <c r="H508" i="58"/>
  <c r="H524" i="58"/>
  <c r="H491" i="58"/>
  <c r="H493" i="58"/>
  <c r="H523" i="58"/>
  <c r="H512" i="58"/>
  <c r="H517" i="58"/>
  <c r="H500" i="58"/>
  <c r="H497" i="58"/>
  <c r="H510" i="58"/>
  <c r="H499" i="58"/>
  <c r="H503" i="58"/>
  <c r="H504" i="58"/>
  <c r="H518" i="58"/>
  <c r="H513" i="58"/>
  <c r="H526" i="58"/>
  <c r="H528" i="58"/>
  <c r="H515" i="58"/>
  <c r="H516" i="58"/>
  <c r="H507" i="58"/>
  <c r="H509" i="58"/>
  <c r="H525" i="58"/>
  <c r="I503" i="58"/>
  <c r="I510" i="58"/>
  <c r="I514" i="58"/>
  <c r="I500" i="58"/>
  <c r="I493" i="58"/>
  <c r="I495" i="58"/>
  <c r="I497" i="58"/>
  <c r="I501" i="58"/>
  <c r="I511" i="58"/>
  <c r="I498" i="58"/>
  <c r="I515" i="58"/>
  <c r="I508" i="58"/>
  <c r="I499" i="58"/>
  <c r="I509" i="58"/>
  <c r="I505" i="58"/>
  <c r="I512" i="58"/>
  <c r="I522" i="58"/>
  <c r="I506" i="58"/>
  <c r="I502" i="58"/>
  <c r="I524" i="58"/>
  <c r="I523" i="58"/>
  <c r="I492" i="58"/>
  <c r="I520" i="58"/>
  <c r="I527" i="58"/>
  <c r="I518" i="58"/>
  <c r="I513" i="58"/>
  <c r="I528" i="58"/>
  <c r="I496" i="58"/>
  <c r="I521" i="58"/>
  <c r="I526" i="58"/>
  <c r="I525" i="58"/>
  <c r="I507" i="58"/>
  <c r="I491" i="58"/>
  <c r="I516" i="58"/>
  <c r="I517" i="58"/>
  <c r="I519" i="58"/>
  <c r="I504" i="58"/>
  <c r="I494" i="58"/>
  <c r="G491" i="58"/>
  <c r="G501" i="58"/>
  <c r="G513" i="58"/>
  <c r="G506" i="58"/>
  <c r="G503" i="58"/>
  <c r="G517" i="58"/>
  <c r="G509" i="58"/>
  <c r="G526" i="58"/>
  <c r="G495" i="58"/>
  <c r="G497" i="58"/>
  <c r="G529" i="58" s="1"/>
  <c r="G522" i="58"/>
  <c r="G515" i="58"/>
  <c r="G494" i="58"/>
  <c r="G516" i="58"/>
  <c r="G514" i="58"/>
  <c r="G523" i="58"/>
  <c r="G519" i="58"/>
  <c r="G510" i="58"/>
  <c r="G492" i="58"/>
  <c r="G504" i="58"/>
  <c r="G496" i="58"/>
  <c r="G500" i="58"/>
  <c r="G498" i="58"/>
  <c r="G511" i="58"/>
  <c r="G518" i="58"/>
  <c r="G527" i="58"/>
  <c r="G512" i="58"/>
  <c r="G524" i="58"/>
  <c r="G499" i="58"/>
  <c r="G525" i="58"/>
  <c r="G520" i="58"/>
  <c r="G493" i="58"/>
  <c r="G505" i="58"/>
  <c r="G528" i="58"/>
  <c r="G502" i="58"/>
  <c r="G521" i="58"/>
  <c r="G508" i="58"/>
  <c r="G507" i="58"/>
  <c r="E630" i="58"/>
  <c r="E636" i="58" s="1"/>
  <c r="P507" i="58"/>
  <c r="P516" i="58"/>
  <c r="P499" i="58"/>
  <c r="P493" i="58"/>
  <c r="P497" i="58"/>
  <c r="P517" i="58"/>
  <c r="P506" i="58"/>
  <c r="P528" i="58"/>
  <c r="P514" i="58"/>
  <c r="P492" i="58"/>
  <c r="P491" i="58"/>
  <c r="P523" i="58"/>
  <c r="P498" i="58"/>
  <c r="P512" i="58"/>
  <c r="P496" i="58"/>
  <c r="P502" i="58"/>
  <c r="P510" i="58"/>
  <c r="P513" i="58"/>
  <c r="P494" i="58"/>
  <c r="P524" i="58"/>
  <c r="P501" i="58"/>
  <c r="P525" i="58"/>
  <c r="P520" i="58"/>
  <c r="P505" i="58"/>
  <c r="P526" i="58"/>
  <c r="P504" i="58"/>
  <c r="P509" i="58"/>
  <c r="P519" i="58"/>
  <c r="P515" i="58"/>
  <c r="P511" i="58"/>
  <c r="P527" i="58"/>
  <c r="P518" i="58"/>
  <c r="P521" i="58"/>
  <c r="P508" i="58"/>
  <c r="P503" i="58"/>
  <c r="P522" i="58"/>
  <c r="P495" i="58"/>
  <c r="P500" i="58"/>
  <c r="E504" i="58"/>
  <c r="E502" i="58"/>
  <c r="E514" i="58"/>
  <c r="E518" i="58"/>
  <c r="E510" i="58"/>
  <c r="E516" i="58"/>
  <c r="E500" i="58"/>
  <c r="E508" i="58"/>
  <c r="E527" i="58"/>
  <c r="E507" i="58"/>
  <c r="E517" i="58"/>
  <c r="E526" i="58"/>
  <c r="E509" i="58"/>
  <c r="E492" i="58"/>
  <c r="E493" i="58"/>
  <c r="E506" i="58"/>
  <c r="E515" i="58"/>
  <c r="E496" i="58"/>
  <c r="E511" i="58"/>
  <c r="E501" i="58"/>
  <c r="E528" i="58"/>
  <c r="E524" i="58"/>
  <c r="E494" i="58"/>
  <c r="E498" i="58"/>
  <c r="E513" i="58"/>
  <c r="E505" i="58"/>
  <c r="E512" i="58"/>
  <c r="E521" i="58"/>
  <c r="E503" i="58"/>
  <c r="E525" i="58"/>
  <c r="E495" i="58"/>
  <c r="E520" i="58"/>
  <c r="E522" i="58"/>
  <c r="E499" i="58"/>
  <c r="E519" i="58"/>
  <c r="E523" i="58"/>
  <c r="E497" i="58"/>
  <c r="E491" i="58"/>
  <c r="P529" i="58" l="1"/>
  <c r="B16" i="53"/>
  <c r="D57" i="51" a="1"/>
  <c r="D13" i="51" a="1"/>
  <c r="E529" i="58"/>
  <c r="H529" i="58"/>
  <c r="I529" i="58"/>
  <c r="J529" i="58"/>
  <c r="T235" i="57" l="1" a="1"/>
  <c r="AL57" i="51" a="1"/>
  <c r="U334" i="51" a="1"/>
  <c r="AL13" i="51" a="1"/>
  <c r="AL653" i="51" a="1"/>
  <c r="U243" i="51" a="1"/>
  <c r="AL108" i="51" a="1"/>
  <c r="AL561" i="51" a="1"/>
  <c r="AL290" i="51" a="1"/>
  <c r="AL381" i="51" a="1"/>
  <c r="U199" i="51" a="1"/>
  <c r="AL697" i="51" a="1"/>
  <c r="AL243" i="51" a="1"/>
  <c r="T102" i="57" a="1"/>
  <c r="U290" i="51" a="1"/>
  <c r="U381" i="51" a="1"/>
  <c r="AL469" i="51" a="1"/>
  <c r="T190" i="57" a="1"/>
  <c r="AL152" i="51" a="1"/>
  <c r="U152" i="51" a="1"/>
  <c r="AJ235" i="57" a="1"/>
  <c r="T279" i="57" a="1"/>
  <c r="AL334" i="51" a="1"/>
  <c r="U517" i="51" a="1"/>
  <c r="AL517" i="51" a="1"/>
  <c r="T10" i="57" a="1"/>
  <c r="T58" i="57" a="1"/>
  <c r="D146" i="57" a="1"/>
  <c r="U425" i="51" a="1"/>
  <c r="U57" i="51" a="1"/>
  <c r="D10" i="57" a="1"/>
  <c r="D199" i="51" a="1"/>
  <c r="U13" i="51" a="1"/>
  <c r="D653" i="51" a="1"/>
  <c r="D290" i="51" a="1"/>
  <c r="U469" i="51" a="1"/>
  <c r="D235" i="57" a="1"/>
  <c r="AJ190" i="57" a="1"/>
  <c r="D152" i="51" a="1"/>
  <c r="D697" i="51" a="1"/>
  <c r="U108" i="51" a="1"/>
  <c r="D102" i="57" a="1"/>
  <c r="T146" i="57" a="1"/>
  <c r="D58" i="57" a="1"/>
  <c r="D425" i="51" a="1"/>
  <c r="U697" i="51" a="1"/>
  <c r="AJ146" i="57" a="1"/>
  <c r="AL425" i="51" a="1"/>
  <c r="D190" i="57" a="1"/>
  <c r="AJ10" i="57" a="1"/>
  <c r="D517" i="51" a="1"/>
  <c r="D469" i="51" a="1"/>
  <c r="D279" i="57" a="1"/>
  <c r="U561" i="51" a="1"/>
  <c r="AL199" i="51" a="1"/>
  <c r="U653" i="51" a="1"/>
  <c r="AJ279" i="57" a="1"/>
  <c r="D381" i="51" a="1"/>
  <c r="D243" i="51" a="1"/>
  <c r="AJ58" i="57" a="1"/>
  <c r="D108" i="51" a="1"/>
  <c r="AJ102" i="57" a="1"/>
  <c r="D334" i="51" a="1"/>
  <c r="I13" i="51"/>
  <c r="H13" i="51"/>
  <c r="L13" i="51"/>
  <c r="F13" i="51"/>
  <c r="M13" i="51"/>
  <c r="K13" i="51"/>
  <c r="N13" i="51"/>
  <c r="O13" i="51"/>
  <c r="G13" i="51"/>
  <c r="D13" i="51"/>
  <c r="E13" i="51"/>
  <c r="J13" i="51"/>
  <c r="Q52" i="51" s="1"/>
  <c r="D57" i="51"/>
  <c r="G57" i="51"/>
  <c r="J57" i="51"/>
  <c r="I57" i="51"/>
  <c r="K57" i="51"/>
  <c r="M57" i="51"/>
  <c r="L57" i="51"/>
  <c r="E57" i="51"/>
  <c r="F57" i="51"/>
  <c r="O57" i="51"/>
  <c r="N57" i="51"/>
  <c r="H57" i="51"/>
  <c r="D561" i="51" a="1"/>
  <c r="K469" i="51" l="1"/>
  <c r="D469" i="51"/>
  <c r="H469" i="51"/>
  <c r="M469" i="51"/>
  <c r="I469" i="51"/>
  <c r="O469" i="51"/>
  <c r="N469" i="51"/>
  <c r="J469" i="51"/>
  <c r="F469" i="51"/>
  <c r="L469" i="51"/>
  <c r="G469" i="51"/>
  <c r="E469" i="51"/>
  <c r="N697" i="51"/>
  <c r="H697" i="51"/>
  <c r="I697" i="51"/>
  <c r="F697" i="51"/>
  <c r="M697" i="51"/>
  <c r="G697" i="51"/>
  <c r="O697" i="51"/>
  <c r="J697" i="51"/>
  <c r="D697" i="51"/>
  <c r="E697" i="51"/>
  <c r="L697" i="51"/>
  <c r="K697" i="51"/>
  <c r="AC517" i="51"/>
  <c r="W517" i="51"/>
  <c r="AB517" i="51"/>
  <c r="AF517" i="51"/>
  <c r="Z517" i="51"/>
  <c r="U517" i="51"/>
  <c r="Y517" i="51"/>
  <c r="V517" i="51"/>
  <c r="X517" i="51"/>
  <c r="AA517" i="51"/>
  <c r="AD517" i="51"/>
  <c r="AE517" i="51"/>
  <c r="AP561" i="51"/>
  <c r="AT561" i="51"/>
  <c r="AW561" i="51"/>
  <c r="AV561" i="51"/>
  <c r="AQ561" i="51"/>
  <c r="AL561" i="51"/>
  <c r="AR561" i="51"/>
  <c r="AM561" i="51"/>
  <c r="AS561" i="51"/>
  <c r="AN561" i="51"/>
  <c r="AO561" i="51"/>
  <c r="AU561" i="51"/>
  <c r="AT199" i="51"/>
  <c r="AR199" i="51"/>
  <c r="AO199" i="51"/>
  <c r="AQ199" i="51"/>
  <c r="AU199" i="51"/>
  <c r="AV199" i="51"/>
  <c r="AS199" i="51"/>
  <c r="AN199" i="51"/>
  <c r="AP199" i="51"/>
  <c r="AM199" i="51"/>
  <c r="AL199" i="51"/>
  <c r="AW199" i="51"/>
  <c r="AA146" i="57"/>
  <c r="AB146" i="57"/>
  <c r="V146" i="57"/>
  <c r="X146" i="57"/>
  <c r="AD146" i="57"/>
  <c r="Y146" i="57"/>
  <c r="T146" i="57"/>
  <c r="Z146" i="57"/>
  <c r="AC146" i="57"/>
  <c r="W146" i="57"/>
  <c r="AE146" i="57"/>
  <c r="U146" i="57"/>
  <c r="N152" i="51"/>
  <c r="D152" i="51"/>
  <c r="L152" i="51"/>
  <c r="O152" i="51"/>
  <c r="F152" i="51"/>
  <c r="H152" i="51"/>
  <c r="K152" i="51"/>
  <c r="J152" i="51"/>
  <c r="G152" i="51"/>
  <c r="I152" i="51"/>
  <c r="M152" i="51"/>
  <c r="E152" i="51"/>
  <c r="L290" i="51"/>
  <c r="D290" i="51"/>
  <c r="M290" i="51"/>
  <c r="J290" i="51"/>
  <c r="Q329" i="51" s="1"/>
  <c r="H290" i="51"/>
  <c r="G290" i="51"/>
  <c r="I290" i="51"/>
  <c r="F290" i="51"/>
  <c r="O290" i="51"/>
  <c r="K290" i="51"/>
  <c r="E290" i="51"/>
  <c r="N290" i="51"/>
  <c r="M10" i="57"/>
  <c r="L10" i="57"/>
  <c r="K10" i="57"/>
  <c r="O10" i="57"/>
  <c r="J10" i="57"/>
  <c r="H10" i="57"/>
  <c r="F10" i="57"/>
  <c r="G10" i="57"/>
  <c r="I10" i="57"/>
  <c r="N10" i="57"/>
  <c r="E10" i="57"/>
  <c r="D10" i="57"/>
  <c r="W58" i="57"/>
  <c r="AB58" i="57"/>
  <c r="AD58" i="57"/>
  <c r="AC58" i="57"/>
  <c r="T58" i="57"/>
  <c r="AA58" i="57"/>
  <c r="Y58" i="57"/>
  <c r="V58" i="57"/>
  <c r="AE58" i="57"/>
  <c r="X58" i="57"/>
  <c r="Z58" i="57"/>
  <c r="U58" i="57"/>
  <c r="AR334" i="51"/>
  <c r="AO334" i="51"/>
  <c r="AW334" i="51"/>
  <c r="AQ334" i="51"/>
  <c r="AL334" i="51"/>
  <c r="AV334" i="51"/>
  <c r="AM334" i="51"/>
  <c r="AS334" i="51"/>
  <c r="AN334" i="51"/>
  <c r="AT334" i="51"/>
  <c r="AU334" i="51"/>
  <c r="AP334" i="51"/>
  <c r="AP152" i="51"/>
  <c r="AR152" i="51"/>
  <c r="AV152" i="51"/>
  <c r="AL152" i="51"/>
  <c r="AM152" i="51"/>
  <c r="AO152" i="51"/>
  <c r="AN152" i="51"/>
  <c r="AQ152" i="51"/>
  <c r="AS152" i="51"/>
  <c r="AW152" i="51"/>
  <c r="AT152" i="51"/>
  <c r="AU152" i="51"/>
  <c r="AC290" i="51"/>
  <c r="V290" i="51"/>
  <c r="Y290" i="51"/>
  <c r="AF290" i="51"/>
  <c r="AB290" i="51"/>
  <c r="AE290" i="51"/>
  <c r="W290" i="51"/>
  <c r="Z290" i="51"/>
  <c r="AA290" i="51"/>
  <c r="AH329" i="51" s="1"/>
  <c r="X290" i="51"/>
  <c r="AD290" i="51"/>
  <c r="U290" i="51"/>
  <c r="V199" i="51"/>
  <c r="AE199" i="51"/>
  <c r="AD199" i="51"/>
  <c r="AC199" i="51"/>
  <c r="AA199" i="51"/>
  <c r="AH238" i="51" s="1"/>
  <c r="U199" i="51"/>
  <c r="X199" i="51"/>
  <c r="AF199" i="51"/>
  <c r="Y199" i="51"/>
  <c r="W199" i="51"/>
  <c r="AB199" i="51"/>
  <c r="Z199" i="51"/>
  <c r="AV108" i="51"/>
  <c r="AW108" i="51"/>
  <c r="AN108" i="51"/>
  <c r="AP108" i="51"/>
  <c r="AL108" i="51"/>
  <c r="AM108" i="51"/>
  <c r="AT108" i="51"/>
  <c r="AS108" i="51"/>
  <c r="AU108" i="51"/>
  <c r="AQ108" i="51"/>
  <c r="AR108" i="51"/>
  <c r="AY147" i="51" s="1"/>
  <c r="AO108" i="51"/>
  <c r="AF334" i="51"/>
  <c r="AE334" i="51"/>
  <c r="Z334" i="51"/>
  <c r="U334" i="51"/>
  <c r="AA334" i="51"/>
  <c r="W334" i="51"/>
  <c r="Y334" i="51"/>
  <c r="V334" i="51"/>
  <c r="AD334" i="51"/>
  <c r="AB334" i="51"/>
  <c r="X334" i="51"/>
  <c r="AC334" i="51"/>
  <c r="J561" i="51"/>
  <c r="F561" i="51"/>
  <c r="N561" i="51"/>
  <c r="D561" i="51"/>
  <c r="K561" i="51"/>
  <c r="H561" i="51"/>
  <c r="O561" i="51"/>
  <c r="L561" i="51"/>
  <c r="G561" i="51"/>
  <c r="I561" i="51"/>
  <c r="M561" i="51"/>
  <c r="E561" i="51"/>
  <c r="AS58" i="57"/>
  <c r="AT58" i="57"/>
  <c r="AP58" i="57"/>
  <c r="AK58" i="57"/>
  <c r="AU58" i="57"/>
  <c r="AN58" i="57"/>
  <c r="AM58" i="57"/>
  <c r="AJ58" i="57"/>
  <c r="AO58" i="57"/>
  <c r="AQ58" i="57"/>
  <c r="AR58" i="57"/>
  <c r="AL58" i="57"/>
  <c r="AT425" i="51"/>
  <c r="AW425" i="51"/>
  <c r="AL425" i="51"/>
  <c r="AU425" i="51"/>
  <c r="AV425" i="51"/>
  <c r="AQ425" i="51"/>
  <c r="AO425" i="51"/>
  <c r="AR425" i="51"/>
  <c r="AN425" i="51"/>
  <c r="AM425" i="51"/>
  <c r="AS425" i="51"/>
  <c r="AP425" i="51"/>
  <c r="AC469" i="51"/>
  <c r="AB469" i="51"/>
  <c r="AA469" i="51"/>
  <c r="AF469" i="51"/>
  <c r="U469" i="51"/>
  <c r="W469" i="51"/>
  <c r="Z469" i="51"/>
  <c r="X469" i="51"/>
  <c r="Y469" i="51"/>
  <c r="V469" i="51"/>
  <c r="AD469" i="51"/>
  <c r="AE469" i="51"/>
  <c r="H199" i="51"/>
  <c r="G199" i="51"/>
  <c r="L199" i="51"/>
  <c r="J199" i="51"/>
  <c r="Q238" i="51" s="1"/>
  <c r="E199" i="51"/>
  <c r="D199" i="51"/>
  <c r="N199" i="51"/>
  <c r="F199" i="51"/>
  <c r="K199" i="51"/>
  <c r="M199" i="51"/>
  <c r="I199" i="51"/>
  <c r="O199" i="51"/>
  <c r="AD152" i="51"/>
  <c r="AB152" i="51"/>
  <c r="V152" i="51"/>
  <c r="AC152" i="51"/>
  <c r="AA152" i="51"/>
  <c r="Y152" i="51"/>
  <c r="W152" i="51"/>
  <c r="Z152" i="51"/>
  <c r="AE152" i="51"/>
  <c r="X152" i="51"/>
  <c r="U152" i="51"/>
  <c r="AF152" i="51"/>
  <c r="W381" i="51"/>
  <c r="AF381" i="51"/>
  <c r="AB381" i="51"/>
  <c r="AA381" i="51"/>
  <c r="AH420" i="51" s="1"/>
  <c r="X381" i="51"/>
  <c r="U381" i="51"/>
  <c r="Z381" i="51"/>
  <c r="AC381" i="51"/>
  <c r="V381" i="51"/>
  <c r="Y381" i="51"/>
  <c r="AE381" i="51"/>
  <c r="AD381" i="51"/>
  <c r="AO13" i="51"/>
  <c r="AV13" i="51"/>
  <c r="AQ13" i="51"/>
  <c r="AL13" i="51"/>
  <c r="AR13" i="51"/>
  <c r="AY52" i="51" s="1"/>
  <c r="AM13" i="51"/>
  <c r="AW13" i="51"/>
  <c r="AN13" i="51"/>
  <c r="AT13" i="51"/>
  <c r="AS13" i="51"/>
  <c r="AP13" i="51"/>
  <c r="AU13" i="51"/>
  <c r="L334" i="51"/>
  <c r="E334" i="51"/>
  <c r="I334" i="51"/>
  <c r="K334" i="51"/>
  <c r="J334" i="51"/>
  <c r="H334" i="51"/>
  <c r="F334" i="51"/>
  <c r="M334" i="51"/>
  <c r="G334" i="51"/>
  <c r="N334" i="51"/>
  <c r="D334" i="51"/>
  <c r="O334" i="51"/>
  <c r="L517" i="51"/>
  <c r="G517" i="51"/>
  <c r="N517" i="51"/>
  <c r="O517" i="51"/>
  <c r="E517" i="51"/>
  <c r="M517" i="51"/>
  <c r="H517" i="51"/>
  <c r="F517" i="51"/>
  <c r="I517" i="51"/>
  <c r="J517" i="51"/>
  <c r="Q556" i="51" s="1"/>
  <c r="D517" i="51"/>
  <c r="K517" i="51"/>
  <c r="AR102" i="57"/>
  <c r="AN102" i="57"/>
  <c r="AU102" i="57"/>
  <c r="AL102" i="57"/>
  <c r="AM102" i="57"/>
  <c r="AJ102" i="57"/>
  <c r="AS102" i="57"/>
  <c r="AP102" i="57"/>
  <c r="AT102" i="57"/>
  <c r="AO102" i="57"/>
  <c r="AQ102" i="57"/>
  <c r="AK102" i="57"/>
  <c r="I381" i="51"/>
  <c r="N381" i="51"/>
  <c r="M381" i="51"/>
  <c r="D381" i="51"/>
  <c r="H381" i="51"/>
  <c r="F381" i="51"/>
  <c r="L381" i="51"/>
  <c r="G381" i="51"/>
  <c r="E381" i="51"/>
  <c r="J381" i="51"/>
  <c r="Q420" i="51" s="1"/>
  <c r="O381" i="51"/>
  <c r="K381" i="51"/>
  <c r="AF561" i="51"/>
  <c r="AE561" i="51"/>
  <c r="AA561" i="51"/>
  <c r="V561" i="51"/>
  <c r="W561" i="51"/>
  <c r="Z561" i="51"/>
  <c r="Y561" i="51"/>
  <c r="AB561" i="51"/>
  <c r="AC561" i="51"/>
  <c r="AD561" i="51"/>
  <c r="U561" i="51"/>
  <c r="X561" i="51"/>
  <c r="AU10" i="57"/>
  <c r="AQ10" i="57"/>
  <c r="AM10" i="57"/>
  <c r="AP10" i="57"/>
  <c r="AJ10" i="57"/>
  <c r="AR10" i="57"/>
  <c r="AL10" i="57"/>
  <c r="AS10" i="57"/>
  <c r="AO10" i="57"/>
  <c r="AN10" i="57"/>
  <c r="AK10" i="57"/>
  <c r="AT10" i="57"/>
  <c r="Z697" i="51"/>
  <c r="AF697" i="51"/>
  <c r="AC697" i="51"/>
  <c r="V697" i="51"/>
  <c r="U697" i="51"/>
  <c r="AA697" i="51"/>
  <c r="X697" i="51"/>
  <c r="AD697" i="51"/>
  <c r="AE697" i="51"/>
  <c r="AB697" i="51"/>
  <c r="Y697" i="51"/>
  <c r="W697" i="51"/>
  <c r="N102" i="57"/>
  <c r="I102" i="57"/>
  <c r="G102" i="57"/>
  <c r="F102" i="57"/>
  <c r="O102" i="57"/>
  <c r="M102" i="57"/>
  <c r="J102" i="57"/>
  <c r="E102" i="57"/>
  <c r="L102" i="57"/>
  <c r="D102" i="57"/>
  <c r="K102" i="57"/>
  <c r="H102" i="57"/>
  <c r="AU190" i="57"/>
  <c r="AN190" i="57"/>
  <c r="AT190" i="57"/>
  <c r="AP190" i="57"/>
  <c r="AS190" i="57"/>
  <c r="AR190" i="57"/>
  <c r="AL190" i="57"/>
  <c r="AJ190" i="57"/>
  <c r="AM190" i="57"/>
  <c r="AO190" i="57"/>
  <c r="AQ190" i="57"/>
  <c r="AK190" i="57"/>
  <c r="G653" i="51"/>
  <c r="O653" i="51"/>
  <c r="N653" i="51"/>
  <c r="D653" i="51"/>
  <c r="E653" i="51"/>
  <c r="H653" i="51"/>
  <c r="I653" i="51"/>
  <c r="L653" i="51"/>
  <c r="M653" i="51"/>
  <c r="K653" i="51"/>
  <c r="J653" i="51"/>
  <c r="Q692" i="51" s="1"/>
  <c r="F653" i="51"/>
  <c r="AE57" i="51"/>
  <c r="Y57" i="51"/>
  <c r="V57" i="51"/>
  <c r="X57" i="51"/>
  <c r="AA57" i="51"/>
  <c r="AC57" i="51"/>
  <c r="Z57" i="51"/>
  <c r="AB57" i="51"/>
  <c r="AF57" i="51"/>
  <c r="AD57" i="51"/>
  <c r="U57" i="51"/>
  <c r="W57" i="51"/>
  <c r="AE10" i="57"/>
  <c r="AD10" i="57"/>
  <c r="V10" i="57"/>
  <c r="AB10" i="57"/>
  <c r="U10" i="57"/>
  <c r="Z10" i="57"/>
  <c r="T10" i="57"/>
  <c r="Y10" i="57"/>
  <c r="AC10" i="57"/>
  <c r="W10" i="57"/>
  <c r="AA10" i="57"/>
  <c r="X10" i="57"/>
  <c r="AB279" i="57"/>
  <c r="T279" i="57"/>
  <c r="U279" i="57"/>
  <c r="Y279" i="57"/>
  <c r="W279" i="57"/>
  <c r="X279" i="57"/>
  <c r="AD279" i="57"/>
  <c r="AC279" i="57"/>
  <c r="Z279" i="57"/>
  <c r="AE279" i="57"/>
  <c r="AA279" i="57"/>
  <c r="V279" i="57"/>
  <c r="AA190" i="57"/>
  <c r="AC190" i="57"/>
  <c r="V190" i="57"/>
  <c r="W190" i="57"/>
  <c r="U190" i="57"/>
  <c r="AB190" i="57"/>
  <c r="AD190" i="57"/>
  <c r="X190" i="57"/>
  <c r="Y190" i="57"/>
  <c r="AE190" i="57"/>
  <c r="Z190" i="57"/>
  <c r="T190" i="57"/>
  <c r="Z102" i="57"/>
  <c r="AD102" i="57"/>
  <c r="V102" i="57"/>
  <c r="AB102" i="57"/>
  <c r="X102" i="57"/>
  <c r="W102" i="57"/>
  <c r="T102" i="57"/>
  <c r="U102" i="57"/>
  <c r="AE102" i="57"/>
  <c r="AC102" i="57"/>
  <c r="Y102" i="57"/>
  <c r="AA102" i="57"/>
  <c r="AN381" i="51"/>
  <c r="AM381" i="51"/>
  <c r="AT381" i="51"/>
  <c r="AW381" i="51"/>
  <c r="AU381" i="51"/>
  <c r="AO381" i="51"/>
  <c r="AP381" i="51"/>
  <c r="AS381" i="51"/>
  <c r="AV381" i="51"/>
  <c r="AQ381" i="51"/>
  <c r="AR381" i="51"/>
  <c r="AY420" i="51" s="1"/>
  <c r="AL381" i="51"/>
  <c r="AF243" i="51"/>
  <c r="AD243" i="51"/>
  <c r="V243" i="51"/>
  <c r="Z243" i="51"/>
  <c r="U243" i="51"/>
  <c r="W243" i="51"/>
  <c r="X243" i="51"/>
  <c r="AE243" i="51"/>
  <c r="AA243" i="51"/>
  <c r="AB243" i="51"/>
  <c r="Y243" i="51"/>
  <c r="AC243" i="51"/>
  <c r="AW57" i="51"/>
  <c r="AU57" i="51"/>
  <c r="AP57" i="51"/>
  <c r="AO57" i="51"/>
  <c r="AV57" i="51"/>
  <c r="AQ57" i="51"/>
  <c r="AL57" i="51"/>
  <c r="AS57" i="51"/>
  <c r="AR57" i="51"/>
  <c r="AM57" i="51"/>
  <c r="AN57" i="51"/>
  <c r="AT57" i="51"/>
  <c r="AB653" i="51"/>
  <c r="Z653" i="51"/>
  <c r="V653" i="51"/>
  <c r="AF653" i="51"/>
  <c r="U653" i="51"/>
  <c r="AA653" i="51"/>
  <c r="AD653" i="51"/>
  <c r="AC653" i="51"/>
  <c r="Y653" i="51"/>
  <c r="W653" i="51"/>
  <c r="X653" i="51"/>
  <c r="AE653" i="51"/>
  <c r="I58" i="57"/>
  <c r="O58" i="57"/>
  <c r="F58" i="57"/>
  <c r="H58" i="57"/>
  <c r="L58" i="57"/>
  <c r="D58" i="57"/>
  <c r="E58" i="57"/>
  <c r="G58" i="57"/>
  <c r="J58" i="57"/>
  <c r="K58" i="57"/>
  <c r="N58" i="57"/>
  <c r="M58" i="57"/>
  <c r="I146" i="57"/>
  <c r="F146" i="57"/>
  <c r="E146" i="57"/>
  <c r="G146" i="57"/>
  <c r="H146" i="57"/>
  <c r="N146" i="57"/>
  <c r="O146" i="57"/>
  <c r="K146" i="57"/>
  <c r="M146" i="57"/>
  <c r="L146" i="57"/>
  <c r="D146" i="57"/>
  <c r="J146" i="57"/>
  <c r="AW697" i="51"/>
  <c r="AT697" i="51"/>
  <c r="AU697" i="51"/>
  <c r="AP697" i="51"/>
  <c r="AN697" i="51"/>
  <c r="AR697" i="51"/>
  <c r="AO697" i="51"/>
  <c r="AQ697" i="51"/>
  <c r="AV697" i="51"/>
  <c r="AL697" i="51"/>
  <c r="AS697" i="51"/>
  <c r="AM697" i="51"/>
  <c r="F243" i="51"/>
  <c r="O243" i="51"/>
  <c r="J243" i="51"/>
  <c r="L243" i="51"/>
  <c r="M243" i="51"/>
  <c r="I243" i="51"/>
  <c r="N243" i="51"/>
  <c r="D243" i="51"/>
  <c r="H243" i="51"/>
  <c r="K243" i="51"/>
  <c r="E243" i="51"/>
  <c r="G243" i="51"/>
  <c r="AO146" i="57"/>
  <c r="AS146" i="57"/>
  <c r="AL146" i="57"/>
  <c r="AM146" i="57"/>
  <c r="AJ146" i="57"/>
  <c r="AQ146" i="57"/>
  <c r="AR146" i="57"/>
  <c r="AU146" i="57"/>
  <c r="AP146" i="57"/>
  <c r="AT146" i="57"/>
  <c r="AN146" i="57"/>
  <c r="AK146" i="57"/>
  <c r="E108" i="51"/>
  <c r="J108" i="51"/>
  <c r="Q147" i="51" s="1"/>
  <c r="L108" i="51"/>
  <c r="O108" i="51"/>
  <c r="K108" i="51"/>
  <c r="M108" i="51"/>
  <c r="G108" i="51"/>
  <c r="D108" i="51"/>
  <c r="I108" i="51"/>
  <c r="N108" i="51"/>
  <c r="F108" i="51"/>
  <c r="H108" i="51"/>
  <c r="AJ279" i="57"/>
  <c r="AU279" i="57"/>
  <c r="AM279" i="57"/>
  <c r="AN279" i="57"/>
  <c r="AS279" i="57"/>
  <c r="AR279" i="57"/>
  <c r="AP279" i="57"/>
  <c r="AT279" i="57"/>
  <c r="AO279" i="57"/>
  <c r="AK279" i="57"/>
  <c r="AQ279" i="57"/>
  <c r="AL279" i="57"/>
  <c r="N279" i="57"/>
  <c r="K279" i="57"/>
  <c r="I279" i="57"/>
  <c r="H279" i="57"/>
  <c r="L279" i="57"/>
  <c r="G279" i="57"/>
  <c r="D279" i="57"/>
  <c r="F279" i="57"/>
  <c r="E279" i="57"/>
  <c r="O279" i="57"/>
  <c r="J279" i="57"/>
  <c r="M279" i="57"/>
  <c r="F190" i="57"/>
  <c r="M190" i="57"/>
  <c r="I190" i="57"/>
  <c r="K190" i="57"/>
  <c r="D190" i="57"/>
  <c r="G190" i="57"/>
  <c r="O190" i="57"/>
  <c r="N190" i="57"/>
  <c r="L190" i="57"/>
  <c r="J190" i="57"/>
  <c r="E190" i="57"/>
  <c r="H190" i="57"/>
  <c r="I425" i="51"/>
  <c r="F425" i="51"/>
  <c r="J425" i="51"/>
  <c r="H425" i="51"/>
  <c r="D425" i="51"/>
  <c r="L425" i="51"/>
  <c r="E425" i="51"/>
  <c r="M425" i="51"/>
  <c r="K425" i="51"/>
  <c r="O425" i="51"/>
  <c r="N425" i="51"/>
  <c r="G425" i="51"/>
  <c r="AC108" i="51"/>
  <c r="V108" i="51"/>
  <c r="Y108" i="51"/>
  <c r="AF108" i="51"/>
  <c r="AE108" i="51"/>
  <c r="AD108" i="51"/>
  <c r="X108" i="51"/>
  <c r="AA108" i="51"/>
  <c r="AH147" i="51" s="1"/>
  <c r="Z108" i="51"/>
  <c r="W108" i="51"/>
  <c r="U108" i="51"/>
  <c r="AB108" i="51"/>
  <c r="O235" i="57"/>
  <c r="L235" i="57"/>
  <c r="K235" i="57"/>
  <c r="D235" i="57"/>
  <c r="N235" i="57"/>
  <c r="I235" i="57"/>
  <c r="E235" i="57"/>
  <c r="J235" i="57"/>
  <c r="H235" i="57"/>
  <c r="M235" i="57"/>
  <c r="G235" i="57"/>
  <c r="F235" i="57"/>
  <c r="AE13" i="51"/>
  <c r="Z13" i="51"/>
  <c r="W13" i="51"/>
  <c r="U13" i="51"/>
  <c r="X13" i="51"/>
  <c r="AD13" i="51"/>
  <c r="AA13" i="51"/>
  <c r="AF13" i="51"/>
  <c r="AB13" i="51"/>
  <c r="AC13" i="51"/>
  <c r="Y13" i="51"/>
  <c r="V13" i="51"/>
  <c r="Y425" i="51"/>
  <c r="AC425" i="51"/>
  <c r="AD425" i="51"/>
  <c r="AA425" i="51"/>
  <c r="AE425" i="51"/>
  <c r="U425" i="51"/>
  <c r="AB425" i="51"/>
  <c r="X425" i="51"/>
  <c r="V425" i="51"/>
  <c r="W425" i="51"/>
  <c r="Z425" i="51"/>
  <c r="AF425" i="51"/>
  <c r="AQ517" i="51"/>
  <c r="AW517" i="51"/>
  <c r="AM517" i="51"/>
  <c r="AL517" i="51"/>
  <c r="AT517" i="51"/>
  <c r="AU517" i="51"/>
  <c r="AV517" i="51"/>
  <c r="AN517" i="51"/>
  <c r="AP517" i="51"/>
  <c r="AO517" i="51"/>
  <c r="AR517" i="51"/>
  <c r="AY556" i="51" s="1"/>
  <c r="AS517" i="51"/>
  <c r="AJ235" i="57"/>
  <c r="AR235" i="57"/>
  <c r="AP235" i="57"/>
  <c r="AK235" i="57"/>
  <c r="AS235" i="57"/>
  <c r="AQ235" i="57"/>
  <c r="AL235" i="57"/>
  <c r="AN235" i="57"/>
  <c r="AU235" i="57"/>
  <c r="AT235" i="57"/>
  <c r="AO235" i="57"/>
  <c r="AM235" i="57"/>
  <c r="AN469" i="51"/>
  <c r="AS469" i="51"/>
  <c r="AO469" i="51"/>
  <c r="AP469" i="51"/>
  <c r="AW469" i="51"/>
  <c r="AT469" i="51"/>
  <c r="AU469" i="51"/>
  <c r="AV469" i="51"/>
  <c r="AR469" i="51"/>
  <c r="AM469" i="51"/>
  <c r="AQ469" i="51"/>
  <c r="AL469" i="51"/>
  <c r="AR243" i="51"/>
  <c r="AL243" i="51"/>
  <c r="AT243" i="51"/>
  <c r="AO243" i="51"/>
  <c r="AS243" i="51"/>
  <c r="AU243" i="51"/>
  <c r="AV243" i="51"/>
  <c r="AN243" i="51"/>
  <c r="AQ243" i="51"/>
  <c r="AP243" i="51"/>
  <c r="AW243" i="51"/>
  <c r="AM243" i="51"/>
  <c r="AP290" i="51"/>
  <c r="AQ290" i="51"/>
  <c r="AU290" i="51"/>
  <c r="AL290" i="51"/>
  <c r="AN290" i="51"/>
  <c r="AM290" i="51"/>
  <c r="AR290" i="51"/>
  <c r="AY329" i="51" s="1"/>
  <c r="AO290" i="51"/>
  <c r="AT290" i="51"/>
  <c r="AV290" i="51"/>
  <c r="AS290" i="51"/>
  <c r="AW290" i="51"/>
  <c r="AW653" i="51"/>
  <c r="AQ653" i="51"/>
  <c r="AL653" i="51"/>
  <c r="AR653" i="51"/>
  <c r="AY692" i="51" s="1"/>
  <c r="AM653" i="51"/>
  <c r="AO653" i="51"/>
  <c r="AT653" i="51"/>
  <c r="AS653" i="51"/>
  <c r="AV653" i="51"/>
  <c r="AP653" i="51"/>
  <c r="AN653" i="51"/>
  <c r="AU653" i="51"/>
  <c r="AE235" i="57"/>
  <c r="Z235" i="57"/>
  <c r="V235" i="57"/>
  <c r="U235" i="57"/>
  <c r="AB235" i="57"/>
  <c r="AA235" i="57"/>
  <c r="T235" i="57"/>
  <c r="X235" i="57"/>
  <c r="Y235" i="57"/>
  <c r="W235" i="57"/>
  <c r="AC235" i="57"/>
  <c r="AD235" i="57"/>
  <c r="E645" i="58"/>
  <c r="E648" i="58" s="1"/>
  <c r="E658" i="58" s="1"/>
  <c r="AH52" i="51" l="1"/>
  <c r="AH692" i="51"/>
  <c r="AY238" i="51"/>
  <c r="AH556" i="51"/>
  <c r="E470" i="51" a="1"/>
  <c r="AM470" i="51" l="1" a="1"/>
  <c r="AR504" i="51" s="1"/>
  <c r="V470" i="51" a="1"/>
  <c r="G498" i="51"/>
  <c r="E496" i="51"/>
  <c r="F489" i="51"/>
  <c r="G484" i="51"/>
  <c r="I473" i="51"/>
  <c r="F498" i="51"/>
  <c r="H487" i="51"/>
  <c r="J476" i="51"/>
  <c r="H506" i="51"/>
  <c r="I499" i="51"/>
  <c r="J499" i="51"/>
  <c r="H484" i="51"/>
  <c r="H496" i="51"/>
  <c r="H470" i="51"/>
  <c r="H486" i="51"/>
  <c r="J497" i="51"/>
  <c r="E491" i="51"/>
  <c r="I501" i="51"/>
  <c r="G490" i="51"/>
  <c r="H504" i="51"/>
  <c r="F477" i="51"/>
  <c r="I491" i="51"/>
  <c r="J505" i="51"/>
  <c r="E499" i="51"/>
  <c r="I487" i="51"/>
  <c r="I479" i="51"/>
  <c r="I471" i="51"/>
  <c r="H501" i="51"/>
  <c r="H493" i="51"/>
  <c r="H485" i="51"/>
  <c r="H477" i="51"/>
  <c r="G499" i="51"/>
  <c r="H476" i="51"/>
  <c r="I472" i="51"/>
  <c r="G500" i="51"/>
  <c r="E502" i="51"/>
  <c r="H488" i="51"/>
  <c r="I495" i="51"/>
  <c r="J489" i="51"/>
  <c r="E480" i="51"/>
  <c r="E490" i="51"/>
  <c r="F497" i="51"/>
  <c r="J507" i="51"/>
  <c r="G470" i="51"/>
  <c r="J502" i="51"/>
  <c r="J494" i="51"/>
  <c r="H473" i="51"/>
  <c r="F493" i="51"/>
  <c r="I485" i="51"/>
  <c r="G480" i="51"/>
  <c r="E475" i="51"/>
  <c r="H507" i="51"/>
  <c r="F502" i="51"/>
  <c r="J488" i="51"/>
  <c r="H475" i="51"/>
  <c r="F470" i="51"/>
  <c r="I489" i="51"/>
  <c r="I488" i="51"/>
  <c r="E495" i="51"/>
  <c r="I504" i="51"/>
  <c r="G475" i="51"/>
  <c r="E494" i="51"/>
  <c r="I496" i="51"/>
  <c r="J481" i="51"/>
  <c r="F473" i="51"/>
  <c r="G473" i="51"/>
  <c r="G503" i="51"/>
  <c r="E479" i="51"/>
  <c r="H503" i="51"/>
  <c r="J492" i="51"/>
  <c r="F482" i="51"/>
  <c r="H471" i="51"/>
  <c r="I494" i="51"/>
  <c r="E489" i="51"/>
  <c r="E484" i="51"/>
  <c r="E471" i="51"/>
  <c r="G489" i="51"/>
  <c r="I503" i="51"/>
  <c r="J475" i="51"/>
  <c r="I490" i="51"/>
  <c r="E505" i="51"/>
  <c r="G481" i="51"/>
  <c r="G497" i="51"/>
  <c r="I505" i="51"/>
  <c r="I498" i="51"/>
  <c r="G477" i="51"/>
  <c r="J491" i="51"/>
  <c r="E485" i="51"/>
  <c r="E477" i="51"/>
  <c r="J506" i="51"/>
  <c r="J498" i="51"/>
  <c r="J490" i="51"/>
  <c r="J482" i="51"/>
  <c r="J474" i="51"/>
  <c r="G471" i="51"/>
  <c r="F501" i="51"/>
  <c r="J495" i="51"/>
  <c r="J473" i="51"/>
  <c r="E492" i="51"/>
  <c r="F499" i="51"/>
  <c r="G507" i="51"/>
  <c r="G493" i="51"/>
  <c r="I474" i="51"/>
  <c r="G485" i="51"/>
  <c r="I493" i="51"/>
  <c r="G486" i="51"/>
  <c r="H505" i="51"/>
  <c r="H497" i="51"/>
  <c r="F492" i="51"/>
  <c r="F484" i="51"/>
  <c r="J470" i="51"/>
  <c r="G488" i="51"/>
  <c r="E483" i="51"/>
  <c r="I477" i="51"/>
  <c r="G472" i="51"/>
  <c r="J504" i="51"/>
  <c r="H491" i="51"/>
  <c r="F486" i="51"/>
  <c r="J472" i="51"/>
  <c r="H472" i="51"/>
  <c r="E503" i="51"/>
  <c r="E474" i="51"/>
  <c r="F479" i="51"/>
  <c r="H490" i="51"/>
  <c r="E478" i="51"/>
  <c r="F491" i="51"/>
  <c r="I478" i="51"/>
  <c r="G476" i="51"/>
  <c r="F490" i="51"/>
  <c r="H492" i="51"/>
  <c r="E493" i="51"/>
  <c r="F481" i="51"/>
  <c r="I470" i="51"/>
  <c r="E498" i="51"/>
  <c r="E501" i="51"/>
  <c r="J487" i="51"/>
  <c r="I482" i="51"/>
  <c r="E506" i="51"/>
  <c r="G474" i="51"/>
  <c r="F496" i="51"/>
  <c r="F480" i="51"/>
  <c r="G491" i="51"/>
  <c r="G479" i="51"/>
  <c r="E470" i="51"/>
  <c r="F483" i="51"/>
  <c r="I502" i="51"/>
  <c r="F485" i="51"/>
  <c r="E504" i="51"/>
  <c r="G504" i="51"/>
  <c r="G478" i="51"/>
  <c r="H489" i="51"/>
  <c r="F476" i="51"/>
  <c r="I476" i="51"/>
  <c r="F478" i="51"/>
  <c r="G505" i="51"/>
  <c r="G496" i="51"/>
  <c r="F506" i="51"/>
  <c r="J484" i="51"/>
  <c r="F487" i="51"/>
  <c r="I506" i="51"/>
  <c r="E500" i="51"/>
  <c r="E476" i="51"/>
  <c r="F505" i="51"/>
  <c r="F495" i="51"/>
  <c r="E488" i="51"/>
  <c r="G487" i="51"/>
  <c r="G506" i="51"/>
  <c r="I507" i="51"/>
  <c r="I475" i="51"/>
  <c r="F500" i="51"/>
  <c r="J486" i="51"/>
  <c r="H499" i="51"/>
  <c r="J483" i="51"/>
  <c r="E487" i="51"/>
  <c r="J500" i="51"/>
  <c r="H479" i="51"/>
  <c r="J501" i="51"/>
  <c r="I492" i="51"/>
  <c r="F507" i="51"/>
  <c r="G494" i="51"/>
  <c r="I486" i="51"/>
  <c r="J485" i="51"/>
  <c r="J471" i="51"/>
  <c r="G502" i="51"/>
  <c r="G495" i="51"/>
  <c r="G482" i="51"/>
  <c r="F504" i="51"/>
  <c r="F488" i="51"/>
  <c r="F472" i="51"/>
  <c r="J503" i="51"/>
  <c r="E486" i="51"/>
  <c r="I497" i="51"/>
  <c r="H474" i="51"/>
  <c r="E497" i="51"/>
  <c r="I483" i="51"/>
  <c r="E473" i="51"/>
  <c r="H481" i="51"/>
  <c r="F475" i="51"/>
  <c r="E482" i="51"/>
  <c r="J496" i="51"/>
  <c r="H483" i="51"/>
  <c r="H480" i="51"/>
  <c r="F503" i="51"/>
  <c r="I481" i="51"/>
  <c r="H495" i="51"/>
  <c r="F474" i="51"/>
  <c r="H478" i="51"/>
  <c r="E507" i="51"/>
  <c r="G501" i="51"/>
  <c r="H494" i="51"/>
  <c r="J493" i="51"/>
  <c r="H482" i="51"/>
  <c r="E472" i="51"/>
  <c r="H502" i="51"/>
  <c r="G483" i="51"/>
  <c r="J477" i="51"/>
  <c r="I480" i="51"/>
  <c r="J479" i="51"/>
  <c r="H500" i="51"/>
  <c r="I500" i="51"/>
  <c r="E481" i="51"/>
  <c r="J478" i="51"/>
  <c r="G492" i="51"/>
  <c r="F471" i="51"/>
  <c r="F494" i="51"/>
  <c r="J480" i="51"/>
  <c r="I484" i="51"/>
  <c r="H498" i="51"/>
  <c r="K506" i="51"/>
  <c r="K477" i="51"/>
  <c r="K507" i="51"/>
  <c r="K496" i="51"/>
  <c r="K482" i="51"/>
  <c r="K473" i="51"/>
  <c r="K489" i="51"/>
  <c r="K499" i="51"/>
  <c r="K495" i="51"/>
  <c r="K478" i="51"/>
  <c r="K486" i="51"/>
  <c r="K494" i="51"/>
  <c r="K504" i="51"/>
  <c r="K488" i="51"/>
  <c r="K501" i="51"/>
  <c r="K479" i="51"/>
  <c r="K490" i="51"/>
  <c r="K502" i="51"/>
  <c r="K476" i="51"/>
  <c r="K497" i="51"/>
  <c r="K492" i="51"/>
  <c r="K484" i="51"/>
  <c r="K498" i="51"/>
  <c r="K474" i="51"/>
  <c r="K487" i="51"/>
  <c r="K485" i="51"/>
  <c r="K505" i="51"/>
  <c r="K480" i="51"/>
  <c r="K491" i="51"/>
  <c r="K500" i="51"/>
  <c r="K481" i="51"/>
  <c r="K493" i="51"/>
  <c r="K471" i="51"/>
  <c r="K472" i="51"/>
  <c r="K483" i="51"/>
  <c r="K475" i="51"/>
  <c r="K470" i="51"/>
  <c r="K503" i="51"/>
  <c r="L473" i="51"/>
  <c r="L493" i="51"/>
  <c r="L472" i="51"/>
  <c r="L500" i="51"/>
  <c r="L481" i="51"/>
  <c r="L488" i="51"/>
  <c r="L477" i="51"/>
  <c r="L476" i="51"/>
  <c r="L496" i="51"/>
  <c r="L498" i="51"/>
  <c r="L484" i="51"/>
  <c r="L494" i="51"/>
  <c r="L507" i="51"/>
  <c r="L499" i="51"/>
  <c r="L474" i="51"/>
  <c r="L479" i="51"/>
  <c r="L482" i="51"/>
  <c r="L505" i="51"/>
  <c r="L497" i="51"/>
  <c r="L483" i="51"/>
  <c r="L506" i="51"/>
  <c r="L503" i="51"/>
  <c r="L471" i="51"/>
  <c r="L492" i="51"/>
  <c r="L487" i="51"/>
  <c r="L480" i="51"/>
  <c r="L504" i="51"/>
  <c r="L490" i="51"/>
  <c r="L478" i="51"/>
  <c r="L502" i="51"/>
  <c r="L475" i="51"/>
  <c r="L491" i="51"/>
  <c r="L501" i="51"/>
  <c r="L489" i="51"/>
  <c r="L495" i="51"/>
  <c r="L485" i="51"/>
  <c r="L486" i="51"/>
  <c r="M481" i="51"/>
  <c r="M496" i="51"/>
  <c r="M499" i="51"/>
  <c r="M487" i="51"/>
  <c r="M472" i="51"/>
  <c r="M500" i="51"/>
  <c r="M477" i="51"/>
  <c r="M502" i="51"/>
  <c r="M479" i="51"/>
  <c r="M493" i="51"/>
  <c r="M470" i="51"/>
  <c r="M482" i="51"/>
  <c r="M489" i="51"/>
  <c r="M486" i="51"/>
  <c r="M505" i="51"/>
  <c r="M498" i="51"/>
  <c r="M474" i="51"/>
  <c r="M494" i="51"/>
  <c r="M491" i="51"/>
  <c r="M476" i="51"/>
  <c r="M478" i="51"/>
  <c r="M475" i="51"/>
  <c r="M495" i="51"/>
  <c r="M492" i="51"/>
  <c r="M507" i="51"/>
  <c r="M471" i="51"/>
  <c r="M506" i="51"/>
  <c r="M483" i="51"/>
  <c r="M488" i="51"/>
  <c r="M480" i="51"/>
  <c r="M504" i="51"/>
  <c r="M490" i="51"/>
  <c r="M473" i="51"/>
  <c r="M501" i="51"/>
  <c r="M497" i="51"/>
  <c r="M484" i="51"/>
  <c r="M503" i="51"/>
  <c r="M485" i="51"/>
  <c r="N497" i="51"/>
  <c r="N476" i="51"/>
  <c r="N477" i="51"/>
  <c r="N492" i="51"/>
  <c r="N472" i="51"/>
  <c r="N486" i="51"/>
  <c r="N470" i="51"/>
  <c r="N488" i="51"/>
  <c r="N503" i="51"/>
  <c r="N490" i="51"/>
  <c r="N481" i="51"/>
  <c r="N507" i="51"/>
  <c r="N498" i="51"/>
  <c r="N471" i="51"/>
  <c r="N482" i="51"/>
  <c r="N505" i="51"/>
  <c r="N493" i="51"/>
  <c r="N487" i="51"/>
  <c r="N504" i="51"/>
  <c r="N479" i="51"/>
  <c r="N483" i="51"/>
  <c r="N501" i="51"/>
  <c r="N475" i="51"/>
  <c r="N484" i="51"/>
  <c r="N474" i="51"/>
  <c r="N500" i="51"/>
  <c r="N491" i="51"/>
  <c r="N489" i="51"/>
  <c r="N478" i="51"/>
  <c r="N496" i="51"/>
  <c r="N506" i="51"/>
  <c r="N495" i="51"/>
  <c r="N494" i="51"/>
  <c r="N485" i="51"/>
  <c r="N473" i="51"/>
  <c r="N502" i="51"/>
  <c r="N499" i="51"/>
  <c r="N480" i="51"/>
  <c r="O500" i="51"/>
  <c r="O473" i="51"/>
  <c r="O501" i="51"/>
  <c r="O487" i="51"/>
  <c r="O474" i="51"/>
  <c r="O476" i="51"/>
  <c r="O475" i="51"/>
  <c r="O472" i="51"/>
  <c r="O482" i="51"/>
  <c r="O503" i="51"/>
  <c r="O504" i="51"/>
  <c r="O502" i="51"/>
  <c r="O484" i="51"/>
  <c r="O471" i="51"/>
  <c r="O488" i="51"/>
  <c r="O490" i="51"/>
  <c r="O485" i="51"/>
  <c r="O486" i="51"/>
  <c r="O483" i="51"/>
  <c r="O489" i="51"/>
  <c r="O478" i="51"/>
  <c r="O497" i="51"/>
  <c r="O494" i="51"/>
  <c r="O481" i="51"/>
  <c r="O492" i="51"/>
  <c r="O491" i="51"/>
  <c r="O480" i="51"/>
  <c r="O477" i="51"/>
  <c r="O499" i="51"/>
  <c r="O506" i="51"/>
  <c r="O479" i="51"/>
  <c r="O470" i="51"/>
  <c r="O507" i="51"/>
  <c r="O496" i="51"/>
  <c r="O495" i="51"/>
  <c r="O498" i="51"/>
  <c r="O505" i="51"/>
  <c r="O493" i="51"/>
  <c r="L470" i="51"/>
  <c r="AT506" i="51" l="1"/>
  <c r="AV476" i="51"/>
  <c r="AS501" i="51"/>
  <c r="AU497" i="51"/>
  <c r="AV486" i="51"/>
  <c r="AS488" i="51"/>
  <c r="AU486" i="51"/>
  <c r="AW494" i="51"/>
  <c r="AT485" i="51"/>
  <c r="AW505" i="51"/>
  <c r="AU505" i="51"/>
  <c r="AS474" i="51"/>
  <c r="AU489" i="51"/>
  <c r="AW498" i="51"/>
  <c r="AS481" i="51"/>
  <c r="AU500" i="51"/>
  <c r="AW507" i="51"/>
  <c r="AS486" i="51"/>
  <c r="AU470" i="51"/>
  <c r="AW489" i="51"/>
  <c r="AT502" i="51"/>
  <c r="AW480" i="51"/>
  <c r="AU477" i="51"/>
  <c r="AS472" i="51"/>
  <c r="AU490" i="51"/>
  <c r="AV472" i="51"/>
  <c r="AS503" i="51"/>
  <c r="AU503" i="51"/>
  <c r="AV485" i="51"/>
  <c r="AS506" i="51"/>
  <c r="AU476" i="51"/>
  <c r="AW491" i="51"/>
  <c r="AT480" i="51"/>
  <c r="AW503" i="51"/>
  <c r="AU482" i="51"/>
  <c r="AS504" i="51"/>
  <c r="AU499" i="51"/>
  <c r="AV504" i="51"/>
  <c r="AS497" i="51"/>
  <c r="AU506" i="51"/>
  <c r="AV474" i="51"/>
  <c r="AS483" i="51"/>
  <c r="AU488" i="51"/>
  <c r="AV478" i="51"/>
  <c r="AT500" i="51"/>
  <c r="AW477" i="51"/>
  <c r="AU507" i="51"/>
  <c r="AM502" i="51"/>
  <c r="AO481" i="51"/>
  <c r="AM473" i="51"/>
  <c r="AO497" i="51"/>
  <c r="AQ488" i="51"/>
  <c r="AQ479" i="51"/>
  <c r="AM497" i="51"/>
  <c r="AQ482" i="51"/>
  <c r="AR473" i="51"/>
  <c r="AP503" i="51"/>
  <c r="AN492" i="51"/>
  <c r="AP487" i="51"/>
  <c r="AR491" i="51"/>
  <c r="AM481" i="51"/>
  <c r="AO505" i="51"/>
  <c r="AQ484" i="51"/>
  <c r="AR481" i="51"/>
  <c r="AN479" i="51"/>
  <c r="AO494" i="51"/>
  <c r="AQ474" i="51"/>
  <c r="AR488" i="51"/>
  <c r="AO470" i="51"/>
  <c r="AO484" i="51"/>
  <c r="AM504" i="51"/>
  <c r="AR478" i="51"/>
  <c r="AQ489" i="51"/>
  <c r="AP500" i="51"/>
  <c r="AR492" i="51"/>
  <c r="AQ503" i="51"/>
  <c r="AP486" i="51"/>
  <c r="AQ483" i="51"/>
  <c r="AN480" i="51"/>
  <c r="AQ496" i="51"/>
  <c r="AQ475" i="51"/>
  <c r="AR489" i="51"/>
  <c r="AN471" i="51"/>
  <c r="AO485" i="51"/>
  <c r="AR505" i="51"/>
  <c r="AO479" i="51"/>
  <c r="AN490" i="51"/>
  <c r="AM501" i="51"/>
  <c r="AO493" i="51"/>
  <c r="AN504" i="51"/>
  <c r="AR480" i="51"/>
  <c r="AM494" i="51"/>
  <c r="AO477" i="51"/>
  <c r="AM492" i="51"/>
  <c r="AR472" i="51"/>
  <c r="AR487" i="51"/>
  <c r="AM506" i="51"/>
  <c r="AP482" i="51"/>
  <c r="AN501" i="51"/>
  <c r="AQ477" i="51"/>
  <c r="AP488" i="51"/>
  <c r="AR498" i="51"/>
  <c r="AQ491" i="51"/>
  <c r="AP502" i="51"/>
  <c r="AS495" i="51"/>
  <c r="AU492" i="51"/>
  <c r="AW471" i="51"/>
  <c r="AT493" i="51"/>
  <c r="AU473" i="51"/>
  <c r="AW492" i="51"/>
  <c r="AT484" i="51"/>
  <c r="AV499" i="51"/>
  <c r="AW493" i="51"/>
  <c r="AV507" i="51"/>
  <c r="AT503" i="51"/>
  <c r="AW478" i="51"/>
  <c r="AT486" i="51"/>
  <c r="AV490" i="51"/>
  <c r="AW499" i="51"/>
  <c r="AT492" i="51"/>
  <c r="AV477" i="51"/>
  <c r="AW495" i="51"/>
  <c r="AT472" i="51"/>
  <c r="AV492" i="51"/>
  <c r="AW485" i="51"/>
  <c r="AV503" i="51"/>
  <c r="AS471" i="51"/>
  <c r="AW476" i="51"/>
  <c r="AT499" i="51"/>
  <c r="AV483" i="51"/>
  <c r="AW490" i="51"/>
  <c r="AT501" i="51"/>
  <c r="AV496" i="51"/>
  <c r="AW474" i="51"/>
  <c r="AT471" i="51"/>
  <c r="AV505" i="51"/>
  <c r="AS499" i="51"/>
  <c r="AV488" i="51"/>
  <c r="AT489" i="51"/>
  <c r="AW472" i="51"/>
  <c r="AT495" i="51"/>
  <c r="AV475" i="51"/>
  <c r="AW500" i="51"/>
  <c r="AT483" i="51"/>
  <c r="AV491" i="51"/>
  <c r="AW470" i="51"/>
  <c r="AT507" i="51"/>
  <c r="AU484" i="51"/>
  <c r="AW496" i="51"/>
  <c r="AU485" i="51"/>
  <c r="AS500" i="51"/>
  <c r="AW479" i="51"/>
  <c r="AR484" i="51"/>
  <c r="AM476" i="51"/>
  <c r="AN494" i="51"/>
  <c r="AN477" i="51"/>
  <c r="AN485" i="51"/>
  <c r="AO475" i="51"/>
  <c r="AN500" i="51"/>
  <c r="AO478" i="51"/>
  <c r="AR507" i="51"/>
  <c r="AM489" i="51"/>
  <c r="AM480" i="51"/>
  <c r="AP499" i="51"/>
  <c r="AN487" i="51"/>
  <c r="AN502" i="51"/>
  <c r="AN476" i="51"/>
  <c r="AP471" i="51"/>
  <c r="AQ471" i="51"/>
  <c r="AR485" i="51"/>
  <c r="AN505" i="51"/>
  <c r="AO482" i="51"/>
  <c r="AM498" i="51"/>
  <c r="AR476" i="51"/>
  <c r="AN493" i="51"/>
  <c r="AQ473" i="51"/>
  <c r="AP484" i="51"/>
  <c r="AR494" i="51"/>
  <c r="AQ505" i="51"/>
  <c r="AP498" i="51"/>
  <c r="AO504" i="51"/>
  <c r="AO473" i="51"/>
  <c r="AQ472" i="51"/>
  <c r="AQ486" i="51"/>
  <c r="AP507" i="51"/>
  <c r="AN483" i="51"/>
  <c r="AR499" i="51"/>
  <c r="AR477" i="51"/>
  <c r="AP495" i="51"/>
  <c r="AN474" i="51"/>
  <c r="AM485" i="51"/>
  <c r="AO495" i="51"/>
  <c r="AN506" i="51"/>
  <c r="AM499" i="51"/>
  <c r="AO474" i="51"/>
  <c r="AN499" i="51"/>
  <c r="AQ506" i="51"/>
  <c r="AM484" i="51"/>
  <c r="AO502" i="51"/>
  <c r="AO480" i="51"/>
  <c r="AN495" i="51"/>
  <c r="AR475" i="51"/>
  <c r="AO490" i="51"/>
  <c r="AP472" i="51"/>
  <c r="AR482" i="51"/>
  <c r="AQ493" i="51"/>
  <c r="AP504" i="51"/>
  <c r="AR496" i="51"/>
  <c r="AQ507" i="51"/>
  <c r="AT481" i="51"/>
  <c r="AU475" i="51"/>
  <c r="AW501" i="51"/>
  <c r="AT473" i="51"/>
  <c r="AV498" i="51"/>
  <c r="AS494" i="51"/>
  <c r="AT474" i="51"/>
  <c r="AV497" i="51"/>
  <c r="AS493" i="51"/>
  <c r="AW475" i="51"/>
  <c r="AT497" i="51"/>
  <c r="AS478" i="51"/>
  <c r="AT475" i="51"/>
  <c r="AV484" i="51"/>
  <c r="AS484" i="51"/>
  <c r="AT491" i="51"/>
  <c r="AV494" i="51"/>
  <c r="AS470" i="51"/>
  <c r="AT477" i="51"/>
  <c r="AV495" i="51"/>
  <c r="AS489" i="51"/>
  <c r="AV501" i="51"/>
  <c r="AT487" i="51"/>
  <c r="AS502" i="51"/>
  <c r="AT494" i="51"/>
  <c r="AV480" i="51"/>
  <c r="AS473" i="51"/>
  <c r="AT476" i="51"/>
  <c r="AV493" i="51"/>
  <c r="AS505" i="51"/>
  <c r="AU480" i="51"/>
  <c r="AV481" i="51"/>
  <c r="AS475" i="51"/>
  <c r="AW502" i="51"/>
  <c r="AU493" i="51"/>
  <c r="AS487" i="51"/>
  <c r="AT504" i="51"/>
  <c r="AV502" i="51"/>
  <c r="AS479" i="51"/>
  <c r="AT478" i="51"/>
  <c r="AV473" i="51"/>
  <c r="AS477" i="51"/>
  <c r="AT498" i="51"/>
  <c r="AV487" i="51"/>
  <c r="AS507" i="51"/>
  <c r="AV479" i="51"/>
  <c r="AT496" i="51"/>
  <c r="AP501" i="51"/>
  <c r="AQ504" i="51"/>
  <c r="AQ492" i="51"/>
  <c r="AM505" i="51"/>
  <c r="AP474" i="51"/>
  <c r="AQ502" i="51"/>
  <c r="AN486" i="51"/>
  <c r="AQ498" i="51"/>
  <c r="AR493" i="51"/>
  <c r="AP483" i="51"/>
  <c r="AO499" i="51"/>
  <c r="AQ490" i="51"/>
  <c r="AP477" i="51"/>
  <c r="AN470" i="51"/>
  <c r="AM495" i="51"/>
  <c r="AR495" i="51"/>
  <c r="AM479" i="51"/>
  <c r="AP475" i="51"/>
  <c r="AP489" i="51"/>
  <c r="AR471" i="51"/>
  <c r="AM486" i="51"/>
  <c r="AN503" i="51"/>
  <c r="AQ480" i="51"/>
  <c r="AO498" i="51"/>
  <c r="AP476" i="51"/>
  <c r="AR486" i="51"/>
  <c r="AQ497" i="51"/>
  <c r="AP490" i="51"/>
  <c r="AR500" i="51"/>
  <c r="AN507" i="51"/>
  <c r="AN491" i="51"/>
  <c r="AO476" i="51"/>
  <c r="AP491" i="51"/>
  <c r="AM472" i="51"/>
  <c r="AM487" i="51"/>
  <c r="AP505" i="51"/>
  <c r="AP481" i="51"/>
  <c r="AQ500" i="51"/>
  <c r="AM477" i="51"/>
  <c r="AO487" i="51"/>
  <c r="AN498" i="51"/>
  <c r="AM491" i="51"/>
  <c r="AO501" i="51"/>
  <c r="AP470" i="51"/>
  <c r="AN475" i="51"/>
  <c r="AP473" i="51"/>
  <c r="AQ487" i="51"/>
  <c r="AM470" i="51"/>
  <c r="AN484" i="51"/>
  <c r="AO500" i="51"/>
  <c r="AQ478" i="51"/>
  <c r="AM496" i="51"/>
  <c r="AR474" i="51"/>
  <c r="AQ485" i="51"/>
  <c r="AP496" i="51"/>
  <c r="AR506" i="51"/>
  <c r="AQ499" i="51"/>
  <c r="AS476" i="51"/>
  <c r="AU495" i="51"/>
  <c r="AV489" i="51"/>
  <c r="AS482" i="51"/>
  <c r="AU478" i="51"/>
  <c r="AW487" i="51"/>
  <c r="AT482" i="51"/>
  <c r="AU474" i="51"/>
  <c r="AW483" i="51"/>
  <c r="AU483" i="51"/>
  <c r="AS490" i="51"/>
  <c r="AV500" i="51"/>
  <c r="AT488" i="51"/>
  <c r="AU487" i="51"/>
  <c r="AW506" i="51"/>
  <c r="AT470" i="51"/>
  <c r="AU494" i="51"/>
  <c r="AW486" i="51"/>
  <c r="AS485" i="51"/>
  <c r="AU496" i="51"/>
  <c r="AW504" i="51"/>
  <c r="AU502" i="51"/>
  <c r="AS498" i="51"/>
  <c r="AV470" i="51"/>
  <c r="AS492" i="51"/>
  <c r="AU481" i="51"/>
  <c r="AW473" i="51"/>
  <c r="AS491" i="51"/>
  <c r="AU471" i="51"/>
  <c r="AW488" i="51"/>
  <c r="AT479" i="51"/>
  <c r="AU479" i="51"/>
  <c r="AW481" i="51"/>
  <c r="AU498" i="51"/>
  <c r="AS480" i="51"/>
  <c r="AV506" i="51"/>
  <c r="AT490" i="51"/>
  <c r="AU501" i="51"/>
  <c r="AW497" i="51"/>
  <c r="AT505" i="51"/>
  <c r="AU504" i="51"/>
  <c r="AW484" i="51"/>
  <c r="AS496" i="51"/>
  <c r="AU491" i="51"/>
  <c r="AW482" i="51"/>
  <c r="AU472" i="51"/>
  <c r="AV471" i="51"/>
  <c r="AV482" i="51"/>
  <c r="AQ470" i="51"/>
  <c r="AP497" i="51"/>
  <c r="AO483" i="51"/>
  <c r="AM478" i="51"/>
  <c r="AM471" i="51"/>
  <c r="AR497" i="51"/>
  <c r="AO507" i="51"/>
  <c r="AR479" i="51"/>
  <c r="AM488" i="51"/>
  <c r="AN478" i="51"/>
  <c r="AM503" i="51"/>
  <c r="AM482" i="51"/>
  <c r="AN473" i="51"/>
  <c r="AO491" i="51"/>
  <c r="AO472" i="51"/>
  <c r="AP493" i="51"/>
  <c r="AO489" i="51"/>
  <c r="AM483" i="51"/>
  <c r="AM500" i="51"/>
  <c r="AP478" i="51"/>
  <c r="AO492" i="51"/>
  <c r="AM474" i="51"/>
  <c r="AN488" i="51"/>
  <c r="AR470" i="51"/>
  <c r="AQ481" i="51"/>
  <c r="AP492" i="51"/>
  <c r="AR502" i="51"/>
  <c r="AQ495" i="51"/>
  <c r="AP506" i="51"/>
  <c r="AO496" i="51"/>
  <c r="AR503" i="51"/>
  <c r="AR483" i="51"/>
  <c r="AR501" i="51"/>
  <c r="AP479" i="51"/>
  <c r="AQ494" i="51"/>
  <c r="AM475" i="51"/>
  <c r="AN489" i="51"/>
  <c r="AO471" i="51"/>
  <c r="AN482" i="51"/>
  <c r="AM493" i="51"/>
  <c r="AO503" i="51"/>
  <c r="AN496" i="51"/>
  <c r="AM507" i="51"/>
  <c r="AO488" i="51"/>
  <c r="AP485" i="51"/>
  <c r="AN481" i="51"/>
  <c r="AN497" i="51"/>
  <c r="AQ476" i="51"/>
  <c r="AM490" i="51"/>
  <c r="AN472" i="51"/>
  <c r="AO486" i="51"/>
  <c r="AO506" i="51"/>
  <c r="AP480" i="51"/>
  <c r="AR490" i="51"/>
  <c r="AQ501" i="51"/>
  <c r="AP494" i="51"/>
  <c r="AA507" i="51"/>
  <c r="Y505" i="51"/>
  <c r="Z502" i="51"/>
  <c r="AA499" i="51"/>
  <c r="Y497" i="51"/>
  <c r="Z494" i="51"/>
  <c r="AA491" i="51"/>
  <c r="Y489" i="51"/>
  <c r="Z486" i="51"/>
  <c r="AA483" i="51"/>
  <c r="Y481" i="51"/>
  <c r="Z478" i="51"/>
  <c r="AA475" i="51"/>
  <c r="Y473" i="51"/>
  <c r="Z470" i="51"/>
  <c r="Y506" i="51"/>
  <c r="Z503" i="51"/>
  <c r="AA500" i="51"/>
  <c r="Y498" i="51"/>
  <c r="Z495" i="51"/>
  <c r="AA492" i="51"/>
  <c r="Y490" i="51"/>
  <c r="Z487" i="51"/>
  <c r="AA484" i="51"/>
  <c r="Y482" i="51"/>
  <c r="Z479" i="51"/>
  <c r="AA476" i="51"/>
  <c r="Y474" i="51"/>
  <c r="Z471" i="51"/>
  <c r="AA506" i="51"/>
  <c r="Y504" i="51"/>
  <c r="Z501" i="51"/>
  <c r="AA498" i="51"/>
  <c r="Y496" i="51"/>
  <c r="Z493" i="51"/>
  <c r="AA490" i="51"/>
  <c r="Y488" i="51"/>
  <c r="Z485" i="51"/>
  <c r="AA482" i="51"/>
  <c r="Y480" i="51"/>
  <c r="Z477" i="51"/>
  <c r="AA474" i="51"/>
  <c r="Y472" i="51"/>
  <c r="X506" i="51"/>
  <c r="V496" i="51"/>
  <c r="Z484" i="51"/>
  <c r="X474" i="51"/>
  <c r="W501" i="51"/>
  <c r="AA489" i="51"/>
  <c r="Y479" i="51"/>
  <c r="Y507" i="51"/>
  <c r="W481" i="51"/>
  <c r="V492" i="51"/>
  <c r="Z480" i="51"/>
  <c r="Y499" i="51"/>
  <c r="W473" i="51"/>
  <c r="Z488" i="51"/>
  <c r="Z506" i="51"/>
  <c r="AA503" i="51"/>
  <c r="Y501" i="51"/>
  <c r="Z498" i="51"/>
  <c r="AA495" i="51"/>
  <c r="Y493" i="51"/>
  <c r="Z490" i="51"/>
  <c r="AA487" i="51"/>
  <c r="Y485" i="51"/>
  <c r="Z482" i="51"/>
  <c r="AA479" i="51"/>
  <c r="Y477" i="51"/>
  <c r="Z474" i="51"/>
  <c r="AA471" i="51"/>
  <c r="Z507" i="51"/>
  <c r="AA504" i="51"/>
  <c r="Y502" i="51"/>
  <c r="Z499" i="51"/>
  <c r="AA496" i="51"/>
  <c r="Y494" i="51"/>
  <c r="Z491" i="51"/>
  <c r="AA488" i="51"/>
  <c r="Y486" i="51"/>
  <c r="Z483" i="51"/>
  <c r="AA480" i="51"/>
  <c r="Y478" i="51"/>
  <c r="Z475" i="51"/>
  <c r="AA472" i="51"/>
  <c r="Y470" i="51"/>
  <c r="Z505" i="51"/>
  <c r="AA502" i="51"/>
  <c r="Y500" i="51"/>
  <c r="Z497" i="51"/>
  <c r="AA494" i="51"/>
  <c r="Y492" i="51"/>
  <c r="Z489" i="51"/>
  <c r="AA486" i="51"/>
  <c r="Y484" i="51"/>
  <c r="Z481" i="51"/>
  <c r="AA478" i="51"/>
  <c r="Y476" i="51"/>
  <c r="Z473" i="51"/>
  <c r="AA470" i="51"/>
  <c r="Z500" i="51"/>
  <c r="X490" i="51"/>
  <c r="V480" i="51"/>
  <c r="AA505" i="51"/>
  <c r="Y495" i="51"/>
  <c r="W485" i="51"/>
  <c r="AA473" i="51"/>
  <c r="AA501" i="51"/>
  <c r="Y475" i="51"/>
  <c r="X486" i="51"/>
  <c r="W505" i="51"/>
  <c r="AA493" i="51"/>
  <c r="Y491" i="51"/>
  <c r="W497" i="51"/>
  <c r="X504" i="51"/>
  <c r="W499" i="51"/>
  <c r="V494" i="51"/>
  <c r="X488" i="51"/>
  <c r="W483" i="51"/>
  <c r="V478" i="51"/>
  <c r="X472" i="51"/>
  <c r="X505" i="51"/>
  <c r="W500" i="51"/>
  <c r="V495" i="51"/>
  <c r="X489" i="51"/>
  <c r="W484" i="51"/>
  <c r="V479" i="51"/>
  <c r="X473" i="51"/>
  <c r="W506" i="51"/>
  <c r="V501" i="51"/>
  <c r="X495" i="51"/>
  <c r="W490" i="51"/>
  <c r="V485" i="51"/>
  <c r="X479" i="51"/>
  <c r="W474" i="51"/>
  <c r="Y503" i="51"/>
  <c r="AA481" i="51"/>
  <c r="X498" i="51"/>
  <c r="Z476" i="51"/>
  <c r="X478" i="51"/>
  <c r="AA477" i="51"/>
  <c r="X470" i="51"/>
  <c r="W503" i="51"/>
  <c r="V498" i="51"/>
  <c r="X492" i="51"/>
  <c r="W487" i="51"/>
  <c r="V482" i="51"/>
  <c r="X476" i="51"/>
  <c r="W471" i="51"/>
  <c r="W504" i="51"/>
  <c r="V499" i="51"/>
  <c r="X493" i="51"/>
  <c r="W488" i="51"/>
  <c r="V483" i="51"/>
  <c r="X477" i="51"/>
  <c r="W472" i="51"/>
  <c r="V505" i="51"/>
  <c r="X499" i="51"/>
  <c r="W494" i="51"/>
  <c r="V489" i="51"/>
  <c r="X483" i="51"/>
  <c r="W478" i="51"/>
  <c r="V473" i="51"/>
  <c r="AA497" i="51"/>
  <c r="W477" i="51"/>
  <c r="Z492" i="51"/>
  <c r="V472" i="51"/>
  <c r="Z472" i="51"/>
  <c r="X502" i="51"/>
  <c r="V500" i="51"/>
  <c r="W507" i="51"/>
  <c r="V502" i="51"/>
  <c r="X496" i="51"/>
  <c r="W491" i="51"/>
  <c r="V486" i="51"/>
  <c r="X480" i="51"/>
  <c r="W475" i="51"/>
  <c r="V470" i="51"/>
  <c r="V503" i="51"/>
  <c r="X497" i="51"/>
  <c r="W492" i="51"/>
  <c r="V487" i="51"/>
  <c r="X481" i="51"/>
  <c r="W476" i="51"/>
  <c r="V471" i="51"/>
  <c r="X503" i="51"/>
  <c r="W498" i="51"/>
  <c r="V493" i="51"/>
  <c r="X487" i="51"/>
  <c r="W482" i="51"/>
  <c r="V477" i="51"/>
  <c r="X471" i="51"/>
  <c r="W493" i="51"/>
  <c r="Y471" i="51"/>
  <c r="V488" i="51"/>
  <c r="Z504" i="51"/>
  <c r="W489" i="51"/>
  <c r="Z496" i="51"/>
  <c r="X494" i="51"/>
  <c r="V506" i="51"/>
  <c r="X500" i="51"/>
  <c r="W495" i="51"/>
  <c r="V490" i="51"/>
  <c r="X484" i="51"/>
  <c r="W479" i="51"/>
  <c r="V474" i="51"/>
  <c r="V507" i="51"/>
  <c r="X501" i="51"/>
  <c r="W496" i="51"/>
  <c r="V491" i="51"/>
  <c r="X485" i="51"/>
  <c r="W480" i="51"/>
  <c r="V475" i="51"/>
  <c r="X507" i="51"/>
  <c r="W502" i="51"/>
  <c r="V497" i="51"/>
  <c r="X491" i="51"/>
  <c r="W486" i="51"/>
  <c r="V481" i="51"/>
  <c r="X475" i="51"/>
  <c r="W470" i="51"/>
  <c r="Y487" i="51"/>
  <c r="V504" i="51"/>
  <c r="X482" i="51"/>
  <c r="V484" i="51"/>
  <c r="Y483" i="51"/>
  <c r="V476" i="51"/>
  <c r="AA485" i="51"/>
  <c r="AC470" i="51"/>
  <c r="AC496" i="51"/>
  <c r="AB492" i="51"/>
  <c r="AE481" i="51"/>
  <c r="AF500" i="51"/>
  <c r="AF480" i="51"/>
  <c r="AF495" i="51"/>
  <c r="AE502" i="51"/>
  <c r="AE500" i="51"/>
  <c r="AD490" i="51"/>
  <c r="AD494" i="51"/>
  <c r="AC488" i="51"/>
  <c r="AC476" i="51"/>
  <c r="AB483" i="51"/>
  <c r="AB473" i="51"/>
  <c r="AF474" i="51"/>
  <c r="AE480" i="51"/>
  <c r="AE488" i="51"/>
  <c r="AD481" i="51"/>
  <c r="AD470" i="51"/>
  <c r="AC489" i="51"/>
  <c r="AC498" i="51"/>
  <c r="AC494" i="51"/>
  <c r="AB501" i="51"/>
  <c r="AB470" i="51"/>
  <c r="AF506" i="51"/>
  <c r="AF496" i="51"/>
  <c r="AE475" i="51"/>
  <c r="AE507" i="51"/>
  <c r="AD504" i="51"/>
  <c r="AD480" i="51"/>
  <c r="AD499" i="51"/>
  <c r="AC505" i="51"/>
  <c r="AC485" i="51"/>
  <c r="AB491" i="51"/>
  <c r="AB481" i="51"/>
  <c r="AF488" i="51"/>
  <c r="AF491" i="51"/>
  <c r="AE493" i="51"/>
  <c r="AE476" i="51"/>
  <c r="AE487" i="51"/>
  <c r="AD475" i="51"/>
  <c r="AD500" i="51"/>
  <c r="AC473" i="51"/>
  <c r="AC478" i="51"/>
  <c r="AB494" i="51"/>
  <c r="AB493" i="51"/>
  <c r="AB507" i="51"/>
  <c r="AB471" i="51"/>
  <c r="AF502" i="51"/>
  <c r="AE486" i="51"/>
  <c r="AC487" i="51"/>
  <c r="AF476" i="51"/>
  <c r="AF499" i="51"/>
  <c r="AE471" i="51"/>
  <c r="AE473" i="51"/>
  <c r="AE470" i="51"/>
  <c r="AD498" i="51"/>
  <c r="AD493" i="51"/>
  <c r="AC499" i="51"/>
  <c r="AC497" i="51"/>
  <c r="AB479" i="51"/>
  <c r="AF503" i="51"/>
  <c r="AE501" i="51"/>
  <c r="AE482" i="51"/>
  <c r="AD473" i="51"/>
  <c r="AD477" i="51"/>
  <c r="AC479" i="51"/>
  <c r="AC506" i="51"/>
  <c r="AC500" i="51"/>
  <c r="AB506" i="51"/>
  <c r="AB504" i="51"/>
  <c r="AF471" i="51"/>
  <c r="AF492" i="51"/>
  <c r="AF473" i="51"/>
  <c r="AE503" i="51"/>
  <c r="AE494" i="51"/>
  <c r="AD495" i="51"/>
  <c r="AD474" i="51"/>
  <c r="AC482" i="51"/>
  <c r="AC484" i="51"/>
  <c r="AC486" i="51"/>
  <c r="AB502" i="51"/>
  <c r="AB484" i="51"/>
  <c r="AF487" i="51"/>
  <c r="AF494" i="51"/>
  <c r="AE489" i="51"/>
  <c r="AE478" i="51"/>
  <c r="AD486" i="51"/>
  <c r="AD497" i="51"/>
  <c r="AD484" i="51"/>
  <c r="AC501" i="51"/>
  <c r="AC493" i="51"/>
  <c r="AB476" i="51"/>
  <c r="AB487" i="51"/>
  <c r="AB474" i="51"/>
  <c r="AB495" i="51"/>
  <c r="AF493" i="51"/>
  <c r="AB500" i="51"/>
  <c r="AF481" i="51"/>
  <c r="AF504" i="51"/>
  <c r="AF484" i="51"/>
  <c r="AE483" i="51"/>
  <c r="AE485" i="51"/>
  <c r="AD492" i="51"/>
  <c r="AD491" i="51"/>
  <c r="AD505" i="51"/>
  <c r="AC475" i="51"/>
  <c r="AB497" i="51"/>
  <c r="AB482" i="51"/>
  <c r="AF497" i="51"/>
  <c r="AF507" i="51"/>
  <c r="AE505" i="51"/>
  <c r="AE506" i="51"/>
  <c r="AD502" i="51"/>
  <c r="AD488" i="51"/>
  <c r="AC477" i="51"/>
  <c r="AC480" i="51"/>
  <c r="AB503" i="51"/>
  <c r="AB485" i="51"/>
  <c r="AF477" i="51"/>
  <c r="AF479" i="51"/>
  <c r="AE504" i="51"/>
  <c r="AE477" i="51"/>
  <c r="AE492" i="51"/>
  <c r="AD503" i="51"/>
  <c r="AD506" i="51"/>
  <c r="AC503" i="51"/>
  <c r="AC483" i="51"/>
  <c r="AB505" i="51"/>
  <c r="AB478" i="51"/>
  <c r="AF490" i="51"/>
  <c r="AF482" i="51"/>
  <c r="AF472" i="51"/>
  <c r="AE497" i="51"/>
  <c r="AE490" i="51"/>
  <c r="AD476" i="51"/>
  <c r="AD507" i="51"/>
  <c r="AC481" i="51"/>
  <c r="AC495" i="51"/>
  <c r="AC507" i="51"/>
  <c r="AB488" i="51"/>
  <c r="AB499" i="51"/>
  <c r="AB486" i="51"/>
  <c r="AF475" i="51"/>
  <c r="AD483" i="51"/>
  <c r="AF478" i="51"/>
  <c r="AF483" i="51"/>
  <c r="AE499" i="51"/>
  <c r="AE498" i="51"/>
  <c r="AD496" i="51"/>
  <c r="AD479" i="51"/>
  <c r="AD478" i="51"/>
  <c r="AC474" i="51"/>
  <c r="AC471" i="51"/>
  <c r="AB490" i="51"/>
  <c r="AF505" i="51"/>
  <c r="AF470" i="51"/>
  <c r="AE484" i="51"/>
  <c r="AE491" i="51"/>
  <c r="AD472" i="51"/>
  <c r="AD471" i="51"/>
  <c r="AC492" i="51"/>
  <c r="AC491" i="51"/>
  <c r="AB498" i="51"/>
  <c r="AB475" i="51"/>
  <c r="AF498" i="51"/>
  <c r="AF485" i="51"/>
  <c r="AE495" i="51"/>
  <c r="AE474" i="51"/>
  <c r="AE472" i="51"/>
  <c r="AD485" i="51"/>
  <c r="AD487" i="51"/>
  <c r="AC502" i="51"/>
  <c r="AC490" i="51"/>
  <c r="AB489" i="51"/>
  <c r="AB477" i="51"/>
  <c r="AB480" i="51"/>
  <c r="AF501" i="51"/>
  <c r="AF486" i="51"/>
  <c r="AF489" i="51"/>
  <c r="AE496" i="51"/>
  <c r="AE479" i="51"/>
  <c r="AD501" i="51"/>
  <c r="AD489" i="51"/>
  <c r="AD482" i="51"/>
  <c r="AC504" i="51"/>
  <c r="AC472" i="51"/>
  <c r="AB496" i="51"/>
  <c r="AB472" i="51"/>
  <c r="K606" i="51" a="1"/>
  <c r="M606" i="51" a="1"/>
  <c r="J606" i="51" a="1"/>
  <c r="L606" i="51" a="1"/>
  <c r="M508" i="51"/>
  <c r="H508" i="51"/>
  <c r="L508" i="51"/>
  <c r="K508" i="51"/>
  <c r="I508" i="51"/>
  <c r="N508" i="51"/>
  <c r="E508" i="51"/>
  <c r="F508" i="51"/>
  <c r="G508" i="51"/>
  <c r="O508" i="51"/>
  <c r="J508" i="51"/>
  <c r="AS606" i="51" l="1" a="1"/>
  <c r="AQ508" i="51"/>
  <c r="AU508" i="51"/>
  <c r="AS508" i="51"/>
  <c r="AW508" i="51"/>
  <c r="AR606" i="51" a="1"/>
  <c r="AR642" i="51" s="1"/>
  <c r="AV508" i="51"/>
  <c r="AT508" i="51"/>
  <c r="AM508" i="51"/>
  <c r="AP508" i="51"/>
  <c r="AN508" i="51"/>
  <c r="AU606" i="51" a="1"/>
  <c r="AU609" i="51" s="1"/>
  <c r="AO508" i="51"/>
  <c r="AT606" i="51" a="1"/>
  <c r="AT631" i="51" s="1"/>
  <c r="AR508" i="51"/>
  <c r="AR612" i="51"/>
  <c r="AR608" i="51"/>
  <c r="AR643" i="51"/>
  <c r="AS641" i="51"/>
  <c r="AS636" i="51"/>
  <c r="AS620" i="51"/>
  <c r="AS628" i="51"/>
  <c r="AS612" i="51"/>
  <c r="AS640" i="51"/>
  <c r="AS624" i="51"/>
  <c r="AS608" i="51"/>
  <c r="AS632" i="51"/>
  <c r="AS616" i="51"/>
  <c r="AS618" i="51"/>
  <c r="AS634" i="51"/>
  <c r="AS607" i="51"/>
  <c r="AS623" i="51"/>
  <c r="AS639" i="51"/>
  <c r="AS613" i="51"/>
  <c r="AS629" i="51"/>
  <c r="AS622" i="51"/>
  <c r="AS638" i="51"/>
  <c r="AS611" i="51"/>
  <c r="AS627" i="51"/>
  <c r="AS643" i="51"/>
  <c r="AS617" i="51"/>
  <c r="AS633" i="51"/>
  <c r="AS610" i="51"/>
  <c r="AS626" i="51"/>
  <c r="AS642" i="51"/>
  <c r="AS615" i="51"/>
  <c r="AS631" i="51"/>
  <c r="AS606" i="51"/>
  <c r="AS621" i="51"/>
  <c r="AS637" i="51"/>
  <c r="AS614" i="51"/>
  <c r="AS630" i="51"/>
  <c r="AS619" i="51"/>
  <c r="AS635" i="51"/>
  <c r="AS609" i="51"/>
  <c r="AS625" i="51"/>
  <c r="AF508" i="51"/>
  <c r="AB606" i="51" a="1"/>
  <c r="AD606" i="51" a="1"/>
  <c r="AC606" i="51" a="1"/>
  <c r="AA606" i="51" a="1"/>
  <c r="V508" i="51"/>
  <c r="Y508" i="51"/>
  <c r="AE508" i="51"/>
  <c r="AB508" i="51"/>
  <c r="AC508" i="51"/>
  <c r="W508" i="51"/>
  <c r="AD508" i="51"/>
  <c r="AA508" i="51"/>
  <c r="X508" i="51"/>
  <c r="Z508" i="51"/>
  <c r="J606" i="51"/>
  <c r="J637" i="51"/>
  <c r="J621" i="51"/>
  <c r="J640" i="51"/>
  <c r="J624" i="51"/>
  <c r="J608" i="51"/>
  <c r="J631" i="51"/>
  <c r="J615" i="51"/>
  <c r="J638" i="51"/>
  <c r="J622" i="51"/>
  <c r="J633" i="51"/>
  <c r="J617" i="51"/>
  <c r="J636" i="51"/>
  <c r="J620" i="51"/>
  <c r="J643" i="51"/>
  <c r="J627" i="51"/>
  <c r="J611" i="51"/>
  <c r="J634" i="51"/>
  <c r="J618" i="51"/>
  <c r="J629" i="51"/>
  <c r="J613" i="51"/>
  <c r="J632" i="51"/>
  <c r="J616" i="51"/>
  <c r="J639" i="51"/>
  <c r="J623" i="51"/>
  <c r="J607" i="51"/>
  <c r="J630" i="51"/>
  <c r="J614" i="51"/>
  <c r="J641" i="51"/>
  <c r="J612" i="51"/>
  <c r="J626" i="51"/>
  <c r="J625" i="51"/>
  <c r="J635" i="51"/>
  <c r="J610" i="51"/>
  <c r="J642" i="51"/>
  <c r="J609" i="51"/>
  <c r="J619" i="51"/>
  <c r="J628" i="51"/>
  <c r="M606" i="51"/>
  <c r="M641" i="51"/>
  <c r="M625" i="51"/>
  <c r="M609" i="51"/>
  <c r="M628" i="51"/>
  <c r="M612" i="51"/>
  <c r="M635" i="51"/>
  <c r="M619" i="51"/>
  <c r="M642" i="51"/>
  <c r="M626" i="51"/>
  <c r="M610" i="51"/>
  <c r="M637" i="51"/>
  <c r="M621" i="51"/>
  <c r="M640" i="51"/>
  <c r="M624" i="51"/>
  <c r="M608" i="51"/>
  <c r="M631" i="51"/>
  <c r="M615" i="51"/>
  <c r="M638" i="51"/>
  <c r="M622" i="51"/>
  <c r="M633" i="51"/>
  <c r="M617" i="51"/>
  <c r="M636" i="51"/>
  <c r="M620" i="51"/>
  <c r="M643" i="51"/>
  <c r="M627" i="51"/>
  <c r="M611" i="51"/>
  <c r="M634" i="51"/>
  <c r="M618" i="51"/>
  <c r="M616" i="51"/>
  <c r="M630" i="51"/>
  <c r="M629" i="51"/>
  <c r="M639" i="51"/>
  <c r="M614" i="51"/>
  <c r="M613" i="51"/>
  <c r="M623" i="51"/>
  <c r="M632" i="51"/>
  <c r="M607" i="51"/>
  <c r="L606" i="51"/>
  <c r="L640" i="51"/>
  <c r="L608" i="51"/>
  <c r="L631" i="51"/>
  <c r="L615" i="51"/>
  <c r="L633" i="51"/>
  <c r="L609" i="51"/>
  <c r="L612" i="51"/>
  <c r="L630" i="51"/>
  <c r="L614" i="51"/>
  <c r="L641" i="51"/>
  <c r="L632" i="51"/>
  <c r="L643" i="51"/>
  <c r="L627" i="51"/>
  <c r="L611" i="51"/>
  <c r="L629" i="51"/>
  <c r="L636" i="51"/>
  <c r="L642" i="51"/>
  <c r="L626" i="51"/>
  <c r="L610" i="51"/>
  <c r="L625" i="51"/>
  <c r="L624" i="51"/>
  <c r="L639" i="51"/>
  <c r="L623" i="51"/>
  <c r="L607" i="51"/>
  <c r="L621" i="51"/>
  <c r="L628" i="51"/>
  <c r="L638" i="51"/>
  <c r="L622" i="51"/>
  <c r="L635" i="51"/>
  <c r="L620" i="51"/>
  <c r="L619" i="51"/>
  <c r="L634" i="51"/>
  <c r="L613" i="51"/>
  <c r="L637" i="51"/>
  <c r="L618" i="51"/>
  <c r="L616" i="51"/>
  <c r="L617" i="51"/>
  <c r="K606" i="51"/>
  <c r="K633" i="51"/>
  <c r="K617" i="51"/>
  <c r="K636" i="51"/>
  <c r="K620" i="51"/>
  <c r="K643" i="51"/>
  <c r="K627" i="51"/>
  <c r="K611" i="51"/>
  <c r="K634" i="51"/>
  <c r="K618" i="51"/>
  <c r="K629" i="51"/>
  <c r="K613" i="51"/>
  <c r="K632" i="51"/>
  <c r="K616" i="51"/>
  <c r="K639" i="51"/>
  <c r="K623" i="51"/>
  <c r="K607" i="51"/>
  <c r="K630" i="51"/>
  <c r="K614" i="51"/>
  <c r="K641" i="51"/>
  <c r="K625" i="51"/>
  <c r="K609" i="51"/>
  <c r="K628" i="51"/>
  <c r="K612" i="51"/>
  <c r="K635" i="51"/>
  <c r="K619" i="51"/>
  <c r="K642" i="51"/>
  <c r="K626" i="51"/>
  <c r="K610" i="51"/>
  <c r="K621" i="51"/>
  <c r="K631" i="51"/>
  <c r="K608" i="51"/>
  <c r="K640" i="51"/>
  <c r="K615" i="51"/>
  <c r="K624" i="51"/>
  <c r="K638" i="51"/>
  <c r="K637" i="51"/>
  <c r="K622" i="51"/>
  <c r="AR609" i="51" l="1"/>
  <c r="AU624" i="51"/>
  <c r="AU615" i="51"/>
  <c r="AU611" i="51"/>
  <c r="AU643" i="51"/>
  <c r="AU637" i="51"/>
  <c r="AU633" i="51"/>
  <c r="AU629" i="51"/>
  <c r="AU628" i="51"/>
  <c r="AU640" i="51"/>
  <c r="AU617" i="51"/>
  <c r="AU616" i="51"/>
  <c r="AU612" i="51"/>
  <c r="AU639" i="51"/>
  <c r="AU634" i="51"/>
  <c r="AU630" i="51"/>
  <c r="AU642" i="51"/>
  <c r="AU622" i="51"/>
  <c r="AR610" i="51"/>
  <c r="AV610" i="51" s="1"/>
  <c r="AR607" i="51"/>
  <c r="AU618" i="51"/>
  <c r="AU635" i="51"/>
  <c r="AU631" i="51"/>
  <c r="AU613" i="51"/>
  <c r="AU641" i="51"/>
  <c r="AR626" i="51"/>
  <c r="AR606" i="51"/>
  <c r="AU623" i="51"/>
  <c r="AU606" i="51"/>
  <c r="AU619" i="51"/>
  <c r="AU636" i="51"/>
  <c r="AU610" i="51"/>
  <c r="AU627" i="51"/>
  <c r="AU625" i="51"/>
  <c r="AR634" i="51"/>
  <c r="AR621" i="51"/>
  <c r="AR624" i="51"/>
  <c r="AR625" i="51"/>
  <c r="AR628" i="51"/>
  <c r="AR618" i="51"/>
  <c r="AR627" i="51"/>
  <c r="AR629" i="51"/>
  <c r="AR631" i="51"/>
  <c r="AV631" i="51" s="1"/>
  <c r="AR633" i="51"/>
  <c r="AU607" i="51"/>
  <c r="AU621" i="51"/>
  <c r="AU608" i="51"/>
  <c r="AU614" i="51"/>
  <c r="AU620" i="51"/>
  <c r="AU626" i="51"/>
  <c r="AU632" i="51"/>
  <c r="AU638" i="51"/>
  <c r="AR638" i="51"/>
  <c r="AR630" i="51"/>
  <c r="AR611" i="51"/>
  <c r="AR632" i="51"/>
  <c r="AV632" i="51" s="1"/>
  <c r="AR613" i="51"/>
  <c r="AR635" i="51"/>
  <c r="AR615" i="51"/>
  <c r="AR636" i="51"/>
  <c r="AR617" i="51"/>
  <c r="AR639" i="51"/>
  <c r="AR622" i="51"/>
  <c r="AR614" i="51"/>
  <c r="AR616" i="51"/>
  <c r="AR637" i="51"/>
  <c r="AR619" i="51"/>
  <c r="AR640" i="51"/>
  <c r="AR620" i="51"/>
  <c r="AR641" i="51"/>
  <c r="AR623" i="51"/>
  <c r="AT622" i="51"/>
  <c r="AT630" i="51"/>
  <c r="AT633" i="51"/>
  <c r="AT613" i="51"/>
  <c r="AT615" i="51"/>
  <c r="AT628" i="51"/>
  <c r="AT640" i="51"/>
  <c r="AT618" i="51"/>
  <c r="AT614" i="51"/>
  <c r="AT609" i="51"/>
  <c r="AV609" i="51" s="1"/>
  <c r="AT641" i="51"/>
  <c r="AT627" i="51"/>
  <c r="AV627" i="51" s="1"/>
  <c r="AT621" i="51"/>
  <c r="AT623" i="51"/>
  <c r="AT626" i="51"/>
  <c r="AV626" i="51" s="1"/>
  <c r="AT638" i="51"/>
  <c r="AT608" i="51"/>
  <c r="AT620" i="51"/>
  <c r="AV620" i="51" s="1"/>
  <c r="AT616" i="51"/>
  <c r="AT625" i="51"/>
  <c r="AT611" i="51"/>
  <c r="AT643" i="51"/>
  <c r="AV643" i="51" s="1"/>
  <c r="AT607" i="51"/>
  <c r="AT639" i="51"/>
  <c r="AT610" i="51"/>
  <c r="AT634" i="51"/>
  <c r="AT637" i="51"/>
  <c r="AT619" i="51"/>
  <c r="AT642" i="51"/>
  <c r="AT612" i="51"/>
  <c r="AV612" i="51" s="1"/>
  <c r="AT624" i="51"/>
  <c r="AT636" i="51"/>
  <c r="AT632" i="51"/>
  <c r="AT617" i="51"/>
  <c r="AT606" i="51"/>
  <c r="AT635" i="51"/>
  <c r="AV635" i="51" s="1"/>
  <c r="AT629" i="51"/>
  <c r="AC641" i="51"/>
  <c r="AC638" i="51"/>
  <c r="AC630" i="51"/>
  <c r="AC622" i="51"/>
  <c r="AC614" i="51"/>
  <c r="AC606" i="51"/>
  <c r="AC642" i="51"/>
  <c r="AC634" i="51"/>
  <c r="AC626" i="51"/>
  <c r="AC618" i="51"/>
  <c r="AC610" i="51"/>
  <c r="AC640" i="51"/>
  <c r="AC632" i="51"/>
  <c r="AC624" i="51"/>
  <c r="AC616" i="51"/>
  <c r="AC608" i="51"/>
  <c r="AC636" i="51"/>
  <c r="AC628" i="51"/>
  <c r="AC620" i="51"/>
  <c r="AC612" i="51"/>
  <c r="AC611" i="51"/>
  <c r="AC627" i="51"/>
  <c r="AC643" i="51"/>
  <c r="AC613" i="51"/>
  <c r="AC629" i="51"/>
  <c r="AC623" i="51"/>
  <c r="AC615" i="51"/>
  <c r="AC631" i="51"/>
  <c r="AC617" i="51"/>
  <c r="AC633" i="51"/>
  <c r="AC619" i="51"/>
  <c r="AC635" i="51"/>
  <c r="AC621" i="51"/>
  <c r="AC637" i="51"/>
  <c r="AC607" i="51"/>
  <c r="AC639" i="51"/>
  <c r="AC609" i="51"/>
  <c r="AC625" i="51"/>
  <c r="AD642" i="51"/>
  <c r="AD615" i="51"/>
  <c r="AD631" i="51"/>
  <c r="AD620" i="51"/>
  <c r="AD636" i="51"/>
  <c r="AD613" i="51"/>
  <c r="AD629" i="51"/>
  <c r="AD610" i="51"/>
  <c r="AD626" i="51"/>
  <c r="AD643" i="51"/>
  <c r="AD632" i="51"/>
  <c r="AD625" i="51"/>
  <c r="AD606" i="51"/>
  <c r="AD638" i="51"/>
  <c r="AD619" i="51"/>
  <c r="AD635" i="51"/>
  <c r="AD608" i="51"/>
  <c r="AD624" i="51"/>
  <c r="AD640" i="51"/>
  <c r="AD617" i="51"/>
  <c r="AD633" i="51"/>
  <c r="AD614" i="51"/>
  <c r="AD630" i="51"/>
  <c r="AD607" i="51"/>
  <c r="AD623" i="51"/>
  <c r="AD639" i="51"/>
  <c r="AD612" i="51"/>
  <c r="AD628" i="51"/>
  <c r="AD621" i="51"/>
  <c r="AD637" i="51"/>
  <c r="AD618" i="51"/>
  <c r="AD634" i="51"/>
  <c r="AD611" i="51"/>
  <c r="AD627" i="51"/>
  <c r="AD616" i="51"/>
  <c r="AD609" i="51"/>
  <c r="AD641" i="51"/>
  <c r="AD622" i="51"/>
  <c r="AB640" i="51"/>
  <c r="AB631" i="51"/>
  <c r="AB615" i="51"/>
  <c r="AB639" i="51"/>
  <c r="AB623" i="51"/>
  <c r="AB607" i="51"/>
  <c r="AB635" i="51"/>
  <c r="AB619" i="51"/>
  <c r="AB627" i="51"/>
  <c r="AB611" i="51"/>
  <c r="AB621" i="51"/>
  <c r="AB637" i="51"/>
  <c r="AB618" i="51"/>
  <c r="AB634" i="51"/>
  <c r="AB612" i="51"/>
  <c r="AB628" i="51"/>
  <c r="AB633" i="51"/>
  <c r="AB630" i="51"/>
  <c r="AB624" i="51"/>
  <c r="AB609" i="51"/>
  <c r="AB625" i="51"/>
  <c r="AB641" i="51"/>
  <c r="AB606" i="51"/>
  <c r="AB622" i="51"/>
  <c r="AB638" i="51"/>
  <c r="AB616" i="51"/>
  <c r="AB632" i="51"/>
  <c r="AB613" i="51"/>
  <c r="AB629" i="51"/>
  <c r="AB610" i="51"/>
  <c r="AB626" i="51"/>
  <c r="AB642" i="51"/>
  <c r="AB643" i="51"/>
  <c r="AB620" i="51"/>
  <c r="AB636" i="51"/>
  <c r="AB617" i="51"/>
  <c r="AB614" i="51"/>
  <c r="AB608" i="51"/>
  <c r="AA643" i="51"/>
  <c r="AA642" i="51"/>
  <c r="AA634" i="51"/>
  <c r="AA626" i="51"/>
  <c r="AA618" i="51"/>
  <c r="AA611" i="51"/>
  <c r="AA606" i="51"/>
  <c r="AA638" i="51"/>
  <c r="AA630" i="51"/>
  <c r="AA622" i="51"/>
  <c r="AA614" i="51"/>
  <c r="AA608" i="51"/>
  <c r="AA640" i="51"/>
  <c r="AA632" i="51"/>
  <c r="AA624" i="51"/>
  <c r="AA616" i="51"/>
  <c r="AA610" i="51"/>
  <c r="AA636" i="51"/>
  <c r="AA628" i="51"/>
  <c r="AA620" i="51"/>
  <c r="AA612" i="51"/>
  <c r="AA607" i="51"/>
  <c r="AA609" i="51"/>
  <c r="AA625" i="51"/>
  <c r="AA641" i="51"/>
  <c r="AA615" i="51"/>
  <c r="AA631" i="51"/>
  <c r="AA637" i="51"/>
  <c r="AA627" i="51"/>
  <c r="AA613" i="51"/>
  <c r="AE613" i="51" s="1"/>
  <c r="AA629" i="51"/>
  <c r="AA619" i="51"/>
  <c r="AA635" i="51"/>
  <c r="AA617" i="51"/>
  <c r="AA633" i="51"/>
  <c r="AA623" i="51"/>
  <c r="AA639" i="51"/>
  <c r="AA621" i="51"/>
  <c r="AV625" i="51"/>
  <c r="N625" i="51"/>
  <c r="N639" i="51"/>
  <c r="N617" i="51"/>
  <c r="N642" i="51"/>
  <c r="N626" i="51"/>
  <c r="N630" i="51"/>
  <c r="N616" i="51"/>
  <c r="N618" i="51"/>
  <c r="N643" i="51"/>
  <c r="N633" i="51"/>
  <c r="N631" i="51"/>
  <c r="N621" i="51"/>
  <c r="N609" i="51"/>
  <c r="N614" i="51"/>
  <c r="N629" i="51"/>
  <c r="N640" i="51"/>
  <c r="N628" i="51"/>
  <c r="N610" i="51"/>
  <c r="N612" i="51"/>
  <c r="N607" i="51"/>
  <c r="N632" i="51"/>
  <c r="N634" i="51"/>
  <c r="N620" i="51"/>
  <c r="N622" i="51"/>
  <c r="N608" i="51"/>
  <c r="N637" i="51"/>
  <c r="N627" i="51"/>
  <c r="N615" i="51"/>
  <c r="N619" i="51"/>
  <c r="N635" i="51"/>
  <c r="N641" i="51"/>
  <c r="N623" i="51"/>
  <c r="N613" i="51"/>
  <c r="N611" i="51"/>
  <c r="N636" i="51"/>
  <c r="N638" i="51"/>
  <c r="N624" i="51"/>
  <c r="N606" i="51"/>
  <c r="L19" i="58"/>
  <c r="N34" i="58"/>
  <c r="L36" i="58"/>
  <c r="O34" i="58"/>
  <c r="N45" i="58"/>
  <c r="O66" i="58"/>
  <c r="N78" i="58"/>
  <c r="M75" i="58"/>
  <c r="O79" i="58"/>
  <c r="L25" i="58"/>
  <c r="L70" i="58"/>
  <c r="M73" i="58"/>
  <c r="M90" i="58"/>
  <c r="L84" i="58"/>
  <c r="N87" i="58"/>
  <c r="L72" i="58"/>
  <c r="O68" i="58"/>
  <c r="N69" i="58"/>
  <c r="O91" i="58"/>
  <c r="L62" i="58"/>
  <c r="M60" i="58"/>
  <c r="L83" i="58"/>
  <c r="L69" i="58"/>
  <c r="L44" i="58"/>
  <c r="L89" i="58"/>
  <c r="N85" i="58"/>
  <c r="N28" i="58"/>
  <c r="L27" i="58"/>
  <c r="L20" i="58"/>
  <c r="M23" i="58"/>
  <c r="O48" i="58"/>
  <c r="O42" i="58"/>
  <c r="N19" i="58"/>
  <c r="M15" i="58"/>
  <c r="M45" i="58"/>
  <c r="L34" i="58"/>
  <c r="N86" i="58"/>
  <c r="N41" i="58"/>
  <c r="N48" i="58"/>
  <c r="O87" i="58"/>
  <c r="M48" i="58"/>
  <c r="O67" i="58"/>
  <c r="O31" i="58"/>
  <c r="L65" i="58"/>
  <c r="M38" i="58"/>
  <c r="O61" i="58"/>
  <c r="O16" i="58"/>
  <c r="O28" i="58"/>
  <c r="M86" i="58"/>
  <c r="L67" i="58"/>
  <c r="L22" i="58"/>
  <c r="M72" i="58"/>
  <c r="M27" i="58"/>
  <c r="N23" i="58"/>
  <c r="L40" i="58"/>
  <c r="L35" i="58"/>
  <c r="O21" i="58"/>
  <c r="M82" i="58"/>
  <c r="M37" i="58"/>
  <c r="M13" i="58"/>
  <c r="M58" i="58"/>
  <c r="N90" i="58"/>
  <c r="O19" i="58"/>
  <c r="L39" i="58"/>
  <c r="N68" i="58"/>
  <c r="O23" i="58"/>
  <c r="M69" i="58"/>
  <c r="N93" i="58"/>
  <c r="L45" i="58"/>
  <c r="N42" i="58"/>
  <c r="L61" i="58"/>
  <c r="L16" i="58"/>
  <c r="N58" i="58"/>
  <c r="N13" i="58"/>
  <c r="L43" i="58"/>
  <c r="M14" i="58"/>
  <c r="M84" i="58"/>
  <c r="M39" i="58"/>
  <c r="N15" i="58"/>
  <c r="M32" i="58"/>
  <c r="O20" i="58"/>
  <c r="N27" i="58"/>
  <c r="L87" i="58"/>
  <c r="L42" i="58"/>
  <c r="M30" i="58"/>
  <c r="O46" i="58"/>
  <c r="L33" i="58"/>
  <c r="N67" i="58"/>
  <c r="N22" i="58"/>
  <c r="L38" i="58"/>
  <c r="M93" i="58"/>
  <c r="L78" i="58"/>
  <c r="N73" i="58"/>
  <c r="L17" i="58"/>
  <c r="N24" i="58"/>
  <c r="L76" i="58"/>
  <c r="O93" i="58"/>
  <c r="N33" i="58"/>
  <c r="M16" i="58"/>
  <c r="M61" i="58"/>
  <c r="N49" i="58"/>
  <c r="N94" i="58"/>
  <c r="N64" i="58"/>
  <c r="L47" i="58"/>
  <c r="L92" i="58"/>
  <c r="L79" i="58"/>
  <c r="N62" i="58"/>
  <c r="L58" i="58"/>
  <c r="N77" i="58"/>
  <c r="N32" i="58"/>
  <c r="N59" i="58"/>
  <c r="N14" i="58"/>
  <c r="N81" i="58"/>
  <c r="N36" i="58"/>
  <c r="L21" i="58"/>
  <c r="L30" i="58"/>
  <c r="O44" i="58"/>
  <c r="L82" i="58"/>
  <c r="L81" i="58"/>
  <c r="L77" i="58"/>
  <c r="O64" i="58"/>
  <c r="L71" i="58"/>
  <c r="M41" i="58"/>
  <c r="M77" i="58"/>
  <c r="L64" i="58"/>
  <c r="N40" i="58"/>
  <c r="M68" i="58"/>
  <c r="M74" i="58"/>
  <c r="M83" i="58"/>
  <c r="L75" i="58"/>
  <c r="M28" i="58"/>
  <c r="L24" i="58"/>
  <c r="O73" i="58"/>
  <c r="L85" i="58"/>
  <c r="N43" i="58"/>
  <c r="N88" i="58"/>
  <c r="O89" i="58"/>
  <c r="M36" i="58"/>
  <c r="M81" i="58"/>
  <c r="N72" i="58"/>
  <c r="L66" i="58"/>
  <c r="N65" i="58"/>
  <c r="N79" i="58"/>
  <c r="O33" i="58"/>
  <c r="N60" i="58"/>
  <c r="M79" i="58"/>
  <c r="O38" i="58"/>
  <c r="M22" i="58"/>
  <c r="M49" i="58"/>
  <c r="L18" i="58"/>
  <c r="L63" i="58"/>
  <c r="M25" i="58"/>
  <c r="M70" i="58"/>
  <c r="N38" i="58"/>
  <c r="L29" i="58"/>
  <c r="L74" i="58"/>
  <c r="M42" i="58"/>
  <c r="M87" i="58"/>
  <c r="L23" i="58"/>
  <c r="M18" i="58"/>
  <c r="M63" i="58"/>
  <c r="L88" i="58"/>
  <c r="N35" i="58"/>
  <c r="O26" i="58"/>
  <c r="O71" i="58"/>
  <c r="N29" i="58"/>
  <c r="M19" i="58"/>
  <c r="N44" i="58"/>
  <c r="N89" i="58"/>
  <c r="M26" i="58"/>
  <c r="O30" i="58"/>
  <c r="M17" i="58"/>
  <c r="M62" i="58"/>
  <c r="O24" i="58"/>
  <c r="O69" i="58"/>
  <c r="N18" i="58"/>
  <c r="M59" i="58"/>
  <c r="AV629" i="51" l="1"/>
  <c r="AV636" i="51"/>
  <c r="AV618" i="51"/>
  <c r="AV617" i="51"/>
  <c r="AV642" i="51"/>
  <c r="AV619" i="51"/>
  <c r="AV611" i="51"/>
  <c r="AV608" i="51"/>
  <c r="AV615" i="51"/>
  <c r="AV622" i="51"/>
  <c r="AV614" i="51"/>
  <c r="AV639" i="51"/>
  <c r="AV634" i="51"/>
  <c r="AV623" i="51"/>
  <c r="AV628" i="51"/>
  <c r="AV613" i="51"/>
  <c r="AV638" i="51"/>
  <c r="AV607" i="51"/>
  <c r="AV606" i="51"/>
  <c r="AV624" i="51"/>
  <c r="AV616" i="51"/>
  <c r="AV640" i="51"/>
  <c r="AV633" i="51"/>
  <c r="AV641" i="51"/>
  <c r="AV637" i="51"/>
  <c r="AV630" i="51"/>
  <c r="AV621" i="51"/>
  <c r="AE622" i="51"/>
  <c r="M118" i="58"/>
  <c r="L107" i="58"/>
  <c r="AE629" i="51"/>
  <c r="AE610" i="51"/>
  <c r="M138" i="58"/>
  <c r="N114" i="58"/>
  <c r="N134" i="58"/>
  <c r="M127" i="58"/>
  <c r="AE616" i="51"/>
  <c r="AE623" i="51"/>
  <c r="AE619" i="51"/>
  <c r="AE637" i="51"/>
  <c r="AE625" i="51"/>
  <c r="AE620" i="51"/>
  <c r="AE608" i="51"/>
  <c r="AE638" i="51"/>
  <c r="AE626" i="51"/>
  <c r="AE641" i="51"/>
  <c r="AE630" i="51"/>
  <c r="AE634" i="51"/>
  <c r="AE631" i="51"/>
  <c r="AE633" i="51"/>
  <c r="AE618" i="51"/>
  <c r="AE606" i="51"/>
  <c r="AE621" i="51"/>
  <c r="AE617" i="51"/>
  <c r="AE615" i="51"/>
  <c r="AE607" i="51"/>
  <c r="AE636" i="51"/>
  <c r="AE632" i="51"/>
  <c r="AE642" i="51"/>
  <c r="AE639" i="51"/>
  <c r="AE614" i="51"/>
  <c r="AE643" i="51"/>
  <c r="AE612" i="51"/>
  <c r="AE640" i="51"/>
  <c r="AE609" i="51"/>
  <c r="AE627" i="51"/>
  <c r="AE624" i="51"/>
  <c r="AE611" i="51"/>
  <c r="AE628" i="51"/>
  <c r="AE635" i="51"/>
  <c r="N139" i="58"/>
  <c r="O132" i="58"/>
  <c r="N132" i="58"/>
  <c r="O114" i="58"/>
  <c r="N104" i="58"/>
  <c r="M122" i="58"/>
  <c r="O106" i="58"/>
  <c r="M107" i="58"/>
  <c r="O116" i="58"/>
  <c r="N103" i="58"/>
  <c r="M132" i="58"/>
  <c r="M108" i="58"/>
  <c r="O84" i="58"/>
  <c r="O39" i="58"/>
  <c r="N75" i="58"/>
  <c r="N30" i="58"/>
  <c r="N122" i="58"/>
  <c r="N112" i="58"/>
  <c r="L132" i="58"/>
  <c r="N105" i="58"/>
  <c r="L128" i="58"/>
  <c r="M104" i="58"/>
  <c r="O109" i="58"/>
  <c r="N82" i="58"/>
  <c r="N37" i="58"/>
  <c r="L112" i="58"/>
  <c r="M128" i="58"/>
  <c r="N20" i="58"/>
  <c r="L124" i="58"/>
  <c r="N109" i="58"/>
  <c r="O138" i="58"/>
  <c r="M34" i="58"/>
  <c r="M44" i="58"/>
  <c r="M89" i="58"/>
  <c r="L13" i="58"/>
  <c r="N135" i="58"/>
  <c r="N124" i="58"/>
  <c r="N63" i="58"/>
  <c r="O75" i="58"/>
  <c r="M71" i="58"/>
  <c r="M64" i="58"/>
  <c r="M109" i="58" s="1"/>
  <c r="N74" i="58"/>
  <c r="N80" i="58"/>
  <c r="L68" i="58"/>
  <c r="L113" i="58" s="1"/>
  <c r="L119" i="58"/>
  <c r="N83" i="58"/>
  <c r="L108" i="58"/>
  <c r="M94" i="58"/>
  <c r="M67" i="58"/>
  <c r="M112" i="58" s="1"/>
  <c r="M20" i="58"/>
  <c r="M65" i="58"/>
  <c r="L93" i="58"/>
  <c r="L48" i="58"/>
  <c r="O95" i="58"/>
  <c r="O50" i="58"/>
  <c r="O88" i="58"/>
  <c r="O43" i="58"/>
  <c r="O77" i="58"/>
  <c r="O32" i="58"/>
  <c r="N84" i="58"/>
  <c r="N39" i="58"/>
  <c r="N95" i="58"/>
  <c r="N50" i="58"/>
  <c r="O90" i="58"/>
  <c r="O45" i="58"/>
  <c r="M43" i="58"/>
  <c r="M88" i="58"/>
  <c r="M80" i="58"/>
  <c r="M35" i="58"/>
  <c r="M120" i="58"/>
  <c r="L50" i="58"/>
  <c r="L95" i="58"/>
  <c r="L137" i="58"/>
  <c r="M129" i="58"/>
  <c r="N130" i="58"/>
  <c r="O58" i="58"/>
  <c r="O13" i="58"/>
  <c r="L41" i="58"/>
  <c r="L86" i="58"/>
  <c r="O111" i="58"/>
  <c r="L37" i="58"/>
  <c r="M117" i="58"/>
  <c r="O72" i="58"/>
  <c r="O27" i="58"/>
  <c r="N131" i="58"/>
  <c r="N17" i="58"/>
  <c r="L110" i="58"/>
  <c r="N118" i="58"/>
  <c r="L90" i="58"/>
  <c r="L135" i="58" s="1"/>
  <c r="O22" i="58"/>
  <c r="M103" i="58"/>
  <c r="O76" i="58"/>
  <c r="M24" i="58"/>
  <c r="L109" i="58"/>
  <c r="N71" i="58"/>
  <c r="N26" i="58"/>
  <c r="M47" i="58"/>
  <c r="M92" i="58"/>
  <c r="O83" i="58"/>
  <c r="O78" i="58"/>
  <c r="O123" i="58" s="1"/>
  <c r="N46" i="58"/>
  <c r="N91" i="58"/>
  <c r="N21" i="58"/>
  <c r="N66" i="58"/>
  <c r="O134" i="58"/>
  <c r="L120" i="58"/>
  <c r="N126" i="58"/>
  <c r="O86" i="58"/>
  <c r="O41" i="58"/>
  <c r="L46" i="58"/>
  <c r="L91" i="58"/>
  <c r="O136" i="58"/>
  <c r="M95" i="58"/>
  <c r="M50" i="58"/>
  <c r="O82" i="58"/>
  <c r="O37" i="58"/>
  <c r="O80" i="58"/>
  <c r="O35" i="58"/>
  <c r="L106" i="58"/>
  <c r="N92" i="58"/>
  <c r="N47" i="58"/>
  <c r="M29" i="58"/>
  <c r="O63" i="58"/>
  <c r="O18" i="58"/>
  <c r="O118" i="58"/>
  <c r="M106" i="58"/>
  <c r="N138" i="58"/>
  <c r="M105" i="58"/>
  <c r="L117" i="58"/>
  <c r="L126" i="58"/>
  <c r="L15" i="58"/>
  <c r="L60" i="58"/>
  <c r="L114" i="58"/>
  <c r="L94" i="58"/>
  <c r="L49" i="58"/>
  <c r="O60" i="58"/>
  <c r="O15" i="58"/>
  <c r="L111" i="58"/>
  <c r="L32" i="58"/>
  <c r="O62" i="58"/>
  <c r="O17" i="58"/>
  <c r="O85" i="58"/>
  <c r="O40" i="58"/>
  <c r="L59" i="58"/>
  <c r="L14" i="58"/>
  <c r="L123" i="58"/>
  <c r="N117" i="58"/>
  <c r="O81" i="58"/>
  <c r="O36" i="58"/>
  <c r="L133" i="58"/>
  <c r="M85" i="58"/>
  <c r="M40" i="58"/>
  <c r="N61" i="58"/>
  <c r="N16" i="58"/>
  <c r="L130" i="58"/>
  <c r="L73" i="58"/>
  <c r="L28" i="58"/>
  <c r="O92" i="58"/>
  <c r="O47" i="58"/>
  <c r="N113" i="58"/>
  <c r="M78" i="58"/>
  <c r="M33" i="58"/>
  <c r="O113" i="58"/>
  <c r="M135" i="58"/>
  <c r="M115" i="58"/>
  <c r="M113" i="58"/>
  <c r="O29" i="58"/>
  <c r="O74" i="58"/>
  <c r="O65" i="58"/>
  <c r="L80" i="58"/>
  <c r="L125" i="58" s="1"/>
  <c r="M131" i="58"/>
  <c r="M126" i="58"/>
  <c r="M91" i="58"/>
  <c r="M46" i="58"/>
  <c r="N123" i="58"/>
  <c r="L31" i="58"/>
  <c r="N76" i="58"/>
  <c r="N31" i="58"/>
  <c r="N70" i="58"/>
  <c r="N25" i="58"/>
  <c r="L129" i="58"/>
  <c r="M66" i="58"/>
  <c r="M21" i="58"/>
  <c r="O70" i="58"/>
  <c r="O25" i="58"/>
  <c r="L26" i="58"/>
  <c r="L134" i="58"/>
  <c r="N133" i="58"/>
  <c r="O94" i="58"/>
  <c r="O49" i="58"/>
  <c r="O59" i="58"/>
  <c r="O14" i="58"/>
  <c r="L115" i="58"/>
  <c r="O124" i="58"/>
  <c r="M76" i="58"/>
  <c r="M31" i="58"/>
  <c r="E147" i="58" l="1" a="1"/>
  <c r="N108" i="58"/>
  <c r="M51" i="58"/>
  <c r="L96" i="58"/>
  <c r="M96" i="58"/>
  <c r="O121" i="58"/>
  <c r="M121" i="58"/>
  <c r="N106" i="58"/>
  <c r="O107" i="58"/>
  <c r="L105" i="58"/>
  <c r="N110" i="58"/>
  <c r="O108" i="58"/>
  <c r="O127" i="58"/>
  <c r="N116" i="58"/>
  <c r="N96" i="58"/>
  <c r="L140" i="58"/>
  <c r="O135" i="58"/>
  <c r="O140" i="58"/>
  <c r="M134" i="58"/>
  <c r="M124" i="58"/>
  <c r="M139" i="58"/>
  <c r="N119" i="58"/>
  <c r="M125" i="58"/>
  <c r="M133" i="58"/>
  <c r="N140" i="58"/>
  <c r="O122" i="58"/>
  <c r="O137" i="58"/>
  <c r="N115" i="58"/>
  <c r="L121" i="58"/>
  <c r="O119" i="58"/>
  <c r="L122" i="58"/>
  <c r="O105" i="58"/>
  <c r="L136" i="58"/>
  <c r="M114" i="58"/>
  <c r="O112" i="58"/>
  <c r="O117" i="58"/>
  <c r="O51" i="58"/>
  <c r="O103" i="58"/>
  <c r="N129" i="58"/>
  <c r="O133" i="58"/>
  <c r="M110" i="58"/>
  <c r="N127" i="58"/>
  <c r="O129" i="58"/>
  <c r="O128" i="58"/>
  <c r="O115" i="58"/>
  <c r="M111" i="58"/>
  <c r="N121" i="58"/>
  <c r="N51" i="58"/>
  <c r="O110" i="58"/>
  <c r="L139" i="58"/>
  <c r="N137" i="58"/>
  <c r="O131" i="58"/>
  <c r="M137" i="58"/>
  <c r="L103" i="58"/>
  <c r="L51" i="58"/>
  <c r="N120" i="58"/>
  <c r="N125" i="58"/>
  <c r="O139" i="58"/>
  <c r="O126" i="58"/>
  <c r="O130" i="58"/>
  <c r="O104" i="58"/>
  <c r="L116" i="58"/>
  <c r="M136" i="58"/>
  <c r="M123" i="58"/>
  <c r="L118" i="58"/>
  <c r="M130" i="58"/>
  <c r="L104" i="58"/>
  <c r="M119" i="58"/>
  <c r="O125" i="58"/>
  <c r="M140" i="58"/>
  <c r="N111" i="58"/>
  <c r="N136" i="58"/>
  <c r="N128" i="58"/>
  <c r="O120" i="58"/>
  <c r="N107" i="58"/>
  <c r="L127" i="58"/>
  <c r="L131" i="58"/>
  <c r="O96" i="58"/>
  <c r="L138" i="58"/>
  <c r="M116" i="58"/>
  <c r="J178" i="58" l="1"/>
  <c r="P177" i="58"/>
  <c r="F179" i="58"/>
  <c r="E164" i="58"/>
  <c r="E160" i="58"/>
  <c r="P179" i="58"/>
  <c r="K148" i="58"/>
  <c r="H181" i="58"/>
  <c r="F153" i="58"/>
  <c r="P153" i="58"/>
  <c r="H182" i="58"/>
  <c r="K156" i="58"/>
  <c r="P154" i="58"/>
  <c r="J153" i="58"/>
  <c r="G170" i="58"/>
  <c r="I182" i="58"/>
  <c r="J181" i="58"/>
  <c r="K154" i="58"/>
  <c r="H150" i="58"/>
  <c r="J160" i="58"/>
  <c r="F177" i="58"/>
  <c r="F166" i="58"/>
  <c r="K170" i="58"/>
  <c r="P149" i="58"/>
  <c r="K178" i="58"/>
  <c r="G156" i="58"/>
  <c r="E156" i="58"/>
  <c r="H184" i="58"/>
  <c r="J165" i="58"/>
  <c r="G160" i="58"/>
  <c r="H174" i="58"/>
  <c r="K174" i="58"/>
  <c r="P169" i="58"/>
  <c r="K163" i="58"/>
  <c r="E175" i="58"/>
  <c r="E157" i="58"/>
  <c r="I160" i="58"/>
  <c r="P150" i="58"/>
  <c r="K159" i="58"/>
  <c r="F159" i="58"/>
  <c r="F169" i="58"/>
  <c r="E171" i="58"/>
  <c r="P148" i="58"/>
  <c r="H157" i="58"/>
  <c r="H158" i="58"/>
  <c r="H173" i="58"/>
  <c r="E158" i="58"/>
  <c r="P158" i="58"/>
  <c r="J156" i="58"/>
  <c r="E172" i="58"/>
  <c r="G153" i="58"/>
  <c r="P178" i="58"/>
  <c r="I161" i="58"/>
  <c r="I155" i="58"/>
  <c r="J176" i="58"/>
  <c r="G148" i="58"/>
  <c r="P183" i="58"/>
  <c r="I156" i="58"/>
  <c r="F155" i="58"/>
  <c r="F149" i="58"/>
  <c r="G154" i="58"/>
  <c r="K184" i="58"/>
  <c r="I177" i="58"/>
  <c r="E149" i="58"/>
  <c r="I157" i="58"/>
  <c r="G149" i="58"/>
  <c r="P172" i="58"/>
  <c r="G182" i="58"/>
  <c r="I167" i="58"/>
  <c r="I175" i="58"/>
  <c r="P167" i="58"/>
  <c r="J157" i="58"/>
  <c r="J164" i="58"/>
  <c r="I178" i="58"/>
  <c r="F181" i="58"/>
  <c r="G150" i="58"/>
  <c r="H171" i="58"/>
  <c r="H165" i="58"/>
  <c r="J171" i="58"/>
  <c r="H180" i="58"/>
  <c r="F157" i="58"/>
  <c r="J184" i="58"/>
  <c r="F158" i="58"/>
  <c r="I147" i="58"/>
  <c r="J169" i="58"/>
  <c r="J170" i="58"/>
  <c r="J172" i="58"/>
  <c r="G163" i="58"/>
  <c r="I183" i="58"/>
  <c r="K172" i="58"/>
  <c r="K164" i="58"/>
  <c r="J158" i="58"/>
  <c r="E169" i="58"/>
  <c r="E163" i="58"/>
  <c r="G183" i="58"/>
  <c r="P182" i="58"/>
  <c r="G147" i="58"/>
  <c r="G151" i="58"/>
  <c r="G166" i="58"/>
  <c r="F174" i="58"/>
  <c r="F168" i="58"/>
  <c r="F152" i="58"/>
  <c r="G157" i="58"/>
  <c r="E183" i="58"/>
  <c r="I184" i="58"/>
  <c r="J159" i="58"/>
  <c r="H151" i="58"/>
  <c r="K173" i="58"/>
  <c r="K157" i="58"/>
  <c r="H154" i="58"/>
  <c r="K182" i="58"/>
  <c r="P184" i="58"/>
  <c r="K160" i="58"/>
  <c r="H161" i="58"/>
  <c r="E184" i="58"/>
  <c r="E177" i="58"/>
  <c r="K183" i="58"/>
  <c r="P161" i="58"/>
  <c r="F160" i="58"/>
  <c r="F148" i="58"/>
  <c r="F154" i="58"/>
  <c r="I174" i="58"/>
  <c r="K150" i="58"/>
  <c r="G174" i="58"/>
  <c r="H168" i="58"/>
  <c r="J173" i="58"/>
  <c r="I164" i="58"/>
  <c r="J168" i="58"/>
  <c r="E176" i="58"/>
  <c r="E180" i="58"/>
  <c r="P181" i="58"/>
  <c r="E166" i="58"/>
  <c r="E150" i="58"/>
  <c r="K162" i="58"/>
  <c r="I179" i="58"/>
  <c r="E162" i="58"/>
  <c r="K147" i="58"/>
  <c r="F147" i="58"/>
  <c r="F171" i="58"/>
  <c r="F164" i="58"/>
  <c r="G171" i="58"/>
  <c r="H179" i="58"/>
  <c r="K166" i="58"/>
  <c r="E165" i="58"/>
  <c r="P155" i="58"/>
  <c r="H149" i="58"/>
  <c r="K151" i="58"/>
  <c r="I163" i="58"/>
  <c r="E151" i="58"/>
  <c r="P151" i="58"/>
  <c r="I153" i="58"/>
  <c r="J163" i="58"/>
  <c r="K153" i="58"/>
  <c r="J166" i="58"/>
  <c r="J155" i="58"/>
  <c r="K155" i="58"/>
  <c r="K149" i="58"/>
  <c r="I171" i="58"/>
  <c r="K158" i="58"/>
  <c r="F151" i="58"/>
  <c r="P157" i="58"/>
  <c r="G155" i="58"/>
  <c r="P176" i="58"/>
  <c r="E178" i="58"/>
  <c r="P170" i="58"/>
  <c r="J167" i="58"/>
  <c r="H167" i="58"/>
  <c r="F150" i="58"/>
  <c r="F165" i="58"/>
  <c r="E168" i="58"/>
  <c r="H152" i="58"/>
  <c r="P174" i="58"/>
  <c r="G176" i="58"/>
  <c r="K171" i="58"/>
  <c r="G164" i="58"/>
  <c r="F161" i="58"/>
  <c r="J177" i="58"/>
  <c r="J174" i="58"/>
  <c r="G162" i="58"/>
  <c r="P173" i="58"/>
  <c r="F178" i="58"/>
  <c r="F162" i="58"/>
  <c r="K152" i="58"/>
  <c r="K176" i="58"/>
  <c r="I170" i="58"/>
  <c r="P166" i="58"/>
  <c r="E159" i="58"/>
  <c r="H170" i="58"/>
  <c r="H153" i="58"/>
  <c r="E170" i="58"/>
  <c r="H172" i="58"/>
  <c r="E155" i="58"/>
  <c r="P163" i="58"/>
  <c r="I172" i="58"/>
  <c r="G184" i="58"/>
  <c r="H159" i="58"/>
  <c r="E147" i="58"/>
  <c r="P162" i="58"/>
  <c r="I176" i="58"/>
  <c r="F183" i="58"/>
  <c r="F170" i="58"/>
  <c r="G158" i="58"/>
  <c r="E174" i="58"/>
  <c r="H162" i="58"/>
  <c r="H178" i="58"/>
  <c r="J148" i="58"/>
  <c r="I181" i="58"/>
  <c r="J151" i="58"/>
  <c r="I165" i="58"/>
  <c r="I150" i="58"/>
  <c r="I168" i="58"/>
  <c r="P152" i="58"/>
  <c r="J162" i="58"/>
  <c r="K165" i="58"/>
  <c r="E173" i="58"/>
  <c r="G173" i="58"/>
  <c r="P159" i="58"/>
  <c r="G177" i="58"/>
  <c r="F167" i="58"/>
  <c r="F172" i="58"/>
  <c r="H175" i="58"/>
  <c r="I169" i="58"/>
  <c r="I180" i="58"/>
  <c r="E181" i="58"/>
  <c r="H156" i="58"/>
  <c r="J183" i="58"/>
  <c r="G179" i="58"/>
  <c r="I152" i="58"/>
  <c r="G159" i="58"/>
  <c r="G180" i="58"/>
  <c r="P164" i="58"/>
  <c r="J154" i="58"/>
  <c r="H177" i="58"/>
  <c r="J161" i="58"/>
  <c r="H160" i="58"/>
  <c r="P171" i="58"/>
  <c r="H176" i="58"/>
  <c r="K179" i="58"/>
  <c r="P156" i="58"/>
  <c r="J152" i="58"/>
  <c r="I162" i="58"/>
  <c r="H148" i="58"/>
  <c r="K167" i="58"/>
  <c r="K181" i="58"/>
  <c r="F180" i="58"/>
  <c r="G178" i="58"/>
  <c r="F176" i="58"/>
  <c r="H166" i="58"/>
  <c r="H163" i="58"/>
  <c r="I148" i="58"/>
  <c r="I158" i="58"/>
  <c r="G181" i="58"/>
  <c r="J175" i="58"/>
  <c r="K168" i="58"/>
  <c r="I166" i="58"/>
  <c r="F182" i="58"/>
  <c r="K161" i="58"/>
  <c r="J179" i="58"/>
  <c r="P165" i="58"/>
  <c r="J180" i="58"/>
  <c r="E154" i="58"/>
  <c r="G168" i="58"/>
  <c r="I159" i="58"/>
  <c r="G152" i="58"/>
  <c r="E179" i="58"/>
  <c r="F173" i="58"/>
  <c r="E161" i="58"/>
  <c r="P180" i="58"/>
  <c r="F184" i="58"/>
  <c r="K180" i="58"/>
  <c r="P160" i="58"/>
  <c r="J147" i="58"/>
  <c r="P168" i="58"/>
  <c r="F175" i="58"/>
  <c r="G165" i="58"/>
  <c r="P175" i="58"/>
  <c r="I149" i="58"/>
  <c r="I154" i="58"/>
  <c r="K175" i="58"/>
  <c r="E148" i="58"/>
  <c r="G161" i="58"/>
  <c r="H164" i="58"/>
  <c r="E182" i="58"/>
  <c r="I151" i="58"/>
  <c r="J149" i="58"/>
  <c r="F156" i="58"/>
  <c r="G167" i="58"/>
  <c r="G169" i="58"/>
  <c r="K177" i="58"/>
  <c r="E153" i="58"/>
  <c r="H183" i="58"/>
  <c r="E167" i="58"/>
  <c r="J182" i="58"/>
  <c r="H155" i="58"/>
  <c r="I173" i="58"/>
  <c r="F163" i="58"/>
  <c r="H169" i="58"/>
  <c r="H147" i="58"/>
  <c r="G175" i="58"/>
  <c r="P147" i="58"/>
  <c r="K169" i="58"/>
  <c r="G172" i="58"/>
  <c r="E152" i="58"/>
  <c r="J150" i="58"/>
  <c r="N174" i="58"/>
  <c r="M150" i="58"/>
  <c r="L150" i="58"/>
  <c r="O157" i="58"/>
  <c r="M176" i="58"/>
  <c r="N166" i="58"/>
  <c r="O153" i="58"/>
  <c r="L156" i="58"/>
  <c r="O158" i="58"/>
  <c r="L163" i="58"/>
  <c r="L152" i="58"/>
  <c r="M164" i="58"/>
  <c r="N178" i="58"/>
  <c r="O178" i="58"/>
  <c r="O162" i="58"/>
  <c r="M175" i="58"/>
  <c r="L174" i="58"/>
  <c r="M182" i="58"/>
  <c r="M179" i="58"/>
  <c r="N156" i="58"/>
  <c r="N168" i="58"/>
  <c r="N176" i="58"/>
  <c r="O155" i="58"/>
  <c r="M161" i="58"/>
  <c r="O180" i="58"/>
  <c r="L151" i="58"/>
  <c r="M170" i="58"/>
  <c r="N167" i="58"/>
  <c r="L172" i="58"/>
  <c r="O160" i="58"/>
  <c r="O176" i="58"/>
  <c r="M171" i="58"/>
  <c r="L176" i="58"/>
  <c r="M148" i="58"/>
  <c r="M162" i="58"/>
  <c r="L168" i="58"/>
  <c r="O182" i="58"/>
  <c r="M151" i="58"/>
  <c r="M173" i="58"/>
  <c r="M147" i="58"/>
  <c r="L154" i="58"/>
  <c r="L164" i="58"/>
  <c r="N158" i="58"/>
  <c r="M149" i="58"/>
  <c r="N148" i="58"/>
  <c r="L155" i="58"/>
  <c r="N161" i="58"/>
  <c r="L177" i="58"/>
  <c r="L173" i="58"/>
  <c r="L178" i="58"/>
  <c r="O150" i="58"/>
  <c r="M152" i="58"/>
  <c r="N149" i="58"/>
  <c r="N183" i="58"/>
  <c r="L181" i="58"/>
  <c r="O168" i="58"/>
  <c r="M172" i="58"/>
  <c r="N153" i="58"/>
  <c r="N179" i="58"/>
  <c r="M159" i="58"/>
  <c r="N162" i="58"/>
  <c r="L153" i="58"/>
  <c r="N170" i="58"/>
  <c r="N182" i="58"/>
  <c r="L161" i="58"/>
  <c r="L170" i="58"/>
  <c r="L167" i="58"/>
  <c r="N147" i="58"/>
  <c r="M157" i="58"/>
  <c r="L159" i="58"/>
  <c r="N175" i="58"/>
  <c r="M166" i="58"/>
  <c r="L158" i="58"/>
  <c r="N157" i="58"/>
  <c r="N177" i="58"/>
  <c r="O172" i="58"/>
  <c r="M154" i="58"/>
  <c r="N150" i="58"/>
  <c r="M156" i="58"/>
  <c r="L179" i="58"/>
  <c r="L175" i="58"/>
  <c r="N180" i="58"/>
  <c r="N164" i="58"/>
  <c r="O175" i="58"/>
  <c r="N165" i="58"/>
  <c r="N171" i="58"/>
  <c r="O161" i="58"/>
  <c r="O167" i="58"/>
  <c r="L165" i="58"/>
  <c r="M169" i="58"/>
  <c r="N169" i="58"/>
  <c r="M153" i="58"/>
  <c r="O165" i="58"/>
  <c r="N152" i="58"/>
  <c r="L148" i="58"/>
  <c r="L169" i="58"/>
  <c r="M167" i="58"/>
  <c r="L160" i="58"/>
  <c r="O174" i="58"/>
  <c r="O154" i="58"/>
  <c r="O177" i="58"/>
  <c r="O147" i="58"/>
  <c r="N172" i="58"/>
  <c r="O149" i="58"/>
  <c r="O163" i="58"/>
  <c r="N159" i="58"/>
  <c r="M178" i="58"/>
  <c r="O171" i="58"/>
  <c r="N154" i="58"/>
  <c r="M165" i="58"/>
  <c r="M183" i="58"/>
  <c r="M160" i="58"/>
  <c r="M184" i="58"/>
  <c r="M163" i="58"/>
  <c r="M174" i="58"/>
  <c r="L162" i="58"/>
  <c r="O148" i="58"/>
  <c r="O170" i="58"/>
  <c r="L180" i="58"/>
  <c r="N160" i="58"/>
  <c r="L182" i="58"/>
  <c r="N151" i="58"/>
  <c r="O183" i="58"/>
  <c r="L147" i="58"/>
  <c r="L183" i="58"/>
  <c r="O159" i="58"/>
  <c r="M158" i="58"/>
  <c r="L166" i="58"/>
  <c r="O181" i="58"/>
  <c r="N184" i="58"/>
  <c r="M168" i="58"/>
  <c r="O184" i="58"/>
  <c r="L184" i="58"/>
  <c r="L149" i="58"/>
  <c r="L171" i="58"/>
  <c r="N155" i="58"/>
  <c r="O169" i="58"/>
  <c r="M180" i="58"/>
  <c r="M181" i="58"/>
  <c r="N181" i="58"/>
  <c r="M155" i="58"/>
  <c r="O173" i="58"/>
  <c r="N173" i="58"/>
  <c r="O156" i="58"/>
  <c r="O166" i="58"/>
  <c r="M177" i="58"/>
  <c r="O179" i="58"/>
  <c r="O152" i="58"/>
  <c r="O151" i="58"/>
  <c r="L157" i="58"/>
  <c r="N163" i="58"/>
  <c r="O164" i="58"/>
  <c r="N491" i="58" a="1"/>
  <c r="N504" i="58" s="1"/>
  <c r="M491" i="58" a="1"/>
  <c r="L491" i="58" a="1"/>
  <c r="L527" i="58" s="1"/>
  <c r="O491" i="58" a="1"/>
  <c r="O493" i="58" s="1"/>
  <c r="N525" i="58" l="1"/>
  <c r="N508" i="58"/>
  <c r="E195" i="58" a="1"/>
  <c r="M211" i="58" s="1"/>
  <c r="N499" i="58"/>
  <c r="N507" i="58"/>
  <c r="N517" i="58"/>
  <c r="N515" i="58"/>
  <c r="L493" i="58"/>
  <c r="L509" i="58"/>
  <c r="L519" i="58"/>
  <c r="L504" i="58"/>
  <c r="M506" i="58"/>
  <c r="M515" i="58"/>
  <c r="M523" i="58"/>
  <c r="M517" i="58"/>
  <c r="M491" i="58"/>
  <c r="M510" i="58"/>
  <c r="M501" i="58"/>
  <c r="M492" i="58"/>
  <c r="M520" i="58"/>
  <c r="M503" i="58"/>
  <c r="M495" i="58"/>
  <c r="M508" i="58"/>
  <c r="M519" i="58"/>
  <c r="M494" i="58"/>
  <c r="M516" i="58"/>
  <c r="M496" i="58"/>
  <c r="M505" i="58"/>
  <c r="M514" i="58"/>
  <c r="M493" i="58"/>
  <c r="M526" i="58"/>
  <c r="M497" i="58"/>
  <c r="M500" i="58"/>
  <c r="L495" i="58"/>
  <c r="L522" i="58"/>
  <c r="L507" i="58"/>
  <c r="L517" i="58"/>
  <c r="L499" i="58"/>
  <c r="L494" i="58"/>
  <c r="L513" i="58"/>
  <c r="L500" i="58"/>
  <c r="L497" i="58"/>
  <c r="L516" i="58"/>
  <c r="L505" i="58"/>
  <c r="L518" i="58"/>
  <c r="L514" i="58"/>
  <c r="L508" i="58"/>
  <c r="L523" i="58"/>
  <c r="L511" i="58"/>
  <c r="L502" i="58"/>
  <c r="L498" i="58"/>
  <c r="L501" i="58"/>
  <c r="L520" i="58"/>
  <c r="L525" i="58"/>
  <c r="L503" i="58"/>
  <c r="L521" i="58"/>
  <c r="L512" i="58"/>
  <c r="L496" i="58"/>
  <c r="N524" i="58"/>
  <c r="O507" i="58"/>
  <c r="L492" i="58"/>
  <c r="L506" i="58"/>
  <c r="O497" i="58"/>
  <c r="O504" i="58"/>
  <c r="O501" i="58"/>
  <c r="O502" i="58"/>
  <c r="O499" i="58"/>
  <c r="O526" i="58"/>
  <c r="O520" i="58"/>
  <c r="O512" i="58"/>
  <c r="O522" i="58"/>
  <c r="O506" i="58"/>
  <c r="O494" i="58"/>
  <c r="O511" i="58"/>
  <c r="O524" i="58"/>
  <c r="M528" i="58"/>
  <c r="M512" i="58"/>
  <c r="N510" i="58"/>
  <c r="N521" i="58"/>
  <c r="N493" i="58"/>
  <c r="N520" i="58"/>
  <c r="N506" i="58"/>
  <c r="N501" i="58"/>
  <c r="N523" i="58"/>
  <c r="N505" i="58"/>
  <c r="N502" i="58"/>
  <c r="N512" i="58"/>
  <c r="N511" i="58"/>
  <c r="N514" i="58"/>
  <c r="N497" i="58"/>
  <c r="N518" i="58"/>
  <c r="N522" i="58"/>
  <c r="N492" i="58"/>
  <c r="N500" i="58"/>
  <c r="N527" i="58"/>
  <c r="N526" i="58"/>
  <c r="N519" i="58"/>
  <c r="N491" i="58"/>
  <c r="M527" i="58"/>
  <c r="O514" i="58"/>
  <c r="O509" i="58"/>
  <c r="O491" i="58"/>
  <c r="M511" i="58"/>
  <c r="N496" i="58"/>
  <c r="M521" i="58"/>
  <c r="O516" i="58"/>
  <c r="M525" i="58"/>
  <c r="O508" i="58"/>
  <c r="O496" i="58"/>
  <c r="M513" i="58"/>
  <c r="L510" i="58"/>
  <c r="O517" i="58"/>
  <c r="O519" i="58"/>
  <c r="M524" i="58"/>
  <c r="M509" i="58"/>
  <c r="M498" i="58"/>
  <c r="N498" i="58"/>
  <c r="N503" i="58"/>
  <c r="O492" i="58"/>
  <c r="N494" i="58"/>
  <c r="O521" i="58"/>
  <c r="M518" i="58"/>
  <c r="O495" i="58"/>
  <c r="O510" i="58"/>
  <c r="M499" i="58"/>
  <c r="O527" i="58"/>
  <c r="L515" i="58"/>
  <c r="L528" i="58"/>
  <c r="N528" i="58"/>
  <c r="M502" i="58"/>
  <c r="O503" i="58"/>
  <c r="O515" i="58"/>
  <c r="O518" i="58"/>
  <c r="M507" i="58"/>
  <c r="O523" i="58"/>
  <c r="O500" i="58"/>
  <c r="O498" i="58"/>
  <c r="O513" i="58"/>
  <c r="L526" i="58"/>
  <c r="O528" i="58"/>
  <c r="O525" i="58"/>
  <c r="O505" i="58"/>
  <c r="N509" i="58"/>
  <c r="L491" i="58"/>
  <c r="N495" i="58"/>
  <c r="L524" i="58"/>
  <c r="M504" i="58"/>
  <c r="M522" i="58"/>
  <c r="N513" i="58"/>
  <c r="N516" i="58"/>
  <c r="O196" i="58" l="1"/>
  <c r="N221" i="58"/>
  <c r="N198" i="58"/>
  <c r="M221" i="58"/>
  <c r="N214" i="58"/>
  <c r="I197" i="58"/>
  <c r="K204" i="58"/>
  <c r="F208" i="58"/>
  <c r="K211" i="58"/>
  <c r="E196" i="58"/>
  <c r="J213" i="58"/>
  <c r="E210" i="58"/>
  <c r="H199" i="58"/>
  <c r="O202" i="58"/>
  <c r="M200" i="58"/>
  <c r="L215" i="58"/>
  <c r="N197" i="58"/>
  <c r="L204" i="58"/>
  <c r="K214" i="58"/>
  <c r="F202" i="58"/>
  <c r="J204" i="58"/>
  <c r="F205" i="58"/>
  <c r="K213" i="58"/>
  <c r="J207" i="58"/>
  <c r="H197" i="58"/>
  <c r="G196" i="58"/>
  <c r="O219" i="58"/>
  <c r="O206" i="58"/>
  <c r="N204" i="58"/>
  <c r="L212" i="58"/>
  <c r="F214" i="58"/>
  <c r="F212" i="58"/>
  <c r="J196" i="58"/>
  <c r="J200" i="58"/>
  <c r="P200" i="58"/>
  <c r="F207" i="58"/>
  <c r="I204" i="58"/>
  <c r="G210" i="58"/>
  <c r="N199" i="58"/>
  <c r="M212" i="58"/>
  <c r="L197" i="58"/>
  <c r="M208" i="58"/>
  <c r="N215" i="58"/>
  <c r="P215" i="58"/>
  <c r="P209" i="58"/>
  <c r="K210" i="58"/>
  <c r="H206" i="58"/>
  <c r="J214" i="58"/>
  <c r="P202" i="58"/>
  <c r="J201" i="58"/>
  <c r="E207" i="58"/>
  <c r="L230" i="58"/>
  <c r="O225" i="58"/>
  <c r="M227" i="58"/>
  <c r="O230" i="58"/>
  <c r="O227" i="58"/>
  <c r="M224" i="58"/>
  <c r="N232" i="58"/>
  <c r="O224" i="58"/>
  <c r="L221" i="58"/>
  <c r="N222" i="58"/>
  <c r="L222" i="58"/>
  <c r="K224" i="58"/>
  <c r="G231" i="58"/>
  <c r="J232" i="58"/>
  <c r="K231" i="58"/>
  <c r="F225" i="58"/>
  <c r="P224" i="58"/>
  <c r="I219" i="58"/>
  <c r="G227" i="58"/>
  <c r="F227" i="58"/>
  <c r="P226" i="58"/>
  <c r="I215" i="58"/>
  <c r="G219" i="58"/>
  <c r="J227" i="58"/>
  <c r="I224" i="58"/>
  <c r="H220" i="58"/>
  <c r="G213" i="58"/>
  <c r="E214" i="58"/>
  <c r="I214" i="58"/>
  <c r="H231" i="58"/>
  <c r="G225" i="58"/>
  <c r="H217" i="58"/>
  <c r="E227" i="58"/>
  <c r="H219" i="58"/>
  <c r="G220" i="58"/>
  <c r="E213" i="58"/>
  <c r="L232" i="58"/>
  <c r="O223" i="58"/>
  <c r="L213" i="58"/>
  <c r="M232" i="58"/>
  <c r="L223" i="58"/>
  <c r="O211" i="58"/>
  <c r="N228" i="58"/>
  <c r="O222" i="58"/>
  <c r="O213" i="58"/>
  <c r="M201" i="58"/>
  <c r="M213" i="58"/>
  <c r="N196" i="58"/>
  <c r="M210" i="58"/>
  <c r="M223" i="58"/>
  <c r="O209" i="58"/>
  <c r="M226" i="58"/>
  <c r="N210" i="58"/>
  <c r="M207" i="58"/>
  <c r="N225" i="58"/>
  <c r="O229" i="58"/>
  <c r="N218" i="58"/>
  <c r="L224" i="58"/>
  <c r="L211" i="58"/>
  <c r="O195" i="58"/>
  <c r="N213" i="58"/>
  <c r="M230" i="58"/>
  <c r="O210" i="58"/>
  <c r="O198" i="58"/>
  <c r="M197" i="58"/>
  <c r="L198" i="58"/>
  <c r="N201" i="58"/>
  <c r="L206" i="58"/>
  <c r="L216" i="58"/>
  <c r="M220" i="58"/>
  <c r="O203" i="58"/>
  <c r="K208" i="58"/>
  <c r="F206" i="58"/>
  <c r="P207" i="58"/>
  <c r="G215" i="58"/>
  <c r="K206" i="58"/>
  <c r="F204" i="58"/>
  <c r="J224" i="58"/>
  <c r="O216" i="58"/>
  <c r="K196" i="58"/>
  <c r="P219" i="58"/>
  <c r="I213" i="58"/>
  <c r="K202" i="58"/>
  <c r="P229" i="58"/>
  <c r="I221" i="58"/>
  <c r="J225" i="58"/>
  <c r="I217" i="58"/>
  <c r="G223" i="58"/>
  <c r="K227" i="58"/>
  <c r="K203" i="58"/>
  <c r="F221" i="58"/>
  <c r="F201" i="58"/>
  <c r="P216" i="58"/>
  <c r="P196" i="58"/>
  <c r="J212" i="58"/>
  <c r="I203" i="58"/>
  <c r="G211" i="58"/>
  <c r="K229" i="58"/>
  <c r="K205" i="58"/>
  <c r="F223" i="58"/>
  <c r="F203" i="58"/>
  <c r="P218" i="58"/>
  <c r="P198" i="58"/>
  <c r="J206" i="58"/>
  <c r="I199" i="58"/>
  <c r="G203" i="58"/>
  <c r="J223" i="58"/>
  <c r="J199" i="58"/>
  <c r="I220" i="58"/>
  <c r="I200" i="58"/>
  <c r="H204" i="58"/>
  <c r="G205" i="58"/>
  <c r="E206" i="58"/>
  <c r="I230" i="58"/>
  <c r="I210" i="58"/>
  <c r="H224" i="58"/>
  <c r="G209" i="58"/>
  <c r="E202" i="58"/>
  <c r="H213" i="58"/>
  <c r="G226" i="58"/>
  <c r="G206" i="58"/>
  <c r="E223" i="58"/>
  <c r="E199" i="58"/>
  <c r="H215" i="58"/>
  <c r="H195" i="58"/>
  <c r="G212" i="58"/>
  <c r="E229" i="58"/>
  <c r="E209" i="58"/>
  <c r="N220" i="58"/>
  <c r="N229" i="58"/>
  <c r="O215" i="58"/>
  <c r="M202" i="58"/>
  <c r="O218" i="58"/>
  <c r="O231" i="58"/>
  <c r="L231" i="58"/>
  <c r="O221" i="58"/>
  <c r="N207" i="58"/>
  <c r="O232" i="58"/>
  <c r="N211" i="58"/>
  <c r="M205" i="58"/>
  <c r="L201" i="58"/>
  <c r="N219" i="58"/>
  <c r="M229" i="58"/>
  <c r="L228" i="58"/>
  <c r="L203" i="58"/>
  <c r="L209" i="58"/>
  <c r="N200" i="58"/>
  <c r="M217" i="58"/>
  <c r="L199" i="58"/>
  <c r="N224" i="58"/>
  <c r="N209" i="58"/>
  <c r="O197" i="58"/>
  <c r="M199" i="58"/>
  <c r="M196" i="58"/>
  <c r="L225" i="58"/>
  <c r="L220" i="58"/>
  <c r="M198" i="58"/>
  <c r="N230" i="58"/>
  <c r="O228" i="58"/>
  <c r="L200" i="58"/>
  <c r="N231" i="58"/>
  <c r="L218" i="58"/>
  <c r="O208" i="58"/>
  <c r="K200" i="58"/>
  <c r="F198" i="58"/>
  <c r="J226" i="58"/>
  <c r="E232" i="58"/>
  <c r="K198" i="58"/>
  <c r="P225" i="58"/>
  <c r="J217" i="58"/>
  <c r="K228" i="58"/>
  <c r="F218" i="58"/>
  <c r="P211" i="58"/>
  <c r="E200" i="58"/>
  <c r="F224" i="58"/>
  <c r="P221" i="58"/>
  <c r="G199" i="58"/>
  <c r="J216" i="58"/>
  <c r="I209" i="58"/>
  <c r="G207" i="58"/>
  <c r="K219" i="58"/>
  <c r="K199" i="58"/>
  <c r="F217" i="58"/>
  <c r="P232" i="58"/>
  <c r="P212" i="58"/>
  <c r="J230" i="58"/>
  <c r="J202" i="58"/>
  <c r="I195" i="58"/>
  <c r="G195" i="58"/>
  <c r="K221" i="58"/>
  <c r="K201" i="58"/>
  <c r="F219" i="58"/>
  <c r="F195" i="58"/>
  <c r="P214" i="58"/>
  <c r="J229" i="58"/>
  <c r="I231" i="58"/>
  <c r="H232" i="58"/>
  <c r="E220" i="58"/>
  <c r="J215" i="58"/>
  <c r="J195" i="58"/>
  <c r="I216" i="58"/>
  <c r="H230" i="58"/>
  <c r="H196" i="58"/>
  <c r="G197" i="58"/>
  <c r="J209" i="58"/>
  <c r="I226" i="58"/>
  <c r="I206" i="58"/>
  <c r="H208" i="58"/>
  <c r="G201" i="58"/>
  <c r="H229" i="58"/>
  <c r="H205" i="58"/>
  <c r="G222" i="58"/>
  <c r="G202" i="58"/>
  <c r="E215" i="58"/>
  <c r="E195" i="58"/>
  <c r="H211" i="58"/>
  <c r="G228" i="58"/>
  <c r="G208" i="58"/>
  <c r="E225" i="58"/>
  <c r="E201" i="58"/>
  <c r="N217" i="58"/>
  <c r="O214" i="58"/>
  <c r="L208" i="58"/>
  <c r="N202" i="58"/>
  <c r="L217" i="58"/>
  <c r="O220" i="58"/>
  <c r="L219" i="58"/>
  <c r="L214" i="58"/>
  <c r="L205" i="58"/>
  <c r="M231" i="58"/>
  <c r="N208" i="58"/>
  <c r="M219" i="58"/>
  <c r="N226" i="58"/>
  <c r="L226" i="58"/>
  <c r="M204" i="58"/>
  <c r="M203" i="58"/>
  <c r="O217" i="58"/>
  <c r="O226" i="58"/>
  <c r="L207" i="58"/>
  <c r="M225" i="58"/>
  <c r="L227" i="58"/>
  <c r="N216" i="58"/>
  <c r="N205" i="58"/>
  <c r="N195" i="58"/>
  <c r="O212" i="58"/>
  <c r="N206" i="58"/>
  <c r="M195" i="58"/>
  <c r="M218" i="58"/>
  <c r="M214" i="58"/>
  <c r="O205" i="58"/>
  <c r="O201" i="58"/>
  <c r="L229" i="58"/>
  <c r="N223" i="58"/>
  <c r="N227" i="58"/>
  <c r="L202" i="58"/>
  <c r="K232" i="58"/>
  <c r="F230" i="58"/>
  <c r="P223" i="58"/>
  <c r="I229" i="58"/>
  <c r="K230" i="58"/>
  <c r="F220" i="58"/>
  <c r="P217" i="58"/>
  <c r="I205" i="58"/>
  <c r="K212" i="58"/>
  <c r="F210" i="58"/>
  <c r="P203" i="58"/>
  <c r="K218" i="58"/>
  <c r="F216" i="58"/>
  <c r="P213" i="58"/>
  <c r="P195" i="58"/>
  <c r="J208" i="58"/>
  <c r="I201" i="58"/>
  <c r="E208" i="58"/>
  <c r="K215" i="58"/>
  <c r="K195" i="58"/>
  <c r="F209" i="58"/>
  <c r="P228" i="58"/>
  <c r="P208" i="58"/>
  <c r="J221" i="58"/>
  <c r="I227" i="58"/>
  <c r="H226" i="58"/>
  <c r="E212" i="58"/>
  <c r="K217" i="58"/>
  <c r="K197" i="58"/>
  <c r="F211" i="58"/>
  <c r="P230" i="58"/>
  <c r="P210" i="58"/>
  <c r="J220" i="58"/>
  <c r="I223" i="58"/>
  <c r="H218" i="58"/>
  <c r="J231" i="58"/>
  <c r="J211" i="58"/>
  <c r="I232" i="58"/>
  <c r="I208" i="58"/>
  <c r="H228" i="58"/>
  <c r="G229" i="58"/>
  <c r="E222" i="58"/>
  <c r="J205" i="58"/>
  <c r="I222" i="58"/>
  <c r="I198" i="58"/>
  <c r="H200" i="58"/>
  <c r="E226" i="58"/>
  <c r="H221" i="58"/>
  <c r="H201" i="58"/>
  <c r="G218" i="58"/>
  <c r="E231" i="58"/>
  <c r="E211" i="58"/>
  <c r="H227" i="58"/>
  <c r="H203" i="58"/>
  <c r="G224" i="58"/>
  <c r="G204" i="58"/>
  <c r="E217" i="58"/>
  <c r="E197" i="58"/>
  <c r="M228" i="58"/>
  <c r="O200" i="58"/>
  <c r="L195" i="58"/>
  <c r="M222" i="58"/>
  <c r="M216" i="58"/>
  <c r="L210" i="58"/>
  <c r="M209" i="58"/>
  <c r="K216" i="58"/>
  <c r="F222" i="58"/>
  <c r="P231" i="58"/>
  <c r="P199" i="58"/>
  <c r="H198" i="58"/>
  <c r="K222" i="58"/>
  <c r="F228" i="58"/>
  <c r="F196" i="58"/>
  <c r="P201" i="58"/>
  <c r="H214" i="58"/>
  <c r="K220" i="58"/>
  <c r="F226" i="58"/>
  <c r="P227" i="58"/>
  <c r="P197" i="58"/>
  <c r="K226" i="58"/>
  <c r="F232" i="58"/>
  <c r="F200" i="58"/>
  <c r="P205" i="58"/>
  <c r="E216" i="58"/>
  <c r="J218" i="58"/>
  <c r="I225" i="58"/>
  <c r="H222" i="58"/>
  <c r="E224" i="58"/>
  <c r="K223" i="58"/>
  <c r="K207" i="58"/>
  <c r="F229" i="58"/>
  <c r="F213" i="58"/>
  <c r="F197" i="58"/>
  <c r="P220" i="58"/>
  <c r="P204" i="58"/>
  <c r="J228" i="58"/>
  <c r="J210" i="58"/>
  <c r="I211" i="58"/>
  <c r="H210" i="58"/>
  <c r="E228" i="58"/>
  <c r="K225" i="58"/>
  <c r="K209" i="58"/>
  <c r="F231" i="58"/>
  <c r="F215" i="58"/>
  <c r="F199" i="58"/>
  <c r="P222" i="58"/>
  <c r="P206" i="58"/>
  <c r="J222" i="58"/>
  <c r="J198" i="58"/>
  <c r="I207" i="58"/>
  <c r="H202" i="58"/>
  <c r="E204" i="58"/>
  <c r="J219" i="58"/>
  <c r="J203" i="58"/>
  <c r="I228" i="58"/>
  <c r="I212" i="58"/>
  <c r="I196" i="58"/>
  <c r="H212" i="58"/>
  <c r="G221" i="58"/>
  <c r="E230" i="58"/>
  <c r="E198" i="58"/>
  <c r="J197" i="58"/>
  <c r="I218" i="58"/>
  <c r="I202" i="58"/>
  <c r="H216" i="58"/>
  <c r="G217" i="58"/>
  <c r="E218" i="58"/>
  <c r="H225" i="58"/>
  <c r="H209" i="58"/>
  <c r="G230" i="58"/>
  <c r="G214" i="58"/>
  <c r="G198" i="58"/>
  <c r="E219" i="58"/>
  <c r="E203" i="58"/>
  <c r="H223" i="58"/>
  <c r="H207" i="58"/>
  <c r="G232" i="58"/>
  <c r="G216" i="58"/>
  <c r="G200" i="58"/>
  <c r="E221" i="58"/>
  <c r="E205" i="58"/>
  <c r="M215" i="58"/>
  <c r="N212" i="58"/>
  <c r="L196" i="58"/>
  <c r="O199" i="58"/>
  <c r="N203" i="58"/>
  <c r="M206" i="58"/>
  <c r="O204" i="58"/>
  <c r="O207" i="58"/>
  <c r="N529" i="58"/>
  <c r="L529" i="58"/>
  <c r="O529" i="58"/>
  <c r="M529" i="58"/>
  <c r="E446" i="58" l="1" a="1"/>
  <c r="H446" i="58" a="1"/>
  <c r="J446" i="58" a="1"/>
  <c r="G446" i="58" a="1"/>
  <c r="G459" i="58" s="1"/>
  <c r="I446" i="58" a="1"/>
  <c r="P446" i="58" a="1"/>
  <c r="P451" i="58" s="1"/>
  <c r="N446" i="58" a="1"/>
  <c r="N469" i="58" s="1"/>
  <c r="O446" i="58" a="1"/>
  <c r="O463" i="58" s="1"/>
  <c r="H458" i="58"/>
  <c r="H476" i="58"/>
  <c r="E481" i="58"/>
  <c r="E455" i="58"/>
  <c r="E462" i="58"/>
  <c r="I473" i="58"/>
  <c r="J482" i="58"/>
  <c r="E476" i="58"/>
  <c r="E446" i="58"/>
  <c r="H447" i="58"/>
  <c r="E450" i="58"/>
  <c r="H464" i="58"/>
  <c r="J474" i="58"/>
  <c r="N452" i="58"/>
  <c r="E469" i="58"/>
  <c r="I476" i="58"/>
  <c r="H449" i="58"/>
  <c r="E448" i="58"/>
  <c r="I483" i="58"/>
  <c r="H477" i="58"/>
  <c r="H446" i="58"/>
  <c r="E457" i="58"/>
  <c r="E472" i="58"/>
  <c r="M446" i="58" a="1"/>
  <c r="H461" i="58"/>
  <c r="E477" i="58"/>
  <c r="H469" i="58"/>
  <c r="E471" i="58"/>
  <c r="E474" i="58"/>
  <c r="I451" i="58"/>
  <c r="I466" i="58"/>
  <c r="I470" i="58"/>
  <c r="L446" i="58" a="1"/>
  <c r="L470" i="58" s="1"/>
  <c r="H478" i="58"/>
  <c r="I452" i="58"/>
  <c r="I482" i="58"/>
  <c r="E460" i="58"/>
  <c r="E464" i="58"/>
  <c r="E458" i="58"/>
  <c r="O470" i="58"/>
  <c r="E482" i="58"/>
  <c r="I481" i="58"/>
  <c r="H481" i="58"/>
  <c r="P474" i="58"/>
  <c r="P452" i="58"/>
  <c r="P456" i="58"/>
  <c r="P479" i="58"/>
  <c r="P480" i="58"/>
  <c r="P482" i="58"/>
  <c r="P468" i="58"/>
  <c r="P463" i="58"/>
  <c r="P481" i="58"/>
  <c r="P470" i="58"/>
  <c r="P483" i="58"/>
  <c r="P469" i="58"/>
  <c r="H475" i="58"/>
  <c r="J471" i="58"/>
  <c r="J449" i="58"/>
  <c r="J477" i="58"/>
  <c r="J450" i="58"/>
  <c r="J462" i="58"/>
  <c r="P449" i="58"/>
  <c r="I472" i="58"/>
  <c r="I480" i="58"/>
  <c r="I453" i="58"/>
  <c r="I463" i="58"/>
  <c r="P455" i="58"/>
  <c r="P448" i="58"/>
  <c r="J475" i="58"/>
  <c r="N460" i="58"/>
  <c r="H457" i="58"/>
  <c r="H462" i="58"/>
  <c r="H480" i="58"/>
  <c r="I457" i="58"/>
  <c r="I467" i="58"/>
  <c r="J480" i="58"/>
  <c r="G446" i="58"/>
  <c r="I456" i="58"/>
  <c r="H452" i="58"/>
  <c r="J456" i="58"/>
  <c r="P465" i="58"/>
  <c r="P447" i="58"/>
  <c r="P472" i="58"/>
  <c r="I469" i="58"/>
  <c r="I479" i="58"/>
  <c r="P457" i="58"/>
  <c r="P478" i="58"/>
  <c r="P467" i="58"/>
  <c r="H472" i="58"/>
  <c r="H454" i="58"/>
  <c r="H473" i="58"/>
  <c r="H467" i="58"/>
  <c r="H460" i="58"/>
  <c r="H459" i="58"/>
  <c r="H456" i="58"/>
  <c r="H465" i="58"/>
  <c r="H463" i="58"/>
  <c r="H482" i="58"/>
  <c r="H468" i="58"/>
  <c r="H466" i="58"/>
  <c r="H455" i="58"/>
  <c r="H470" i="58"/>
  <c r="H448" i="58"/>
  <c r="J452" i="58"/>
  <c r="H471" i="58"/>
  <c r="P464" i="58"/>
  <c r="P458" i="58"/>
  <c r="H451" i="58"/>
  <c r="H479" i="58"/>
  <c r="H483" i="58"/>
  <c r="I475" i="58"/>
  <c r="I449" i="58"/>
  <c r="I468" i="58"/>
  <c r="I454" i="58"/>
  <c r="I447" i="58"/>
  <c r="I478" i="58"/>
  <c r="I471" i="58"/>
  <c r="I461" i="58"/>
  <c r="I450" i="58"/>
  <c r="I459" i="58"/>
  <c r="I458" i="58"/>
  <c r="I464" i="58"/>
  <c r="I446" i="58"/>
  <c r="I474" i="58"/>
  <c r="I455" i="58"/>
  <c r="I448" i="58"/>
  <c r="I465" i="58"/>
  <c r="I460" i="58"/>
  <c r="J468" i="58"/>
  <c r="H474" i="58"/>
  <c r="H453" i="58"/>
  <c r="I462" i="58"/>
  <c r="P453" i="58"/>
  <c r="P446" i="58"/>
  <c r="P461" i="58"/>
  <c r="P475" i="58"/>
  <c r="P460" i="58"/>
  <c r="G468" i="58"/>
  <c r="H450" i="58"/>
  <c r="I477" i="58"/>
  <c r="N459" i="58"/>
  <c r="N447" i="58"/>
  <c r="N457" i="58"/>
  <c r="N473" i="58"/>
  <c r="N480" i="58"/>
  <c r="N475" i="58"/>
  <c r="N467" i="58"/>
  <c r="E461" i="58"/>
  <c r="E451" i="58"/>
  <c r="M458" i="58"/>
  <c r="E480" i="58"/>
  <c r="E478" i="58"/>
  <c r="E465" i="58"/>
  <c r="E454" i="58"/>
  <c r="E475" i="58"/>
  <c r="E467" i="58"/>
  <c r="E463" i="58"/>
  <c r="E459" i="58"/>
  <c r="E452" i="58"/>
  <c r="E466" i="58"/>
  <c r="E473" i="58"/>
  <c r="E453" i="58"/>
  <c r="E447" i="58"/>
  <c r="E483" i="58"/>
  <c r="E456" i="58"/>
  <c r="E470" i="58"/>
  <c r="E449" i="58"/>
  <c r="E479" i="58"/>
  <c r="E468" i="58"/>
  <c r="L480" i="58" l="1"/>
  <c r="G483" i="58"/>
  <c r="O475" i="58"/>
  <c r="L463" i="58"/>
  <c r="L458" i="58"/>
  <c r="L473" i="58"/>
  <c r="O478" i="58"/>
  <c r="O472" i="58"/>
  <c r="O454" i="58"/>
  <c r="O458" i="58"/>
  <c r="L457" i="58"/>
  <c r="G454" i="58"/>
  <c r="M462" i="58"/>
  <c r="M457" i="58"/>
  <c r="M475" i="58"/>
  <c r="M482" i="58"/>
  <c r="M472" i="58"/>
  <c r="O479" i="58"/>
  <c r="G471" i="58"/>
  <c r="G480" i="58"/>
  <c r="G477" i="58"/>
  <c r="G463" i="58"/>
  <c r="G448" i="58"/>
  <c r="G465" i="58"/>
  <c r="G476" i="58"/>
  <c r="G472" i="58"/>
  <c r="G464" i="58"/>
  <c r="G457" i="58"/>
  <c r="G481" i="58"/>
  <c r="G474" i="58"/>
  <c r="G449" i="58"/>
  <c r="G453" i="58"/>
  <c r="M467" i="58"/>
  <c r="M448" i="58"/>
  <c r="M470" i="58"/>
  <c r="L467" i="58"/>
  <c r="L481" i="58"/>
  <c r="G447" i="58"/>
  <c r="G466" i="58"/>
  <c r="G470" i="58"/>
  <c r="O477" i="58"/>
  <c r="L450" i="58"/>
  <c r="O481" i="58"/>
  <c r="O452" i="58"/>
  <c r="O459" i="58"/>
  <c r="J463" i="58"/>
  <c r="J457" i="58"/>
  <c r="J447" i="58"/>
  <c r="J483" i="58"/>
  <c r="J467" i="58"/>
  <c r="J454" i="58"/>
  <c r="J451" i="58"/>
  <c r="J473" i="58"/>
  <c r="J481" i="58"/>
  <c r="J446" i="58"/>
  <c r="J479" i="58"/>
  <c r="J464" i="58"/>
  <c r="J453" i="58"/>
  <c r="J448" i="58"/>
  <c r="J466" i="58"/>
  <c r="J472" i="58"/>
  <c r="J460" i="58"/>
  <c r="J476" i="58"/>
  <c r="M476" i="58"/>
  <c r="M465" i="58"/>
  <c r="N450" i="58"/>
  <c r="N470" i="58"/>
  <c r="N448" i="58"/>
  <c r="N456" i="58"/>
  <c r="G473" i="58"/>
  <c r="L469" i="58"/>
  <c r="G461" i="58"/>
  <c r="G479" i="58"/>
  <c r="G460" i="58"/>
  <c r="O453" i="58"/>
  <c r="G458" i="58"/>
  <c r="G482" i="58"/>
  <c r="G451" i="58"/>
  <c r="O449" i="58"/>
  <c r="G455" i="58"/>
  <c r="N472" i="58"/>
  <c r="J459" i="58"/>
  <c r="J478" i="58"/>
  <c r="J455" i="58"/>
  <c r="O468" i="58"/>
  <c r="G450" i="58"/>
  <c r="G469" i="58"/>
  <c r="O466" i="58"/>
  <c r="O456" i="58"/>
  <c r="O482" i="58"/>
  <c r="O462" i="58"/>
  <c r="O451" i="58"/>
  <c r="O473" i="58"/>
  <c r="O476" i="58"/>
  <c r="O480" i="58"/>
  <c r="O455" i="58"/>
  <c r="O447" i="58"/>
  <c r="O446" i="58"/>
  <c r="O469" i="58"/>
  <c r="O464" i="58"/>
  <c r="O467" i="58"/>
  <c r="O465" i="58"/>
  <c r="O474" i="58"/>
  <c r="O450" i="58"/>
  <c r="O471" i="58"/>
  <c r="O457" i="58"/>
  <c r="O460" i="58"/>
  <c r="L453" i="58"/>
  <c r="L477" i="58"/>
  <c r="L459" i="58"/>
  <c r="L478" i="58"/>
  <c r="L474" i="58"/>
  <c r="N461" i="58"/>
  <c r="N451" i="58"/>
  <c r="N477" i="58"/>
  <c r="N466" i="58"/>
  <c r="N474" i="58"/>
  <c r="N479" i="58"/>
  <c r="N446" i="58"/>
  <c r="N455" i="58"/>
  <c r="N453" i="58"/>
  <c r="N482" i="58"/>
  <c r="N462" i="58"/>
  <c r="N483" i="58"/>
  <c r="N468" i="58"/>
  <c r="N465" i="58"/>
  <c r="N476" i="58"/>
  <c r="M464" i="58"/>
  <c r="M451" i="58"/>
  <c r="M469" i="58"/>
  <c r="M468" i="58"/>
  <c r="M452" i="58"/>
  <c r="N478" i="58"/>
  <c r="N464" i="58"/>
  <c r="N454" i="58"/>
  <c r="N481" i="58"/>
  <c r="L460" i="58"/>
  <c r="L482" i="58"/>
  <c r="G467" i="58"/>
  <c r="G456" i="58"/>
  <c r="N471" i="58"/>
  <c r="J469" i="58"/>
  <c r="N463" i="58"/>
  <c r="G475" i="58"/>
  <c r="J458" i="58"/>
  <c r="N458" i="58"/>
  <c r="L448" i="58"/>
  <c r="N449" i="58"/>
  <c r="J465" i="58"/>
  <c r="J461" i="58"/>
  <c r="J470" i="58"/>
  <c r="O448" i="58"/>
  <c r="O483" i="58"/>
  <c r="G478" i="58"/>
  <c r="M477" i="58"/>
  <c r="G462" i="58"/>
  <c r="G452" i="58"/>
  <c r="O461" i="58"/>
  <c r="P454" i="58"/>
  <c r="P450" i="58"/>
  <c r="P477" i="58"/>
  <c r="P476" i="58"/>
  <c r="P471" i="58"/>
  <c r="P466" i="58"/>
  <c r="P459" i="58"/>
  <c r="P473" i="58"/>
  <c r="P462" i="58"/>
  <c r="M453" i="58"/>
  <c r="M481" i="58"/>
  <c r="L449" i="58"/>
  <c r="M479" i="58"/>
  <c r="L468" i="58"/>
  <c r="L464" i="58"/>
  <c r="M461" i="58"/>
  <c r="M446" i="58"/>
  <c r="L447" i="58"/>
  <c r="M480" i="58"/>
  <c r="M456" i="58"/>
  <c r="M463" i="58"/>
  <c r="M449" i="58"/>
  <c r="M483" i="58"/>
  <c r="L452" i="58"/>
  <c r="L475" i="58"/>
  <c r="L454" i="58"/>
  <c r="L472" i="58"/>
  <c r="L479" i="58"/>
  <c r="L446" i="58"/>
  <c r="M450" i="58"/>
  <c r="M460" i="58"/>
  <c r="M455" i="58"/>
  <c r="M478" i="58"/>
  <c r="M466" i="58"/>
  <c r="M474" i="58"/>
  <c r="M454" i="58"/>
  <c r="M447" i="58"/>
  <c r="L465" i="58"/>
  <c r="L455" i="58"/>
  <c r="L471" i="58"/>
  <c r="L466" i="58"/>
  <c r="L476" i="58"/>
  <c r="L461" i="58"/>
  <c r="L451" i="58"/>
  <c r="L456" i="58"/>
  <c r="M471" i="58"/>
  <c r="L483" i="58"/>
  <c r="M473" i="58"/>
  <c r="M459" i="58"/>
  <c r="L462" i="58"/>
  <c r="E484" i="58"/>
  <c r="H484" i="58"/>
  <c r="I484" i="58"/>
  <c r="G484" i="58" l="1"/>
  <c r="P484" i="58"/>
  <c r="O484" i="58"/>
  <c r="N484" i="58"/>
  <c r="J484" i="58"/>
  <c r="L484" i="58"/>
  <c r="E536" i="58" a="1"/>
  <c r="M484" i="58"/>
  <c r="K546" i="58" l="1"/>
  <c r="K548" i="58"/>
  <c r="K549" i="58"/>
  <c r="F552" i="58"/>
  <c r="F546" i="58"/>
  <c r="K540" i="58"/>
  <c r="K550" i="58"/>
  <c r="K552" i="58"/>
  <c r="K553" i="58"/>
  <c r="F548" i="58"/>
  <c r="F542" i="58"/>
  <c r="K556" i="58"/>
  <c r="F543" i="58"/>
  <c r="K569" i="58"/>
  <c r="K570" i="58"/>
  <c r="F571" i="58"/>
  <c r="F555" i="58"/>
  <c r="F545" i="58"/>
  <c r="K541" i="58"/>
  <c r="M552" i="58"/>
  <c r="O567" i="58"/>
  <c r="L558" i="58"/>
  <c r="O545" i="58"/>
  <c r="L553" i="58"/>
  <c r="N559" i="58"/>
  <c r="L564" i="58"/>
  <c r="O549" i="58"/>
  <c r="M537" i="58"/>
  <c r="O543" i="58"/>
  <c r="L570" i="58"/>
  <c r="L568" i="58"/>
  <c r="O552" i="58"/>
  <c r="O548" i="58"/>
  <c r="N555" i="58"/>
  <c r="O550" i="58"/>
  <c r="N536" i="58"/>
  <c r="G536" i="58"/>
  <c r="M572" i="58"/>
  <c r="L573" i="58"/>
  <c r="M556" i="58"/>
  <c r="O557" i="58"/>
  <c r="N551" i="58"/>
  <c r="O561" i="58"/>
  <c r="M561" i="58"/>
  <c r="E536" i="58"/>
  <c r="J572" i="58"/>
  <c r="E572" i="58"/>
  <c r="H539" i="58"/>
  <c r="I573" i="58"/>
  <c r="G552" i="58"/>
  <c r="G568" i="58"/>
  <c r="G544" i="58"/>
  <c r="L554" i="58"/>
  <c r="I542" i="58"/>
  <c r="E564" i="58"/>
  <c r="G564" i="58"/>
  <c r="E559" i="58"/>
  <c r="G549" i="58"/>
  <c r="G561" i="58"/>
  <c r="E543" i="58"/>
  <c r="M548" i="58"/>
  <c r="L545" i="58"/>
  <c r="G573" i="58"/>
  <c r="J558" i="58"/>
  <c r="O559" i="58"/>
  <c r="M540" i="58"/>
  <c r="L565" i="58"/>
  <c r="O544" i="58"/>
  <c r="I554" i="58"/>
  <c r="G565" i="58"/>
  <c r="K562" i="58"/>
  <c r="K564" i="58"/>
  <c r="F565" i="58"/>
  <c r="F536" i="58"/>
  <c r="F557" i="58"/>
  <c r="K557" i="58"/>
  <c r="K565" i="58"/>
  <c r="K566" i="58"/>
  <c r="F567" i="58"/>
  <c r="F563" i="58"/>
  <c r="F553" i="58"/>
  <c r="K551" i="58"/>
  <c r="F538" i="58"/>
  <c r="K555" i="58"/>
  <c r="K563" i="58"/>
  <c r="F566" i="58"/>
  <c r="F539" i="58"/>
  <c r="K554" i="58"/>
  <c r="K559" i="58"/>
  <c r="O568" i="58"/>
  <c r="O553" i="58"/>
  <c r="M570" i="58"/>
  <c r="L548" i="58"/>
  <c r="O564" i="58"/>
  <c r="M569" i="58"/>
  <c r="L560" i="58"/>
  <c r="M542" i="58"/>
  <c r="O569" i="58"/>
  <c r="O547" i="58"/>
  <c r="M549" i="58"/>
  <c r="O542" i="58"/>
  <c r="L550" i="58"/>
  <c r="L543" i="58"/>
  <c r="N543" i="58"/>
  <c r="M571" i="58"/>
  <c r="P536" i="58"/>
  <c r="O537" i="58"/>
  <c r="N557" i="58"/>
  <c r="O562" i="58"/>
  <c r="N561" i="58"/>
  <c r="L551" i="58"/>
  <c r="O539" i="58"/>
  <c r="O554" i="58"/>
  <c r="O572" i="58"/>
  <c r="H536" i="58"/>
  <c r="H554" i="58"/>
  <c r="H537" i="58"/>
  <c r="I556" i="58"/>
  <c r="J553" i="58"/>
  <c r="H548" i="58"/>
  <c r="O546" i="58"/>
  <c r="L537" i="58"/>
  <c r="E567" i="58"/>
  <c r="E538" i="58"/>
  <c r="I541" i="58"/>
  <c r="H566" i="58"/>
  <c r="H568" i="58"/>
  <c r="M547" i="58"/>
  <c r="I563" i="58"/>
  <c r="M559" i="58"/>
  <c r="M560" i="58"/>
  <c r="L556" i="58"/>
  <c r="P551" i="58"/>
  <c r="I545" i="58"/>
  <c r="H561" i="58"/>
  <c r="E558" i="58"/>
  <c r="M545" i="58"/>
  <c r="N560" i="58"/>
  <c r="L544" i="58"/>
  <c r="G537" i="58"/>
  <c r="J559" i="58"/>
  <c r="I551" i="58"/>
  <c r="G548" i="58"/>
  <c r="H556" i="58"/>
  <c r="P557" i="58"/>
  <c r="G543" i="58"/>
  <c r="I543" i="58"/>
  <c r="J551" i="58"/>
  <c r="O538" i="58"/>
  <c r="P552" i="58"/>
  <c r="P539" i="58"/>
  <c r="M554" i="58"/>
  <c r="E549" i="58"/>
  <c r="N552" i="58"/>
  <c r="G569" i="58"/>
  <c r="K571" i="58"/>
  <c r="F573" i="58"/>
  <c r="F541" i="58"/>
  <c r="K573" i="58"/>
  <c r="K547" i="58"/>
  <c r="F537" i="58"/>
  <c r="K542" i="58"/>
  <c r="K545" i="58"/>
  <c r="F550" i="58"/>
  <c r="F544" i="58"/>
  <c r="L549" i="58"/>
  <c r="M553" i="58"/>
  <c r="O536" i="58"/>
  <c r="O555" i="58"/>
  <c r="O565" i="58"/>
  <c r="M543" i="58"/>
  <c r="M568" i="58"/>
  <c r="N542" i="58"/>
  <c r="N563" i="58"/>
  <c r="N541" i="58"/>
  <c r="N547" i="58"/>
  <c r="O570" i="58"/>
  <c r="L539" i="58"/>
  <c r="M565" i="58"/>
  <c r="E566" i="58"/>
  <c r="J547" i="58"/>
  <c r="H559" i="58"/>
  <c r="E554" i="58"/>
  <c r="G570" i="58"/>
  <c r="M557" i="58"/>
  <c r="N554" i="58"/>
  <c r="P543" i="58"/>
  <c r="H546" i="58"/>
  <c r="L542" i="58"/>
  <c r="G546" i="58"/>
  <c r="I544" i="58"/>
  <c r="P547" i="58"/>
  <c r="J565" i="58"/>
  <c r="J552" i="58"/>
  <c r="G567" i="58"/>
  <c r="O571" i="58"/>
  <c r="J562" i="58"/>
  <c r="P572" i="58"/>
  <c r="E565" i="58"/>
  <c r="L559" i="58"/>
  <c r="N553" i="58"/>
  <c r="I568" i="58"/>
  <c r="P567" i="58"/>
  <c r="H549" i="58"/>
  <c r="I559" i="58"/>
  <c r="I546" i="58"/>
  <c r="G553" i="58"/>
  <c r="J538" i="58"/>
  <c r="H565" i="58"/>
  <c r="P542" i="58"/>
  <c r="H540" i="58"/>
  <c r="H564" i="58"/>
  <c r="H563" i="58"/>
  <c r="G538" i="58"/>
  <c r="J568" i="58"/>
  <c r="M546" i="58"/>
  <c r="E556" i="58"/>
  <c r="E541" i="58"/>
  <c r="N544" i="58"/>
  <c r="L572" i="58"/>
  <c r="P565" i="58"/>
  <c r="I555" i="58"/>
  <c r="I565" i="58"/>
  <c r="H553" i="58"/>
  <c r="P566" i="58"/>
  <c r="N566" i="58"/>
  <c r="N550" i="58"/>
  <c r="J541" i="58"/>
  <c r="J537" i="58"/>
  <c r="P569" i="58"/>
  <c r="K572" i="58"/>
  <c r="F551" i="58"/>
  <c r="F559" i="58"/>
  <c r="K543" i="58"/>
  <c r="F547" i="58"/>
  <c r="F569" i="58"/>
  <c r="K544" i="58"/>
  <c r="F556" i="58"/>
  <c r="K539" i="58"/>
  <c r="F568" i="58"/>
  <c r="F570" i="58"/>
  <c r="K538" i="58"/>
  <c r="K536" i="58"/>
  <c r="F564" i="58"/>
  <c r="K567" i="58"/>
  <c r="K558" i="58"/>
  <c r="K561" i="58"/>
  <c r="F561" i="58"/>
  <c r="F554" i="58"/>
  <c r="M551" i="58"/>
  <c r="N545" i="58"/>
  <c r="L571" i="58"/>
  <c r="O573" i="58"/>
  <c r="N558" i="58"/>
  <c r="O551" i="58"/>
  <c r="N573" i="58"/>
  <c r="O556" i="58"/>
  <c r="L552" i="58"/>
  <c r="N571" i="58"/>
  <c r="O563" i="58"/>
  <c r="M538" i="58"/>
  <c r="I571" i="58"/>
  <c r="E571" i="58"/>
  <c r="E540" i="58"/>
  <c r="E562" i="58"/>
  <c r="G540" i="58"/>
  <c r="G542" i="58"/>
  <c r="H567" i="58"/>
  <c r="E569" i="58"/>
  <c r="N549" i="58"/>
  <c r="I552" i="58"/>
  <c r="P559" i="58"/>
  <c r="E542" i="58"/>
  <c r="L562" i="58"/>
  <c r="H573" i="58"/>
  <c r="H555" i="58"/>
  <c r="G541" i="58"/>
  <c r="J571" i="58"/>
  <c r="P538" i="58"/>
  <c r="J567" i="58"/>
  <c r="P549" i="58"/>
  <c r="P562" i="58"/>
  <c r="G539" i="58"/>
  <c r="M555" i="58"/>
  <c r="E568" i="58"/>
  <c r="G557" i="58"/>
  <c r="I550" i="58"/>
  <c r="I539" i="58"/>
  <c r="J542" i="58"/>
  <c r="H544" i="58"/>
  <c r="L538" i="58"/>
  <c r="J570" i="58"/>
  <c r="J563" i="58"/>
  <c r="J543" i="58"/>
  <c r="P573" i="58"/>
  <c r="M566" i="58"/>
  <c r="G551" i="58"/>
  <c r="I548" i="58"/>
  <c r="I569" i="58"/>
  <c r="J550" i="58"/>
  <c r="J545" i="58"/>
  <c r="E560" i="58"/>
  <c r="E553" i="58"/>
  <c r="N540" i="58"/>
  <c r="I567" i="58"/>
  <c r="G571" i="58"/>
  <c r="N564" i="58"/>
  <c r="P554" i="58"/>
  <c r="H550" i="58"/>
  <c r="P561" i="58"/>
  <c r="J566" i="58"/>
  <c r="N562" i="58"/>
  <c r="J544" i="58"/>
  <c r="O541" i="58"/>
  <c r="P564" i="58"/>
  <c r="F562" i="58"/>
  <c r="F560" i="58"/>
  <c r="M564" i="58"/>
  <c r="O566" i="58"/>
  <c r="O540" i="58"/>
  <c r="L561" i="58"/>
  <c r="J536" i="58"/>
  <c r="M541" i="58"/>
  <c r="M536" i="58"/>
  <c r="E552" i="58"/>
  <c r="E545" i="58"/>
  <c r="I566" i="58"/>
  <c r="M558" i="58"/>
  <c r="I561" i="58"/>
  <c r="G558" i="58"/>
  <c r="J548" i="58"/>
  <c r="G572" i="58"/>
  <c r="I557" i="58"/>
  <c r="J560" i="58"/>
  <c r="E539" i="58"/>
  <c r="G560" i="58"/>
  <c r="H541" i="58"/>
  <c r="N548" i="58"/>
  <c r="I547" i="58"/>
  <c r="J554" i="58"/>
  <c r="E557" i="58"/>
  <c r="H569" i="58"/>
  <c r="P545" i="58"/>
  <c r="E573" i="58"/>
  <c r="N565" i="58"/>
  <c r="G547" i="58"/>
  <c r="H545" i="58"/>
  <c r="P555" i="58"/>
  <c r="I562" i="58"/>
  <c r="P558" i="58"/>
  <c r="F549" i="58"/>
  <c r="K560" i="58"/>
  <c r="L555" i="58"/>
  <c r="N537" i="58"/>
  <c r="O558" i="58"/>
  <c r="M550" i="58"/>
  <c r="L536" i="58"/>
  <c r="M562" i="58"/>
  <c r="I536" i="58"/>
  <c r="G559" i="58"/>
  <c r="O560" i="58"/>
  <c r="E550" i="58"/>
  <c r="E555" i="58"/>
  <c r="I558" i="58"/>
  <c r="M544" i="58"/>
  <c r="H538" i="58"/>
  <c r="P556" i="58"/>
  <c r="H547" i="58"/>
  <c r="J561" i="58"/>
  <c r="H552" i="58"/>
  <c r="E563" i="58"/>
  <c r="H543" i="58"/>
  <c r="P548" i="58"/>
  <c r="P568" i="58"/>
  <c r="G545" i="58"/>
  <c r="J569" i="58"/>
  <c r="N538" i="58"/>
  <c r="H558" i="58"/>
  <c r="J549" i="58"/>
  <c r="M539" i="58"/>
  <c r="N570" i="58"/>
  <c r="G554" i="58"/>
  <c r="I540" i="58"/>
  <c r="H562" i="58"/>
  <c r="H570" i="58"/>
  <c r="J557" i="58"/>
  <c r="K537" i="58"/>
  <c r="F540" i="58"/>
  <c r="L566" i="58"/>
  <c r="N567" i="58"/>
  <c r="M567" i="58"/>
  <c r="L567" i="58"/>
  <c r="N568" i="58"/>
  <c r="L547" i="58"/>
  <c r="J564" i="58"/>
  <c r="I572" i="58"/>
  <c r="H571" i="58"/>
  <c r="H551" i="58"/>
  <c r="P544" i="58"/>
  <c r="E546" i="58"/>
  <c r="G563" i="58"/>
  <c r="N556" i="58"/>
  <c r="N539" i="58"/>
  <c r="P563" i="58"/>
  <c r="J540" i="58"/>
  <c r="E551" i="58"/>
  <c r="I564" i="58"/>
  <c r="H560" i="58"/>
  <c r="P537" i="58"/>
  <c r="I570" i="58"/>
  <c r="P553" i="58"/>
  <c r="P550" i="58"/>
  <c r="J546" i="58"/>
  <c r="P571" i="58"/>
  <c r="E544" i="58"/>
  <c r="L557" i="58"/>
  <c r="P540" i="58"/>
  <c r="I537" i="58"/>
  <c r="L540" i="58"/>
  <c r="L541" i="58"/>
  <c r="J573" i="58"/>
  <c r="F572" i="58"/>
  <c r="F558" i="58"/>
  <c r="K568" i="58"/>
  <c r="N572" i="58"/>
  <c r="N546" i="58"/>
  <c r="L546" i="58"/>
  <c r="N569" i="58"/>
  <c r="M573" i="58"/>
  <c r="M563" i="58"/>
  <c r="E561" i="58"/>
  <c r="I560" i="58"/>
  <c r="E547" i="58"/>
  <c r="E548" i="58"/>
  <c r="G556" i="58"/>
  <c r="E537" i="58"/>
  <c r="L569" i="58"/>
  <c r="I538" i="58"/>
  <c r="H557" i="58"/>
  <c r="J555" i="58"/>
  <c r="P541" i="58"/>
  <c r="J539" i="58"/>
  <c r="I549" i="58"/>
  <c r="H572" i="58"/>
  <c r="H542" i="58"/>
  <c r="J556" i="58"/>
  <c r="P570" i="58"/>
  <c r="G550" i="58"/>
  <c r="P546" i="58"/>
  <c r="E570" i="58"/>
  <c r="L563" i="58"/>
  <c r="G562" i="58"/>
  <c r="G566" i="58"/>
  <c r="G555" i="58"/>
  <c r="I553" i="58"/>
  <c r="P560" i="58"/>
  <c r="J574" i="58" l="1"/>
  <c r="P574" i="58"/>
  <c r="E574" i="58"/>
  <c r="G574" i="58"/>
  <c r="M574" i="58"/>
  <c r="O574" i="58"/>
  <c r="N574" i="58"/>
  <c r="L574" i="58"/>
  <c r="I574" i="58"/>
  <c r="H574" i="58"/>
  <c r="E583" i="58" l="1"/>
  <c r="Q574" i="58"/>
  <c r="E689" i="58" l="1"/>
  <c r="E585" i="58"/>
  <c r="E698" i="58"/>
  <c r="G636" i="58" l="1"/>
  <c r="G676" i="58"/>
  <c r="E708" i="58"/>
  <c r="E587" i="58"/>
  <c r="E598" i="58"/>
  <c r="G598" i="58" s="1"/>
  <c r="E620" i="58"/>
  <c r="G620" i="58" s="1"/>
  <c r="E588" i="58"/>
  <c r="E664" i="58"/>
  <c r="G664" i="58" s="1"/>
  <c r="E608" i="58"/>
  <c r="G608" i="58" s="1"/>
  <c r="G680" i="58" l="1"/>
  <c r="G709" i="58" s="1"/>
  <c r="E692" i="58"/>
  <c r="E700" i="58" s="1"/>
  <c r="E707" i="58" s="1"/>
  <c r="E709" i="58" s="1"/>
  <c r="E702" i="58" l="1"/>
  <c r="D59" i="60" l="1"/>
  <c r="D18" i="60"/>
  <c r="D39" i="60"/>
  <c r="E704" i="58"/>
</calcChain>
</file>

<file path=xl/sharedStrings.xml><?xml version="1.0" encoding="utf-8"?>
<sst xmlns="http://schemas.openxmlformats.org/spreadsheetml/2006/main" count="8149" uniqueCount="843">
  <si>
    <t>Status</t>
  </si>
  <si>
    <t>H1</t>
  </si>
  <si>
    <t>H2</t>
  </si>
  <si>
    <t>H3</t>
  </si>
  <si>
    <t>H4</t>
  </si>
  <si>
    <t>Acceptable values</t>
  </si>
  <si>
    <t>Minimum</t>
  </si>
  <si>
    <t>Maximum</t>
  </si>
  <si>
    <t>ADSL</t>
  </si>
  <si>
    <t>Dial-up</t>
  </si>
  <si>
    <t>Total</t>
  </si>
  <si>
    <t>Version</t>
  </si>
  <si>
    <t>Objective</t>
  </si>
  <si>
    <t xml:space="preserve">Title </t>
  </si>
  <si>
    <t>Author</t>
  </si>
  <si>
    <t>Information</t>
  </si>
  <si>
    <t>Work in progress</t>
  </si>
  <si>
    <t>Under construction</t>
  </si>
  <si>
    <t>Approved for release</t>
  </si>
  <si>
    <t>Email</t>
  </si>
  <si>
    <t xml:space="preserve"> </t>
  </si>
  <si>
    <t>Subscribers</t>
  </si>
  <si>
    <t>Ready for review</t>
  </si>
  <si>
    <t>Leased lines</t>
  </si>
  <si>
    <t>Local leased lines</t>
  </si>
  <si>
    <t>Installation costs</t>
  </si>
  <si>
    <t>Monthly rent</t>
  </si>
  <si>
    <t>E3 (34 Mbps)</t>
  </si>
  <si>
    <t>STM-1 (155 Mbps)</t>
  </si>
  <si>
    <t>Local segment</t>
  </si>
  <si>
    <t>0-81 Km</t>
  </si>
  <si>
    <t>Fixed part</t>
  </si>
  <si>
    <t>Per Km</t>
  </si>
  <si>
    <t>Market</t>
  </si>
  <si>
    <t>Retail minus inputs</t>
  </si>
  <si>
    <t>Connections inputs</t>
  </si>
  <si>
    <t>Lists</t>
  </si>
  <si>
    <t>Years</t>
  </si>
  <si>
    <t xml:space="preserve"> Leased lines categories</t>
  </si>
  <si>
    <t>Connections</t>
  </si>
  <si>
    <t>Local</t>
  </si>
  <si>
    <t>National</t>
  </si>
  <si>
    <t>Of which 0-81 Km</t>
  </si>
  <si>
    <t>International</t>
  </si>
  <si>
    <t>LL.type.categories</t>
  </si>
  <si>
    <t>Items of the retail minus</t>
  </si>
  <si>
    <t>Subscribers acquisition costs</t>
  </si>
  <si>
    <t>CPE cost (if provided by the operator)</t>
  </si>
  <si>
    <t>Cost borne by the operator</t>
  </si>
  <si>
    <t>Amount/proportion paid upfront by the subscriber</t>
  </si>
  <si>
    <t>CPE acquisition</t>
  </si>
  <si>
    <t>CPE handling/despatch to the subscribers</t>
  </si>
  <si>
    <t>CPE replacement</t>
  </si>
  <si>
    <t>CPE lifetime</t>
  </si>
  <si>
    <t>Churn</t>
  </si>
  <si>
    <t>Product development/management costs</t>
  </si>
  <si>
    <t>Commercial expenses</t>
  </si>
  <si>
    <t>Own sales network</t>
  </si>
  <si>
    <t>Commissions paid to third party retailers</t>
  </si>
  <si>
    <t>Billing costs (including retail billing system)</t>
  </si>
  <si>
    <t>Bad debt</t>
  </si>
  <si>
    <t>Marketing and advertising</t>
  </si>
  <si>
    <t>Marketing and sales costs per gross add</t>
  </si>
  <si>
    <t>Retail customer care (including first line technical support)</t>
  </si>
  <si>
    <t>General and administrative costs</t>
  </si>
  <si>
    <t>Office rental costs</t>
  </si>
  <si>
    <t>Floor space per employee</t>
  </si>
  <si>
    <t>Cost per square meter (per month)</t>
  </si>
  <si>
    <t>All services</t>
  </si>
  <si>
    <t>Control</t>
  </si>
  <si>
    <t>Year selected</t>
  </si>
  <si>
    <t>Year.selected</t>
  </si>
  <si>
    <t>Revenues</t>
  </si>
  <si>
    <t>Previous year</t>
  </si>
  <si>
    <t>Net adds</t>
  </si>
  <si>
    <t>Gross adds</t>
  </si>
  <si>
    <t>Billing.cost</t>
  </si>
  <si>
    <t>Bad.debt.cost</t>
  </si>
  <si>
    <t>Minimum marketing and sales as % of revenues</t>
  </si>
  <si>
    <t>Subscriber per staff</t>
  </si>
  <si>
    <t>Monthly cost per staff</t>
  </si>
  <si>
    <t>Billing costs</t>
  </si>
  <si>
    <t>Bad debt cost as a proportion of revenues</t>
  </si>
  <si>
    <t>Billing cost as a proportion of revenues</t>
  </si>
  <si>
    <t>Marketing and advertising costs</t>
  </si>
  <si>
    <t>Monthly.cost.per.staff</t>
  </si>
  <si>
    <t>Retail customer care costs</t>
  </si>
  <si>
    <t>Administrative costs as a proportion of revenues</t>
  </si>
  <si>
    <t>Administrative costs as a proportion of revenues (includes office IT, HR, strategy, finance, etc.)</t>
  </si>
  <si>
    <t>Marketing and sales (including advertising)</t>
  </si>
  <si>
    <t>Administrative staff (including marketing and sales staff) per customer care staff</t>
  </si>
  <si>
    <t>Retail customer care staff</t>
  </si>
  <si>
    <t>Admin.staff.per.customer.care.staff</t>
  </si>
  <si>
    <t>Administrative staff</t>
  </si>
  <si>
    <t>Total staff</t>
  </si>
  <si>
    <t>Floorspace.per.staff</t>
  </si>
  <si>
    <t>Rent.per.sqm</t>
  </si>
  <si>
    <t>Admin.costs</t>
  </si>
  <si>
    <t>MXN per USD</t>
  </si>
  <si>
    <t>Average 2014</t>
  </si>
  <si>
    <t>Bid</t>
  </si>
  <si>
    <t>Ask</t>
  </si>
  <si>
    <t>Network costs (over the wholesale products bought from Telmex)</t>
  </si>
  <si>
    <t>Contention ratio</t>
  </si>
  <si>
    <t>Average (adverstised) broadband speed per line (in Mbps)</t>
  </si>
  <si>
    <t>Other services that need to be bought from Telmex</t>
  </si>
  <si>
    <t>Physical spaces</t>
  </si>
  <si>
    <t>Cost per square metre</t>
  </si>
  <si>
    <t>Space required per leased line</t>
  </si>
  <si>
    <t>Technical.space.cost.per.sqm</t>
  </si>
  <si>
    <t>Space.per.LL</t>
  </si>
  <si>
    <t>Prices inputs</t>
  </si>
  <si>
    <t>Retail minus</t>
  </si>
  <si>
    <t>Total revenues</t>
  </si>
  <si>
    <t>IVA.rate</t>
  </si>
  <si>
    <t>81-161 Km</t>
  </si>
  <si>
    <t>161-805 Km</t>
  </si>
  <si>
    <t>&gt; 805 Km</t>
  </si>
  <si>
    <t>Leased lines lines</t>
  </si>
  <si>
    <t>-</t>
  </si>
  <si>
    <t>LL.churn</t>
  </si>
  <si>
    <t>Year average</t>
  </si>
  <si>
    <t>LL.local.unit.costs</t>
  </si>
  <si>
    <t>LL.national.unit.costs</t>
  </si>
  <si>
    <t>LL.international.unit.costs</t>
  </si>
  <si>
    <t>Marketing.and.sales.per.gross.add.LL</t>
  </si>
  <si>
    <t>Marketing.and.sales.minimum.proportion.LL</t>
  </si>
  <si>
    <t>Unit costs</t>
  </si>
  <si>
    <t>Unit costs (reorganised)</t>
  </si>
  <si>
    <t>Installation</t>
  </si>
  <si>
    <t>Monthly rent - fixed part</t>
  </si>
  <si>
    <t>Monthly rent - per Km</t>
  </si>
  <si>
    <t>NA</t>
  </si>
  <si>
    <t>Segments per leased line</t>
  </si>
  <si>
    <t>Local leased line</t>
  </si>
  <si>
    <t>National leased line</t>
  </si>
  <si>
    <t>International leased line</t>
  </si>
  <si>
    <t>National segment</t>
  </si>
  <si>
    <t>International segment</t>
  </si>
  <si>
    <t>Average distance per leased line</t>
  </si>
  <si>
    <t>Of which 81-161 Km</t>
  </si>
  <si>
    <t>Of which &gt; 805 Km</t>
  </si>
  <si>
    <t>Of which 161-805 Km</t>
  </si>
  <si>
    <t>Months.per.year</t>
  </si>
  <si>
    <t>Before discount</t>
  </si>
  <si>
    <t>After discount</t>
  </si>
  <si>
    <t>Total retail minus costs</t>
  </si>
  <si>
    <t>Other costs (and profit)</t>
  </si>
  <si>
    <t>Benchmarks</t>
  </si>
  <si>
    <t>Mark-up from wholesale to retail prices</t>
  </si>
  <si>
    <t>Customer.care.LL.per.staff</t>
  </si>
  <si>
    <t>64 kbps, 2 km leased line</t>
  </si>
  <si>
    <t>Country</t>
  </si>
  <si>
    <t>2 Mbps, 2 km leased line</t>
  </si>
  <si>
    <t>Mexico - calculated here</t>
  </si>
  <si>
    <t>Mexico - from accounting separation</t>
  </si>
  <si>
    <t>34 Mbps, 2 km leased line</t>
  </si>
  <si>
    <t>Comment/Source</t>
  </si>
  <si>
    <t>Named range</t>
  </si>
  <si>
    <t>unused</t>
  </si>
  <si>
    <t>unused data points from Telmex</t>
  </si>
  <si>
    <t>Monthly cost per staff (MXN)</t>
  </si>
  <si>
    <t>Cost per square meter (per month) USD</t>
  </si>
  <si>
    <t>Cost per square meter (per month) MXN</t>
  </si>
  <si>
    <t>Price per Mbps for transport (MXN)</t>
  </si>
  <si>
    <t>Leased lines calculations</t>
  </si>
  <si>
    <t>revenue reconciliation</t>
  </si>
  <si>
    <t>Eastern Europe 1</t>
  </si>
  <si>
    <t>Eastern Europe 2</t>
  </si>
  <si>
    <t>Eastern Europe 3</t>
  </si>
  <si>
    <t>Eastern Europe 4</t>
  </si>
  <si>
    <t>Western Europe 1</t>
  </si>
  <si>
    <t>Western Europe 2</t>
  </si>
  <si>
    <t>Western Europe 3</t>
  </si>
  <si>
    <t>Western Europe 4</t>
  </si>
  <si>
    <t>Western Europe 5</t>
  </si>
  <si>
    <t>Western Europe 6</t>
  </si>
  <si>
    <t>Western Europe 7</t>
  </si>
  <si>
    <t>Western Europe 8</t>
  </si>
  <si>
    <t>VAT</t>
  </si>
  <si>
    <t>Años</t>
  </si>
  <si>
    <t>IVA</t>
  </si>
  <si>
    <t>Año seleccionado</t>
  </si>
  <si>
    <t>Enlaces dedicados</t>
  </si>
  <si>
    <t>Enlaces dedicados locales</t>
  </si>
  <si>
    <t>Costos de instalación</t>
  </si>
  <si>
    <t>Renta mensual</t>
  </si>
  <si>
    <t>Parte fija</t>
  </si>
  <si>
    <t>Por km</t>
  </si>
  <si>
    <t>Notas</t>
  </si>
  <si>
    <r>
      <t xml:space="preserve">Datos de entrada </t>
    </r>
    <r>
      <rPr>
        <b/>
        <sz val="22"/>
        <rFont val="Arial"/>
        <family val="2"/>
      </rPr>
      <t>de precios</t>
    </r>
  </si>
  <si>
    <r>
      <t xml:space="preserve">Datos de entrada </t>
    </r>
    <r>
      <rPr>
        <b/>
        <sz val="22"/>
        <rFont val="Arial"/>
        <family val="2"/>
      </rPr>
      <t>de conexiones</t>
    </r>
  </si>
  <si>
    <t>Conexiones</t>
  </si>
  <si>
    <t>Mercado</t>
  </si>
  <si>
    <t>Nacional</t>
  </si>
  <si>
    <t>Internacional</t>
  </si>
  <si>
    <t>Enlaces.decidados.tipos.categorías</t>
  </si>
  <si>
    <r>
      <t>Datos de entrada</t>
    </r>
    <r>
      <rPr>
        <b/>
        <sz val="22"/>
        <rFont val="Arial"/>
        <family val="2"/>
      </rPr>
      <t xml:space="preserve"> de costos evitados</t>
    </r>
  </si>
  <si>
    <r>
      <t xml:space="preserve">Elementos del </t>
    </r>
    <r>
      <rPr>
        <b/>
        <i/>
        <sz val="15"/>
        <color theme="3"/>
        <rFont val="Arial"/>
        <family val="2"/>
        <scheme val="minor"/>
      </rPr>
      <t>retail-minus</t>
    </r>
    <r>
      <rPr>
        <b/>
        <sz val="15"/>
        <color theme="3"/>
        <rFont val="Arial"/>
        <family val="2"/>
        <scheme val="minor"/>
      </rPr>
      <t xml:space="preserve"> (costos evitados)</t>
    </r>
  </si>
  <si>
    <t xml:space="preserve">Todos los servicios </t>
  </si>
  <si>
    <t>Comentario/fuente</t>
  </si>
  <si>
    <t>Costos de captación de usuarios</t>
  </si>
  <si>
    <t>Nombre de celda</t>
  </si>
  <si>
    <t>Costo del equipo de usuario o CPE (si lo provee el operador)</t>
  </si>
  <si>
    <t>Compra del CPE</t>
  </si>
  <si>
    <t>Entrega del CPE al usuario final</t>
  </si>
  <si>
    <t>Cantidad/proporción del costo pagada por adelantdo por el usuario</t>
  </si>
  <si>
    <t xml:space="preserve">Costo absorvido por el operador </t>
  </si>
  <si>
    <t xml:space="preserve">Reemplazo del CPE </t>
  </si>
  <si>
    <t xml:space="preserve">Vida útil del CPE </t>
  </si>
  <si>
    <r>
      <t xml:space="preserve">Índice de rotación o </t>
    </r>
    <r>
      <rPr>
        <i/>
        <sz val="9"/>
        <rFont val="Arial"/>
        <family val="2"/>
      </rPr>
      <t>churn</t>
    </r>
  </si>
  <si>
    <t>Desarrollo de producto/costos de gestión</t>
  </si>
  <si>
    <t>Gastos de comercialización</t>
  </si>
  <si>
    <t xml:space="preserve">A través de la propia red de ventas del operador </t>
  </si>
  <si>
    <t>Comisiones pagadas a terceros</t>
  </si>
  <si>
    <t>Costos de facturación (incluyendo el sistema de facturación a clientes minoristas)</t>
  </si>
  <si>
    <t>Deuda incobrable</t>
  </si>
  <si>
    <t>Márquetin y ventas (incluyendo publicidad)</t>
  </si>
  <si>
    <t>Datos de Telmex no utilizados</t>
  </si>
  <si>
    <t>no utilizado</t>
  </si>
  <si>
    <t>Costos de ventas y márketing por suscriptor bruto adicional</t>
  </si>
  <si>
    <t xml:space="preserve">Gasto mínimo en márketin in ventas sobre el total de intresos </t>
  </si>
  <si>
    <t>Número de suscriptores por empleado</t>
  </si>
  <si>
    <t>Costo mensual por empleado (MXN)</t>
  </si>
  <si>
    <t>Atención al cliente minorista (incluyendo asistencia técnica de primera línea)</t>
  </si>
  <si>
    <t>Superficio de suelo por empleado</t>
  </si>
  <si>
    <t>Costo por metro cuadrado (por mes) USD</t>
  </si>
  <si>
    <t>Costo por metro cuadrado (por mes) MXN</t>
  </si>
  <si>
    <t xml:space="preserve">Personal administrativo (incluyendo personal de márketing y ventas) por empleado de atención al cliente </t>
  </si>
  <si>
    <t>Costos administrativos sobre el total de ingresos (incluye personal de soporte IT, recursos humanos, estrategia, finanzas, etc.)</t>
  </si>
  <si>
    <t xml:space="preserve">Costos de red (sobre los productos mayoristas adquiridos por Telmex) </t>
  </si>
  <si>
    <t>Velocidad promedio de banda ancha (publicitada) por línea (en Mbps)</t>
  </si>
  <si>
    <t>Ratio de contención</t>
  </si>
  <si>
    <t>Precio por Mbps por transporte (MXN)</t>
  </si>
  <si>
    <t xml:space="preserve">Otros servicios que es necesario adquirir de Telmex </t>
  </si>
  <si>
    <t>Espacio físico</t>
  </si>
  <si>
    <t>Costo por metro cuadrado</t>
  </si>
  <si>
    <t xml:space="preserve">Espacio requerido para la instalación de enlaces dedicados </t>
  </si>
  <si>
    <t>MXN por USD</t>
  </si>
  <si>
    <t>Promedio 2014</t>
  </si>
  <si>
    <t xml:space="preserve">Compra de pesos </t>
  </si>
  <si>
    <t>Venta de pesos</t>
  </si>
  <si>
    <t>Cálculos enlaces dedicados</t>
  </si>
  <si>
    <t>Número de suscriptores</t>
  </si>
  <si>
    <t>Año anterior</t>
  </si>
  <si>
    <t>Promedio annual</t>
  </si>
  <si>
    <t>Suscriptores adicionales netos</t>
  </si>
  <si>
    <t>Índice de rotación o churn</t>
  </si>
  <si>
    <t>Suscriptores adicionales brutos</t>
  </si>
  <si>
    <t>Costos unitarios</t>
  </si>
  <si>
    <t>Costos unitarios (reorganizados)</t>
  </si>
  <si>
    <t>Instalación</t>
  </si>
  <si>
    <t>Renta mensual - parte fija</t>
  </si>
  <si>
    <t>Renta mensual - por km</t>
  </si>
  <si>
    <t>Segmentos por enlace dedicado</t>
  </si>
  <si>
    <t>Enlace dedicado local</t>
  </si>
  <si>
    <t>Enlace dedicado nacional</t>
  </si>
  <si>
    <t>Enlace dedicado internacional</t>
  </si>
  <si>
    <t>Distancia promedio por enlace dedicado</t>
  </si>
  <si>
    <t>Ingresos</t>
  </si>
  <si>
    <t>Antes de descuentos</t>
  </si>
  <si>
    <t>Reconciliación de ingresos</t>
  </si>
  <si>
    <t>Costos de facturación (incluyendo el sistema de facturación de clientes minoristas)</t>
  </si>
  <si>
    <t>Costos de facturación sobre el total de ingresos</t>
  </si>
  <si>
    <t>Costos de facturación</t>
  </si>
  <si>
    <t xml:space="preserve">Costo de la deuda incobrable sobre el total de ingresos </t>
  </si>
  <si>
    <t>Márquetin y publicidad</t>
  </si>
  <si>
    <t>Costo mensual por empleado</t>
  </si>
  <si>
    <t>Costos minoristas de atención al cliente</t>
  </si>
  <si>
    <t>Costos generales y administrativos</t>
  </si>
  <si>
    <t>Personal de atención al cliente minorista</t>
  </si>
  <si>
    <t>Personal administrativo</t>
  </si>
  <si>
    <t>Total empleados</t>
  </si>
  <si>
    <t>Costos de alquiler de oficinas</t>
  </si>
  <si>
    <t>Superficie de suelo por empleado</t>
  </si>
  <si>
    <t>Costos por metro cuadrado</t>
  </si>
  <si>
    <t>Costos administrativos sobre el total de ingresos</t>
  </si>
  <si>
    <t>Espacios físicos</t>
  </si>
  <si>
    <t>Espacio requerido por enlace dedicado</t>
  </si>
  <si>
    <t xml:space="preserve">Total costos retail minus </t>
  </si>
  <si>
    <t>Costos evitados</t>
  </si>
  <si>
    <t>Total ingresos</t>
  </si>
  <si>
    <t>Total costos retail minus</t>
  </si>
  <si>
    <t>Otros costos (y ganancias)</t>
  </si>
  <si>
    <t>Reconciliación de costos mayoristas</t>
  </si>
  <si>
    <t>Wholesale cost reconciliation</t>
  </si>
  <si>
    <t>Costos de márquetin y publicidad</t>
  </si>
  <si>
    <t xml:space="preserve">Costos de márquetin y ventas por suscriptor bruto adicional </t>
  </si>
  <si>
    <t xml:space="preserve">Gasto mínimo en márquetin y ventas sobre el total de ingresos </t>
  </si>
  <si>
    <t>Mark-up del precio mayorista al precio minorista</t>
  </si>
  <si>
    <t>Enlace dedicado, 64 kbps, 2km</t>
  </si>
  <si>
    <t xml:space="preserve">Enlace dedicado, 2Mbps, 2km </t>
  </si>
  <si>
    <t xml:space="preserve">Enlace dedicado, 34Mbps, 2km </t>
  </si>
  <si>
    <t>País</t>
  </si>
  <si>
    <t>Europa del Este 1</t>
  </si>
  <si>
    <t>Europa del Este 2</t>
  </si>
  <si>
    <t>Europa del Este 3</t>
  </si>
  <si>
    <t>Europa del Este 4</t>
  </si>
  <si>
    <t>Europa occidental 1</t>
  </si>
  <si>
    <t>Europa occidental 2</t>
  </si>
  <si>
    <t>México - calculado aquí</t>
  </si>
  <si>
    <t xml:space="preserve">México - de la separación contable </t>
  </si>
  <si>
    <t>Europa occidental  1</t>
  </si>
  <si>
    <t>Europa occidental  2</t>
  </si>
  <si>
    <t>Europa occidental  3</t>
  </si>
  <si>
    <t>Europa occidental  4</t>
  </si>
  <si>
    <t>Europa occidental  5</t>
  </si>
  <si>
    <t>Europa occidental  6</t>
  </si>
  <si>
    <t>Europa occidental  7</t>
  </si>
  <si>
    <t>Europa occidental  8</t>
  </si>
  <si>
    <t>De los cuales  &gt; 805 km</t>
  </si>
  <si>
    <t>De los cuales 161-805 km</t>
  </si>
  <si>
    <t>De los cuales 0-81 km</t>
  </si>
  <si>
    <t>De los cuales 81-161 km</t>
  </si>
  <si>
    <t>De los cuales  81-161 km</t>
  </si>
  <si>
    <t>Guía de estilos en Excel</t>
  </si>
  <si>
    <t xml:space="preserve">Nota: Utilizar la opción 'Congelar los paneles' (para cada hoja de cálculo) para mantener la cabecera de la columna y de la fila a la vista cuando se navega por la hoja de cálculo </t>
  </si>
  <si>
    <t xml:space="preserve">Nota: Si una hoja de cálculo abarca más de una página, se sugiere repetir la primera fila de encabezados de columna en todas las páginas (Diseño de página_Repetir filas en extremo superior_Indique la referencia $1:$1, tal y como se hace en esta hoja de cálculo) </t>
  </si>
  <si>
    <r>
      <t xml:space="preserve">Estilos de celda (datos de entrada o </t>
    </r>
    <r>
      <rPr>
        <b/>
        <i/>
        <sz val="14"/>
        <rFont val="Arial"/>
        <family val="2"/>
      </rPr>
      <t>inputs</t>
    </r>
    <r>
      <rPr>
        <b/>
        <sz val="14"/>
        <rFont val="Arial"/>
        <family val="2"/>
      </rPr>
      <t>)</t>
    </r>
  </si>
  <si>
    <r>
      <t>Utilizar estos estilos para identificar los datos de entrada (</t>
    </r>
    <r>
      <rPr>
        <b/>
        <i/>
        <sz val="9"/>
        <rFont val="Arial"/>
        <family val="2"/>
      </rPr>
      <t>inputs</t>
    </r>
    <r>
      <rPr>
        <b/>
        <sz val="9"/>
        <rFont val="Arial"/>
        <family val="2"/>
      </rPr>
      <t>) al modelo</t>
    </r>
  </si>
  <si>
    <t>Nota: Estos estilos cambian prácticamente todo el formato de una celda (excepto los números y la alineación)</t>
  </si>
  <si>
    <t>Parámetro de entrada</t>
  </si>
  <si>
    <t>Desbloqueada</t>
  </si>
  <si>
    <t>Un input (dato de entrada) que puede ser modificado por el usuario (siempre que quiera)</t>
  </si>
  <si>
    <t>Se sugiere configurar el tipo de datos o los valores que los usuarios pueden escribir en una celda. La validación de datos se configura en el cuadro de diálogo 'Validación de datos'</t>
  </si>
  <si>
    <t>Si un parámetro puede tomar sólo uno de entre un rango reducido de valores, para controlar el tipo de datos o los valores que los usuarios pueden entrar en una celda, se sugiere configurar la lista en el cuadro de diálogo Validación de Datos_Permitir_Lista, asegurándose de que esté activada la casilla Celda con lista desplegable</t>
  </si>
  <si>
    <t>Dato de entrada</t>
  </si>
  <si>
    <t>Datos reales (modificar únicamente si se dispone de mejores datos)</t>
  </si>
  <si>
    <t>Estimación de valores de entrada</t>
  </si>
  <si>
    <t>Una estimación utilizada ante la falta de datos reales (cambiar únicamente si se dispone de una mejor estimación, o de datos)</t>
  </si>
  <si>
    <t>Cálculo de valores de entrada</t>
  </si>
  <si>
    <t>Bloqueada</t>
  </si>
  <si>
    <t>Datos de entrada del modelo calculados a partir de otros datos de entrada (e.g. valores de entrada interpolados)</t>
  </si>
  <si>
    <t>Enlace (dentro del mismo libro)</t>
  </si>
  <si>
    <t xml:space="preserve">Celda vinculada a una fuente ubicada en otra hoja de cálculo dentro del mismo libro </t>
  </si>
  <si>
    <t>Enlace (a otro libro)</t>
  </si>
  <si>
    <t xml:space="preserve">Celda vinculada a una fuente ubicada en una hoja de cálculo en otro libro </t>
  </si>
  <si>
    <t>Otros estilos de celda</t>
  </si>
  <si>
    <t xml:space="preserve">Utilizar estos estilos para identificar el papel de otras celdas en el modelo </t>
  </si>
  <si>
    <t xml:space="preserve">Nota: Estos estilos cambian sólo el tipo de letra utilizada en una celda </t>
  </si>
  <si>
    <t>Cálculo</t>
  </si>
  <si>
    <t>Un cálculo del modelo</t>
  </si>
  <si>
    <t>Total (utilizar si no forma parte de un 'Sub-total de fila' o un 'Total de fila' en una tabla - ver más abajo)</t>
  </si>
  <si>
    <t>Suma de verificación</t>
  </si>
  <si>
    <t>Cálculo secundario cuyo objetivo principal es verificar un resultado (al que por tanto no debería hacerse referencia en ninguna otra parte del modelo)</t>
  </si>
  <si>
    <t>Utilizar este formato condicional para resaltar los valores de error obtenidos a través de la suma de verificación  (ej. valores diferentes a cero)</t>
  </si>
  <si>
    <t>Valor de salida</t>
  </si>
  <si>
    <t>Un resultado clave de esta parte del modelo (en particular uno que será utilizado en otra parte del modelo)</t>
  </si>
  <si>
    <t>Nombre</t>
  </si>
  <si>
    <r>
      <t>Un nombre en Excel aplicable a una o más celdas adjuntas (</t>
    </r>
    <r>
      <rPr>
        <u/>
        <sz val="9"/>
        <rFont val="Arial"/>
        <family val="2"/>
      </rPr>
      <t>Insertar Nombre_Crear)</t>
    </r>
  </si>
  <si>
    <t>Nota</t>
  </si>
  <si>
    <t>Una nota (cuyo tamaño de texto es menor de lo normal)</t>
  </si>
  <si>
    <t>Resaltar una celda con un formato especial</t>
  </si>
  <si>
    <t>Una celda que contiene valores especiales</t>
  </si>
  <si>
    <t xml:space="preserve">Eliminar el resaltado de una celda </t>
  </si>
  <si>
    <t>Una celda que deja de contener valores especiales</t>
  </si>
  <si>
    <t>Formatos de número</t>
  </si>
  <si>
    <t xml:space="preserve">Utilizar estos estilos para formatear números (y fechas) de manera consistente </t>
  </si>
  <si>
    <t>Nota: Todos los formatos de número utilizan un símbolo de separador decimal y de agrupamiento de dígitos (separador de miles), ambos definidos en las Opciones Regionales en el cuadro de diálogo 'Propriedades de Control'. Si desea cambiar los formatos de número, no lo haga aquí, sino en Excel!</t>
  </si>
  <si>
    <t xml:space="preserve">Nota: Casi todos los formatos de número dejan espacio para un ')' a la derecha del número, pero sólo los formatos de moneda utilizan '(…)' para los números negativos </t>
  </si>
  <si>
    <t>Número</t>
  </si>
  <si>
    <t>Número (2pd)</t>
  </si>
  <si>
    <t>Porcentaje</t>
  </si>
  <si>
    <t>Porcentaje (2pd)</t>
  </si>
  <si>
    <t>Moneda</t>
  </si>
  <si>
    <t>Moneda (2pd)</t>
  </si>
  <si>
    <t>Coma</t>
  </si>
  <si>
    <t>Positivo</t>
  </si>
  <si>
    <t>Negativo</t>
  </si>
  <si>
    <t>Cero</t>
  </si>
  <si>
    <t>Texto</t>
  </si>
  <si>
    <t>Moneda
EUR</t>
  </si>
  <si>
    <t>Moneda
EUR (2pd)</t>
  </si>
  <si>
    <t>Moneda Euro</t>
  </si>
  <si>
    <t>Moneda Euro (2pd)</t>
  </si>
  <si>
    <t>Moneda
USD</t>
  </si>
  <si>
    <t>Moneda
USD (2pd)</t>
  </si>
  <si>
    <t xml:space="preserve">Moneda Dólar </t>
  </si>
  <si>
    <t>Modena Dólar (2pd)</t>
  </si>
  <si>
    <t>Moneda
GBP</t>
  </si>
  <si>
    <t>Moneda
GBP (2dp)</t>
  </si>
  <si>
    <t>Moneda Libra Esterlina</t>
  </si>
  <si>
    <t>Moneda Libra Esterlina (2dp)</t>
  </si>
  <si>
    <t>Fecha</t>
  </si>
  <si>
    <t>Fecha (mes)</t>
  </si>
  <si>
    <t>Fecha (año)</t>
  </si>
  <si>
    <t>Estilos de títulos</t>
  </si>
  <si>
    <t>Utilizar estos estilos para formatear los títulos</t>
  </si>
  <si>
    <t>Título</t>
  </si>
  <si>
    <t xml:space="preserve">Nivel 1 </t>
  </si>
  <si>
    <t>Nivel 2</t>
  </si>
  <si>
    <t>Nivel 3</t>
  </si>
  <si>
    <t>Nivel 4</t>
  </si>
  <si>
    <t>Estilos de tablas</t>
  </si>
  <si>
    <t xml:space="preserve">Utilizar estos estilos para formatear las tablas de manera consistente </t>
  </si>
  <si>
    <t xml:space="preserve">Nota: Estos estilos cambian el formato de celda (según se desee en función del contexto) </t>
  </si>
  <si>
    <t>Una tabla simple</t>
  </si>
  <si>
    <t>Encabezado de la columna (texto alineado a la izquierda)</t>
  </si>
  <si>
    <t>Encabezado de la columna</t>
  </si>
  <si>
    <t>Encabezado de la fila</t>
  </si>
  <si>
    <t>(Última fila)</t>
  </si>
  <si>
    <t>Ejemplo de una tabla más compleja</t>
  </si>
  <si>
    <t>Encabezado de la columa (sin ajustar el texto)</t>
  </si>
  <si>
    <t>Encabezado de la columna (sin ajustar el texto)</t>
  </si>
  <si>
    <t>Encabezado de la columna (no en negrita)</t>
  </si>
  <si>
    <t>(tabla sin sombreado)</t>
  </si>
  <si>
    <t>(tabla con sombreado)</t>
  </si>
  <si>
    <t>Encabezado de la fila (sangría)</t>
  </si>
  <si>
    <t xml:space="preserve">Sub-total de fila </t>
  </si>
  <si>
    <t>Total de fila</t>
  </si>
  <si>
    <t xml:space="preserve">Ejemplos de uso </t>
  </si>
  <si>
    <t xml:space="preserve">Nota: Para evitar posibles confusiones y errores en esta plantilla, no se han creado los nombres falsos que se muestran a continuación </t>
  </si>
  <si>
    <t>Número de suscriptores (fin de año)</t>
  </si>
  <si>
    <t>Servicio</t>
  </si>
  <si>
    <t>Unidad</t>
  </si>
  <si>
    <t>Suscriptores.Por servicio.Fin de año</t>
  </si>
  <si>
    <t>Suscriptores</t>
  </si>
  <si>
    <t>Interpolación lineal</t>
  </si>
  <si>
    <t>Cable módem</t>
  </si>
  <si>
    <t>Datos tomados de la tabla anterior</t>
  </si>
  <si>
    <t>Datos tomados del fichero Cable_modem.xls</t>
  </si>
  <si>
    <t>Número de suscriptores (promedio simple)</t>
  </si>
  <si>
    <t>Suscriptores.Promedio.Anual.Total</t>
  </si>
  <si>
    <t>Retail profit</t>
  </si>
  <si>
    <t>Beneficio minorista</t>
  </si>
  <si>
    <t>Retail.profit</t>
  </si>
  <si>
    <t>Costos por espacios físicos</t>
  </si>
  <si>
    <t>Cost of physical spaces</t>
  </si>
  <si>
    <t>Discount offered to new subscribers (months free)</t>
  </si>
  <si>
    <t>Descuento ofrecido a los nuevos usuarios (meses gratis)</t>
  </si>
  <si>
    <t>Costo del descuento</t>
  </si>
  <si>
    <t>Cost of the discount</t>
  </si>
  <si>
    <t>Overall discount offered on leased lines</t>
  </si>
  <si>
    <t>Descuento global ofrecido sobre enlaces dedicados</t>
  </si>
  <si>
    <t>Discount.retail.LL</t>
  </si>
  <si>
    <t>Antes del descuento</t>
  </si>
  <si>
    <t>Después del descuento</t>
  </si>
  <si>
    <t>Discount on retail prices</t>
  </si>
  <si>
    <t>Descuento sobre precios minoristas</t>
  </si>
  <si>
    <t>Of which discount on retail prices</t>
  </si>
  <si>
    <t>Of which retail minus items</t>
  </si>
  <si>
    <t>Ingresos antes de los descuentos minoristas</t>
  </si>
  <si>
    <t>Velocidad</t>
  </si>
  <si>
    <t>64 kbps</t>
  </si>
  <si>
    <t>128 kbps</t>
  </si>
  <si>
    <t>192 kbps</t>
  </si>
  <si>
    <t>256 kbps</t>
  </si>
  <si>
    <t>384 kbps</t>
  </si>
  <si>
    <t>512 kbps</t>
  </si>
  <si>
    <t>768 kbps</t>
  </si>
  <si>
    <t>1024 kbps</t>
  </si>
  <si>
    <t>E1 (2.4 Mbps)</t>
  </si>
  <si>
    <t>E2 *</t>
  </si>
  <si>
    <t>STM-4 (622.08 Mbps)</t>
  </si>
  <si>
    <t>STM-16 (2488.32Mbps)</t>
  </si>
  <si>
    <t>STM-64 (9953.28Mbps)</t>
  </si>
  <si>
    <t>STM-256 (39813.12 Mbps)*</t>
  </si>
  <si>
    <t>Ethernet (10Mbps)</t>
  </si>
  <si>
    <t>Ethernet (20Mbps)</t>
  </si>
  <si>
    <t>Ethernet (30Mbps)</t>
  </si>
  <si>
    <t>Ethernet (40Mbps)</t>
  </si>
  <si>
    <t>Ethernet (50Mbps)</t>
  </si>
  <si>
    <t>Ethernet (60Mbps)</t>
  </si>
  <si>
    <t>Ethernet (70Mbps)</t>
  </si>
  <si>
    <t>Ethernet (80Mbps)</t>
  </si>
  <si>
    <t>Ethernet (90Mbps)</t>
  </si>
  <si>
    <t>GigaEthernet (100Mbps)</t>
  </si>
  <si>
    <t>GigaEthernet (150Mbps)</t>
  </si>
  <si>
    <t>GigaEthernet (200Mbps)</t>
  </si>
  <si>
    <t>GigaEthernet (250Mbps)</t>
  </si>
  <si>
    <t>GigaEthernet (300Mbps)</t>
  </si>
  <si>
    <t>GigaEthernet (350Mbps)</t>
  </si>
  <si>
    <t>GigaEthernet (400Mbps)</t>
  </si>
  <si>
    <t>GigaEthernet (450Mbps)</t>
  </si>
  <si>
    <t>GigaEthernet (500Mbps)</t>
  </si>
  <si>
    <t>GigaEthernet (550Mbps)</t>
  </si>
  <si>
    <t>GigaEthernet (600Mbps)</t>
  </si>
  <si>
    <t>GigaEthernet (750Mbps)</t>
  </si>
  <si>
    <t>GigaEthernet (1 Gbps)</t>
  </si>
  <si>
    <t>Enlaces dedicados locales - número de suscriptores minoristas</t>
  </si>
  <si>
    <t>Local leased lines - number of retail subscriptions</t>
  </si>
  <si>
    <t>LL.list</t>
  </si>
  <si>
    <t>Enlaces dedicados nacionales - número de suscriptores minoristas</t>
  </si>
  <si>
    <t>National leased lines - number of retail subscriptions</t>
  </si>
  <si>
    <t>Distancia 0-81 km</t>
  </si>
  <si>
    <t>Distance 0-81 km</t>
  </si>
  <si>
    <t>Distancia 81-161 km</t>
  </si>
  <si>
    <t>Distance 81-161 km</t>
  </si>
  <si>
    <t>Distancia 161-805 km</t>
  </si>
  <si>
    <t>Distance 161-805 km</t>
  </si>
  <si>
    <t>Distancia &gt;805 km</t>
  </si>
  <si>
    <t>Distance &gt;805 km</t>
  </si>
  <si>
    <t>Enlaces dedicados internacionales - número de suscriptores minoristas</t>
  </si>
  <si>
    <t>International leased lines - number of retail subscriptions</t>
  </si>
  <si>
    <t>Enlaces dedicados de cruce fronterizo - número de suscriptores minoristas</t>
  </si>
  <si>
    <t>Border crossing leased lines - number of retail subscriptions</t>
  </si>
  <si>
    <t>All distances</t>
  </si>
  <si>
    <t>Todas distancias</t>
  </si>
  <si>
    <t>Number of leased lines</t>
  </si>
  <si>
    <t xml:space="preserve">Número de enlaces dedicados </t>
  </si>
  <si>
    <t>CAGR</t>
  </si>
  <si>
    <t>Distribution of leased lines by speed</t>
  </si>
  <si>
    <t>Porcentaje de enlaces dedicados por velocidad</t>
  </si>
  <si>
    <t>Speed</t>
  </si>
  <si>
    <t>Local installation price</t>
  </si>
  <si>
    <t>Renta mensual por una punta</t>
  </si>
  <si>
    <t>Monthly rent for one point</t>
  </si>
  <si>
    <t>Precio de la instalación local</t>
  </si>
  <si>
    <t>Fijo</t>
  </si>
  <si>
    <t>Km</t>
  </si>
  <si>
    <t>E2*</t>
  </si>
  <si>
    <t>Tramo LD</t>
  </si>
  <si>
    <t>Enlaces dedicados nacionales - cargo por tramo de LD</t>
  </si>
  <si>
    <t>National leased lines - price for the long distance component</t>
  </si>
  <si>
    <t>Renta mensual - Distancia 0-81km</t>
  </si>
  <si>
    <t>Monthly rent - distance 0-81km</t>
  </si>
  <si>
    <t>Renta mensual - Distancia 81-161km</t>
  </si>
  <si>
    <t>Renta mensual - Distancia 161-805km</t>
  </si>
  <si>
    <t>Renta mensual - Distancia &gt;805km</t>
  </si>
  <si>
    <t>Monthly rent - distance 81-161km</t>
  </si>
  <si>
    <t>Monthly rent - distance 161-805km</t>
  </si>
  <si>
    <t>Monthly rent - distance &gt;805km</t>
  </si>
  <si>
    <t>Installation price of the national component</t>
  </si>
  <si>
    <t>Enlaces dedicados internacionales - cargo por tramo internacional</t>
  </si>
  <si>
    <t>Precio de la instalación tramo internacional</t>
  </si>
  <si>
    <t>Installation price of the international component</t>
  </si>
  <si>
    <t>Precio de la instalación tramo de distancia nacional</t>
  </si>
  <si>
    <t>Precio de la instalación tramo fronterizo</t>
  </si>
  <si>
    <t>Installation price of the cross-border component</t>
  </si>
  <si>
    <t>Enlaces dedicados cruce fronterizo - cargo por tramo fronterizo</t>
  </si>
  <si>
    <t>Border crossing leased lines - price for the border crossing component</t>
  </si>
  <si>
    <t>LL.local.by.capacity.retail</t>
  </si>
  <si>
    <t>LL.national.0.81.km.by.capacity.retail</t>
  </si>
  <si>
    <t>LL.border.crossing.by.capacity.retail</t>
  </si>
  <si>
    <t>LL.international.by.capacity.retail</t>
  </si>
  <si>
    <t>LL.national.over.805.km.by.capacity.retail</t>
  </si>
  <si>
    <t>LL.national.161.805.km.by.capacity.retail</t>
  </si>
  <si>
    <t>LL.national.81.161.km.by.capacity.retail</t>
  </si>
  <si>
    <t>Porcentaje de enlaces dedicados por distancia</t>
  </si>
  <si>
    <t>Distribution of leased lines by distance</t>
  </si>
  <si>
    <t>0-81km</t>
  </si>
  <si>
    <t>81-161km</t>
  </si>
  <si>
    <t>161-805km</t>
  </si>
  <si>
    <t>&gt;805km</t>
  </si>
  <si>
    <t>For national leased lines in 2014 for reference</t>
  </si>
  <si>
    <t>Por enlaces dedicados en 2014 por referencia</t>
  </si>
  <si>
    <t>LL.international.distance.distribution.by.capacity.retail</t>
  </si>
  <si>
    <t>International leased lines - price for the international component</t>
  </si>
  <si>
    <t>Cruce fronterizo</t>
  </si>
  <si>
    <t>Border crossing</t>
  </si>
  <si>
    <t>LL.border.crossing.unit.costs</t>
  </si>
  <si>
    <t>Locales</t>
  </si>
  <si>
    <t>Nacionales</t>
  </si>
  <si>
    <t>Internacionales</t>
  </si>
  <si>
    <t>Enlace dedicado cruce fronterizo</t>
  </si>
  <si>
    <t>Border crossing leased line</t>
  </si>
  <si>
    <t>Border crossing segment</t>
  </si>
  <si>
    <t>Renta annual</t>
  </si>
  <si>
    <t>Yearly rent</t>
  </si>
  <si>
    <t>Enlaces dedicados locales - número de suscriptores mayoristas</t>
  </si>
  <si>
    <t>Enlaces dedicados nacionales - número de suscriptores mayoristas</t>
  </si>
  <si>
    <t>Enlaces dedicados internacionales - número de suscriptores mayoristas</t>
  </si>
  <si>
    <t>Enlaces dedicados de cruce fronterizo - número de suscriptores mayoristas</t>
  </si>
  <si>
    <t>Enlaces dedicados locales - número de suscriptores totales</t>
  </si>
  <si>
    <t>Enlaces dedicados nacionales - número de suscriptores totales</t>
  </si>
  <si>
    <t>Enlaces dedicados internacionales - número de suscriptores totales</t>
  </si>
  <si>
    <t>Enlaces dedicados de cruce fronterizo - número de suscriptores totales</t>
  </si>
  <si>
    <t>Local leased lines - number of total subscriptions</t>
  </si>
  <si>
    <t>National leased lines - number of total subscriptions</t>
  </si>
  <si>
    <t>International leased lines - number of total subscriptions</t>
  </si>
  <si>
    <t>Border crossing leased lines - number of total subscriptions</t>
  </si>
  <si>
    <t>Local leased lines - number of wholesale subscriptions</t>
  </si>
  <si>
    <t>National leased lines - number of wholesale subscriptions</t>
  </si>
  <si>
    <t>International leased lines - number of wholesale subscriptions</t>
  </si>
  <si>
    <t>Border crossing leased lines - number of wholesale subscriptions</t>
  </si>
  <si>
    <t>Local.LL.2009.2014.retail</t>
  </si>
  <si>
    <t>National.LL.0.81.km.2009.2014.retail</t>
  </si>
  <si>
    <t>National.LL.81.161.km.2009.2014.retail</t>
  </si>
  <si>
    <t>National.LL.161.805.km.2009.2014.retail</t>
  </si>
  <si>
    <t>National.LL.above.805.km.2009.2014.retail</t>
  </si>
  <si>
    <t>International.LL.2009.2014.retail</t>
  </si>
  <si>
    <t>Cruze.Fronterizo.LL.2009.2014.retail</t>
  </si>
  <si>
    <t>Local.LL.2009.2014.wholesale</t>
  </si>
  <si>
    <t>National.LL.0.81.km.2009.2014.wholesale</t>
  </si>
  <si>
    <t>National.LL.81.161.km.2009.2014.wholesale</t>
  </si>
  <si>
    <t>National.LL.161.805.km.2009.2014.wholesale</t>
  </si>
  <si>
    <t>National.LL.above.805.km.2009.2014.wholesale</t>
  </si>
  <si>
    <t>International.LL.2009.2014.wholesale</t>
  </si>
  <si>
    <t>Cruze.Fronterizo.LL.2009.2014.wholesale</t>
  </si>
  <si>
    <t>Local.LL.2009.2014.total</t>
  </si>
  <si>
    <t>National.LL.0.81.km.2009.2014.total</t>
  </si>
  <si>
    <t>National.LL.81.161.km.2009.2014.total</t>
  </si>
  <si>
    <t>National.LL.161.805.km.2009.2014.total</t>
  </si>
  <si>
    <t>National.LL.above.805.km.2009.2014.total</t>
  </si>
  <si>
    <t>International.LL.2009.2014.total</t>
  </si>
  <si>
    <t>Cruze.Fronterizo.LL.2009.2014.total</t>
  </si>
  <si>
    <t>LL.international.distance.distribution.by.capacity.wholesale</t>
  </si>
  <si>
    <t>LL.international.distance.distribution.by.capacity.total</t>
  </si>
  <si>
    <t>LL.local.by.capacity.total</t>
  </si>
  <si>
    <t>LL.national.0.81.km.by.capacity.total</t>
  </si>
  <si>
    <t>LL.national.81.161.km.by.capacity.total</t>
  </si>
  <si>
    <t>LL.national.161.805.km.by.capacity.total</t>
  </si>
  <si>
    <t>LL.national.over.805.km.by.capacity.total</t>
  </si>
  <si>
    <t>LL.international.by.capacity.total</t>
  </si>
  <si>
    <t>LL.border.crossing.by.capacity.total</t>
  </si>
  <si>
    <t>LL.local.by.capacity.wholesale</t>
  </si>
  <si>
    <t>LL.national.0.81.km.by.capacity.wholesale</t>
  </si>
  <si>
    <t>LL.national.81.161.km.by.capacity.wholesale</t>
  </si>
  <si>
    <t>LL.national.161.805.km.by.capacity.wholesale</t>
  </si>
  <si>
    <t>LL.national.over.805.km.by.capacity.wholesale</t>
  </si>
  <si>
    <t>LL.international.by.capacity.wholesale</t>
  </si>
  <si>
    <t>LL.border.crossing.by.capacity.wholesale</t>
  </si>
  <si>
    <t>Pregunta 7</t>
  </si>
  <si>
    <t>Precios minoristas    (Precios sin impuestos)</t>
  </si>
  <si>
    <t>Los enlaces locales, nacionales, internacionales y fronterizos requieren al menos dos puntas.</t>
  </si>
  <si>
    <t>Precios minoristas: Enlaces locales (por una punta)</t>
  </si>
  <si>
    <t>Precios minoristas Enlaces Locales: Distancia 0-81km</t>
  </si>
  <si>
    <t>Precios minoristas Enlaces Locales: Distancia 81-161km</t>
  </si>
  <si>
    <t>Precios minoristas Enlaces Locales: Distancia 161-808km</t>
  </si>
  <si>
    <t>Precios minoristas Enlaces Locales:  Distancia&gt;808km</t>
  </si>
  <si>
    <t>Precios minoristas Enlaces Locales: Internacional</t>
  </si>
  <si>
    <t>Precios minoristas: Enlaces Nacionales (cargo por tramo de LD)</t>
  </si>
  <si>
    <t>Precios minoristas: Enlaces Nacionales</t>
  </si>
  <si>
    <t>Precios minoristas: Distancia 0-81km</t>
  </si>
  <si>
    <t>Precios minoristas: Distancia 82-161km</t>
  </si>
  <si>
    <t>Precios minoristas: Distancia 162-805km</t>
  </si>
  <si>
    <t>Precios minoristas: Distancia&gt;806km</t>
  </si>
  <si>
    <t>Igual a cobro por enlace local</t>
  </si>
  <si>
    <t>Precios minoristas: Enlaces Internacionalesn  (Cargo por tramo internacional)</t>
  </si>
  <si>
    <t>Precios minoristas: Enlaces Internacionales</t>
  </si>
  <si>
    <t>E2  (34 Mbps)</t>
  </si>
  <si>
    <t>E3</t>
  </si>
  <si>
    <t>STM-256 (39813.12 Mbps)</t>
  </si>
  <si>
    <t>Ethernet (100Mbps)</t>
  </si>
  <si>
    <t>Por favor, inserte filas adicionales para dar cuenta de todas las posibilidades</t>
  </si>
  <si>
    <t>Por favor, inserte filas adicionales , en el caso de que sean necesarias, para cubrir todas las posibilidades</t>
  </si>
  <si>
    <t>Precios minoristas: Enlaces Cruce Fronterizo (cargo por tramo fronterizo)</t>
  </si>
  <si>
    <t>Precio de la instalación Local</t>
  </si>
  <si>
    <t>Precio de la instalación tramo de distancia Nacional</t>
  </si>
  <si>
    <t>Precio de la instalación Tramo Internacional</t>
  </si>
  <si>
    <t>Precio de la instalación tramo Fronterizo</t>
  </si>
  <si>
    <t>Por favor, especifique si por enlace o por terminal</t>
  </si>
  <si>
    <t>Precio de desinstalación</t>
  </si>
  <si>
    <t xml:space="preserve">Cuentas de pérdidas y ganancias </t>
  </si>
  <si>
    <t>Cifras en millones de pesos</t>
  </si>
  <si>
    <t>Nombre del produto:</t>
  </si>
  <si>
    <t>LÍNEAS DEDICADAS (MAYORISTA)</t>
  </si>
  <si>
    <t>&gt;Inserte el nombre del producto aquí&lt;</t>
  </si>
  <si>
    <t>De otros concesionarios a red móvil</t>
  </si>
  <si>
    <t>subcategoría, especificar</t>
  </si>
  <si>
    <t>De otros concesionarios a red fija</t>
  </si>
  <si>
    <t>lmputaciones</t>
  </si>
  <si>
    <t>Por servicios de red de acceso y transporte</t>
  </si>
  <si>
    <t>Total de lngresos e imputaciones</t>
  </si>
  <si>
    <t>Costos y Gastos Operativos</t>
  </si>
  <si>
    <t>Red</t>
  </si>
  <si>
    <t>Materiales</t>
  </si>
  <si>
    <t>Personal</t>
  </si>
  <si>
    <t>Operación, mantenimiento, rentas y servicios recibidos</t>
  </si>
  <si>
    <t>Otros</t>
  </si>
  <si>
    <t>Depreciaclón</t>
  </si>
  <si>
    <t>Pagos a otras Redes</t>
  </si>
  <si>
    <t>Gastos comunes</t>
  </si>
  <si>
    <t>Comunes</t>
  </si>
  <si>
    <t>Dirección, administración, financias y recursos humanos</t>
  </si>
  <si>
    <t>Depreciación</t>
  </si>
  <si>
    <t>Total de Costos y Gastos de Operación</t>
  </si>
  <si>
    <t>Utilidad de Operación</t>
  </si>
  <si>
    <t>Costo de capital</t>
  </si>
  <si>
    <t>Capital empleado</t>
  </si>
  <si>
    <t>Utilidad después de Costo de Capital</t>
  </si>
  <si>
    <t>Minoristas</t>
  </si>
  <si>
    <t>Número de suscriptores - minoristas: Enlaces locales</t>
  </si>
  <si>
    <t>Número de suscriptores - minoristas: Distancia 0-81km</t>
  </si>
  <si>
    <t>Número de suscriptores - minoristas: Distancia 81-161km</t>
  </si>
  <si>
    <t>Número de suscriptores - minoristas: Distancia 161-808km</t>
  </si>
  <si>
    <t>Número de suscriptores - minoristas: Distancia&gt;808km</t>
  </si>
  <si>
    <t>Número de suscriptores - minoristas: Internacional</t>
  </si>
  <si>
    <t>Número de suscriptores - minoristas: Enlaces CF</t>
  </si>
  <si>
    <t>Proporcionar valores promedio del año o valores a fin de año. Especificar cuál de los dos se ha escogido.</t>
  </si>
  <si>
    <t>Sírvanse proporcionar promedio valores de fin de año o año. Especificar qué.</t>
  </si>
  <si>
    <t>Planes de Descuento</t>
  </si>
  <si>
    <t xml:space="preserve">Enlaces Nacionales </t>
  </si>
  <si>
    <t>Enlaces Internacionales</t>
  </si>
  <si>
    <t>Para Enlaces E1 PP y PMP</t>
  </si>
  <si>
    <t>Para todos los enlaces</t>
  </si>
  <si>
    <t>Enlaces cruce fronterizo de 2 y 45 Mbps</t>
  </si>
  <si>
    <t xml:space="preserve">Tramo Local, Naciona, Internacional y Fronterizo </t>
  </si>
  <si>
    <t>Enlaces de 10 Gbps</t>
  </si>
  <si>
    <t>Lada Enlaces Ethernet (Clientes con FO)</t>
  </si>
  <si>
    <t>Capacidades</t>
  </si>
  <si>
    <t xml:space="preserve">Periodo de Contratación </t>
  </si>
  <si>
    <t>Descuento Instalación</t>
  </si>
  <si>
    <t>Número de E1's por sitio</t>
  </si>
  <si>
    <t>Descuento</t>
  </si>
  <si>
    <t>Rango de facturación Mensual</t>
  </si>
  <si>
    <t>Capacidad</t>
  </si>
  <si>
    <t>Contratación</t>
  </si>
  <si>
    <t>Descuento en tramo LD</t>
  </si>
  <si>
    <t>64,128,192,256,384,512,768,1024 y 2048 PMP y 34,155 y 622 Mbps</t>
  </si>
  <si>
    <t xml:space="preserve">Periodo de contratación </t>
  </si>
  <si>
    <t>%  GI en LD</t>
  </si>
  <si>
    <t>2, 34, 45, 155, 622 (Mbps) y 2.5 (Gbps)</t>
  </si>
  <si>
    <t>1 año</t>
  </si>
  <si>
    <t>NX64 (Kbps), 2, 155, 622 (Mbps) y 2.5 (Gbps)</t>
  </si>
  <si>
    <t>1-3</t>
  </si>
  <si>
    <t>5,000,000 a 9,999,999</t>
  </si>
  <si>
    <t>2 Y 45 Mbps</t>
  </si>
  <si>
    <t>Con facilidades a 1 año</t>
  </si>
  <si>
    <t>2 años</t>
  </si>
  <si>
    <t>4-9</t>
  </si>
  <si>
    <t>10,000,000 a 24,999,999</t>
  </si>
  <si>
    <t xml:space="preserve">Tiempo de contratación </t>
  </si>
  <si>
    <t>Con facilidades a 2 años</t>
  </si>
  <si>
    <t>3 años</t>
  </si>
  <si>
    <t>10-19</t>
  </si>
  <si>
    <t>25,000,000 a 39,999,999</t>
  </si>
  <si>
    <t>Con facilidades a 3 años</t>
  </si>
  <si>
    <t>20-29</t>
  </si>
  <si>
    <t>40,000,000 a 99,999,999</t>
  </si>
  <si>
    <t>5 años</t>
  </si>
  <si>
    <t>Descuento renta mensual tramo LD</t>
  </si>
  <si>
    <t xml:space="preserve">Periodo Contratación </t>
  </si>
  <si>
    <t>30-39</t>
  </si>
  <si>
    <t>100,000,000 a 149,999,999</t>
  </si>
  <si>
    <t>Periodo</t>
  </si>
  <si>
    <t>sobre la renta mensual a 1 año para sitios de clientes que cuentan actualmente con facilidades de FO</t>
  </si>
  <si>
    <t>Mbps</t>
  </si>
  <si>
    <t>Ruta Nacional (Ciudades)</t>
  </si>
  <si>
    <t>Periodo de Contratación</t>
  </si>
  <si>
    <t>40-49</t>
  </si>
  <si>
    <t>150,000,000 a 349,999,999</t>
  </si>
  <si>
    <t>Lada Enlace 10 Gbps</t>
  </si>
  <si>
    <t>50 en adelante</t>
  </si>
  <si>
    <t>igual o mayor a 350,000,000</t>
  </si>
  <si>
    <t>Gastos de instalación desde 64 Kbps hasta 2.5 Gbps</t>
  </si>
  <si>
    <t>aplica en renta</t>
  </si>
  <si>
    <t>Lada Enlaces Ethernet</t>
  </si>
  <si>
    <t>México</t>
  </si>
  <si>
    <t>Monterrey</t>
  </si>
  <si>
    <t>Toluca</t>
  </si>
  <si>
    <t>sobre la renta mensual de E1's</t>
  </si>
  <si>
    <t>Enlaces Digitales punto a punto y punto multi punto de banda ancha (2, 34, 155 y 622)</t>
  </si>
  <si>
    <t>Guadalajara</t>
  </si>
  <si>
    <t>GI</t>
  </si>
  <si>
    <t>Puebla</t>
  </si>
  <si>
    <t>Aplica antes que el descuento de banda ancha local y al descuento de volumen</t>
  </si>
  <si>
    <t>45 Mbps</t>
  </si>
  <si>
    <t>Querétaro</t>
  </si>
  <si>
    <t>1,500,000 a 4,999,999.99</t>
  </si>
  <si>
    <t>3 o más años</t>
  </si>
  <si>
    <t>Celaya</t>
  </si>
  <si>
    <t>5,000,000 a 29,999,999.99</t>
  </si>
  <si>
    <t>León</t>
  </si>
  <si>
    <t>30,000,000 a 74,999,999.99</t>
  </si>
  <si>
    <t>Renta</t>
  </si>
  <si>
    <t>75,000,000 en Adelante</t>
  </si>
  <si>
    <t>San Luis</t>
  </si>
  <si>
    <t>Sólo para servicios de Lada Enlaces Digitales de Banda Ancha Locales PP y PMP</t>
  </si>
  <si>
    <t xml:space="preserve"> E1, E3, STM1 y STM4</t>
  </si>
  <si>
    <t>para locales, larga distancia, con y sin facilidades locales y larga distancia asociadas</t>
  </si>
  <si>
    <t xml:space="preserve">Plan de descuento compatible con el Descuento de facturabación mensual en lada enlaces analógicos y digitales </t>
  </si>
  <si>
    <t>PMP con facilidades de FO en tramo local</t>
  </si>
  <si>
    <t>primero aplica descuento por volumen de facturación mensual en lada enlaces pp y pmp</t>
  </si>
  <si>
    <t>Descuento por volumen de facturación mensaules en lada enlaces analógicos y digitales</t>
  </si>
  <si>
    <t>Nodo central y remotos</t>
  </si>
  <si>
    <t>Larga Distancia Nacional</t>
  </si>
  <si>
    <t>contratación</t>
  </si>
  <si>
    <t>descuento</t>
  </si>
  <si>
    <t>En las hojas a la derecha</t>
  </si>
  <si>
    <t>TELÉFONOS DE MÉXICO - Consolidado Parcial</t>
  </si>
  <si>
    <t>(Incluye a Telmex, Telnor y Uninet)</t>
  </si>
  <si>
    <t>Cifras en miles de pesos</t>
  </si>
  <si>
    <t>V.1 Estado de Resultados - Servicios Fijos Minoristas</t>
  </si>
  <si>
    <t>1) Acceso a la Red Telefónica Pública</t>
  </si>
  <si>
    <t>De 01/01/2013 a 31/12/2013</t>
  </si>
  <si>
    <t>Instalación de Líneas</t>
  </si>
  <si>
    <t>Renta Mensual</t>
  </si>
  <si>
    <t>Total de Ingresos</t>
  </si>
  <si>
    <t>Dirección, administración, finanzas y recursos humanos</t>
  </si>
  <si>
    <t>Actividades Orientadas al cliente</t>
  </si>
  <si>
    <t>Imputaciones por servicios de red mayorista</t>
  </si>
  <si>
    <t>Costo de Capital</t>
  </si>
  <si>
    <t>Para actividades comunes</t>
  </si>
  <si>
    <t>Para actividades orientadas al cliente</t>
  </si>
  <si>
    <t>2) Servicios Telefónicos Locales</t>
  </si>
  <si>
    <t>Servicio Medido</t>
  </si>
  <si>
    <t>3) Larga Distancia Nacional</t>
  </si>
  <si>
    <t>4) Larga Distancia Internacional</t>
  </si>
  <si>
    <t>5) Servicios de Telefonía Pública</t>
  </si>
  <si>
    <t>Acceso</t>
  </si>
  <si>
    <t>6) Servicio de Rural</t>
  </si>
  <si>
    <t>7) Líneas Dedicadas</t>
  </si>
  <si>
    <t>Pagos a red de acceso</t>
  </si>
  <si>
    <t>Pagos a red de transporte</t>
  </si>
  <si>
    <t>8) Comercialización y Mantenimiento de Cableado y Equipo Terminal</t>
  </si>
  <si>
    <t>Instalación y mantenimiento de equipo</t>
  </si>
  <si>
    <t>Renta mensual o venta de equipos y accesorios</t>
  </si>
  <si>
    <t>Equipo terminal de banda ancha para servicio de internet</t>
  </si>
  <si>
    <t>9) Servicio de Internet (dial-up y banda ancha)</t>
  </si>
  <si>
    <t>Banda Ancha</t>
  </si>
  <si>
    <t xml:space="preserve">Acceso banda ancha </t>
  </si>
  <si>
    <t>Originación de llamadas dial-up</t>
  </si>
  <si>
    <t>10) Otros Servicios Fijos Minoristas</t>
  </si>
  <si>
    <t>V.4 Estado de Resultados - Servicios Fijos Mayoristas</t>
  </si>
  <si>
    <t>18) Originación de Llamadas</t>
  </si>
  <si>
    <t>De redes internacionales</t>
  </si>
  <si>
    <t>Imputaciones</t>
  </si>
  <si>
    <t>Originación de llamadas</t>
  </si>
  <si>
    <t>Total de Ingresos e imputaciones</t>
  </si>
  <si>
    <t xml:space="preserve">Red </t>
  </si>
  <si>
    <t>19)Terminación de Llamadas</t>
  </si>
  <si>
    <t>Terminación de Llamadas</t>
  </si>
  <si>
    <t>20) Servicios de Tránsito</t>
  </si>
  <si>
    <t>De otros concesionarios a red fija (local)</t>
  </si>
  <si>
    <t>De otros concesionarios a red fija (LD)</t>
  </si>
  <si>
    <t>Tránsito Local</t>
  </si>
  <si>
    <t>Tránsito de llamadas</t>
  </si>
  <si>
    <t>21) Servicio de Acceso a la Red Telefónica Pública Conmutada</t>
  </si>
  <si>
    <t>De otros concesionarios</t>
  </si>
  <si>
    <t>Acceso a la red telefónica pública</t>
  </si>
  <si>
    <t>22) Servicio de Acceso a Internet de Banda Ancha</t>
  </si>
  <si>
    <t>Acceso a Internet de Banda Ancha</t>
  </si>
  <si>
    <t>23) Líneas Dedicadas</t>
  </si>
  <si>
    <t>De redes Internacionales</t>
  </si>
  <si>
    <t>Por servicios de red de acceso</t>
  </si>
  <si>
    <t>Por servicios de red de transporte</t>
  </si>
  <si>
    <t>24) Otros Servicos Fijos Mayoristas</t>
  </si>
  <si>
    <t>Retail.leased.lines.selected</t>
  </si>
  <si>
    <t>Retail.leased.lines.calculados.option</t>
  </si>
  <si>
    <t>Retail.leased.lines.proporcionados.option</t>
  </si>
  <si>
    <t>Proporción of ingresos mayoristas dentro de ingresos mayoristas e imputaciones</t>
  </si>
  <si>
    <t>Proportion of wholesale revenues within wholesale revenues and allocations</t>
  </si>
  <si>
    <t>E1 (2.04 Mbps)</t>
  </si>
  <si>
    <t>Número de or ingresos por enlaces dedicados minoristas</t>
  </si>
  <si>
    <t>Number of or revenues from retail leased lines</t>
  </si>
  <si>
    <t>Modelo de costos de costos evitados ED</t>
  </si>
  <si>
    <t>Calcular los costos de los servicios de arrendamiento de enlaces dedicados (ED)</t>
  </si>
  <si>
    <t>Supuesto base</t>
  </si>
  <si>
    <t>Supuesto 2</t>
  </si>
  <si>
    <t>Datos del AEP</t>
  </si>
  <si>
    <t>E2</t>
  </si>
  <si>
    <t>Anonymised 30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</si>
</sst>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77">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_-&quot;£&quot;* #,##0.00_-;\-&quot;£&quot;* #,##0.00_-;_-&quot;£&quot;* &quot;-&quot;??_-;_-@_-"/>
    <numFmt numFmtId="166" formatCode="#,##0_);[Red]\-#,##0_);0_);@_)"/>
    <numFmt numFmtId="167" formatCode="#,##0.00_);[Red]\-#,##0.00_);0.00_);@_)"/>
    <numFmt numFmtId="168" formatCode="#,##0%;[Red]\-#,##0%;0%;@_)"/>
    <numFmt numFmtId="169" formatCode="#,##0.00%;[Red]\-#,##0.00%;0.00%;@_)"/>
    <numFmt numFmtId="170" formatCode="dd\ mmm\ yy_)"/>
    <numFmt numFmtId="171" formatCode="* _(#,##0_);[Red]* \(#,##0\);* _(&quot;-&quot;?_);@_)"/>
    <numFmt numFmtId="172" formatCode="* _(#,##0.00_);[Red]* \(#,##0.00\);* _(&quot;-&quot;?_);@_)"/>
    <numFmt numFmtId="173" formatCode="\€\ * _(#,##0_);[Red]\€\ * \(#,##0\);\€\ * _(&quot;-&quot;?_);@_)"/>
    <numFmt numFmtId="174" formatCode="\€\ * _(#,##0.00_);[Red]\€\ * \(#,##0.00\);\€\ * _(&quot;-&quot;?_);@_)"/>
    <numFmt numFmtId="175" formatCode="[$EUR]\ * _(#,##0_);[Red][$EUR]\ * \(#,##0\);[$EUR]\ * _(&quot;-&quot;?_);@_)"/>
    <numFmt numFmtId="176" formatCode="[$EUR]\ * _(#,##0.00_);[Red][$EUR]\ * \(#,##0.00\);[$EUR]\ * _(&quot;-&quot;?_);@_)"/>
    <numFmt numFmtId="177" formatCode="\$\ * _(#,##0_);[Red]\$\ * \(#,##0\);\$\ * _(&quot;-&quot;?_);@_)"/>
    <numFmt numFmtId="178" formatCode="\$\ * _(#,##0.00_);[Red]\$\ * \(#,##0.00\);\$\ * _(&quot;-&quot;?_);@_)"/>
    <numFmt numFmtId="179" formatCode="[$USD]\ * _(#,##0_);[Red][$USD]\ * \(#,##0\);[$USD]\ * _(&quot;-&quot;?_);@_)"/>
    <numFmt numFmtId="180" formatCode="[$USD]\ * _(#,##0.00_);[Red][$USD]\ * \(#,##0.00\);[$USD]\ * _(&quot;-&quot;?_);@_)"/>
    <numFmt numFmtId="181" formatCode="\£\ * _(#,##0_);[Red]\£\ * \(#,##0\);\£\ * _(&quot;-&quot;?_);@_)"/>
    <numFmt numFmtId="182" formatCode="\£\ * _(#,##0.00_);[Red]\£\ * \(#,##0.00\);\£\ * _(&quot;-&quot;?_);@_)"/>
    <numFmt numFmtId="183" formatCode="[$GBP]\ * _(#,##0_);[Red][$GBP]\ * \(#,##0\);[$GBP]\ * _(&quot;-&quot;?_);@_)"/>
    <numFmt numFmtId="184" formatCode="[$GBP]\ * _(#,##0.00_);[Red][$GBP]\ * \(#,##0.00\);[$GBP]\ * _(&quot;-&quot;?_);@_)"/>
    <numFmt numFmtId="185" formatCode="mmm\ yy_)"/>
    <numFmt numFmtId="186" formatCode="yyyy_)"/>
    <numFmt numFmtId="187" formatCode="#,##0_);[Red]\-#,##0_);\-_);@_)"/>
    <numFmt numFmtId="188" formatCode="#,##0.000%;[Red]\-#,##0.000%;\-\%;@_)"/>
    <numFmt numFmtId="189" formatCode="_-[$€-2]* #,##0.00_-;\-[$€-2]* #,##0.00_-;_-[$€-2]* &quot;-&quot;??_-"/>
    <numFmt numFmtId="190" formatCode="_-* #,##0_-;\-* #,##0_-;_-* &quot;-&quot;??_-;_-@_-"/>
    <numFmt numFmtId="191" formatCode="&quot;$&quot;#,##0"/>
    <numFmt numFmtId="192" formatCode="0.00\ &quot;años&quot;"/>
    <numFmt numFmtId="193" formatCode="_ * #,##0_ ;_ * \-#,##0_ ;_ * &quot;-&quot;_ ;_ @_ "/>
    <numFmt numFmtId="194" formatCode="_ * #,##0.00_ ;_ * \-#,##0.00_ ;_ * &quot;-&quot;??_ ;_ @_ "/>
    <numFmt numFmtId="195" formatCode="#,##0_);[Red]\(&quot;$&quot;#,##0\)"/>
    <numFmt numFmtId="196" formatCode="_(* #,##0.00_);_(* \(#,##0.00\);_(* &quot;-&quot;??_);_(@_)"/>
    <numFmt numFmtId="197" formatCode="&quot;$&quot;#,##0.00;[Red]&quot;$&quot;\-#,##0.00"/>
    <numFmt numFmtId="198" formatCode="&quot;$&quot;#,##0\ ;\(&quot;$&quot;#,##0\)"/>
    <numFmt numFmtId="199" formatCode="&quot;$&quot;#,##0.00_);\(&quot;$&quot;#,##0.00\)"/>
    <numFmt numFmtId="200" formatCode="_-* #,##0.00\ _F_-;\-* #,##0.00\ _F_-;_-* &quot;-&quot;??\ _F_-;_-@_-"/>
    <numFmt numFmtId="201" formatCode="#."/>
    <numFmt numFmtId="202" formatCode="0.00_);[Red]\(0.00\)"/>
    <numFmt numFmtId="203" formatCode="_([$€-2]* #,##0.00_);_([$€-2]* \(#,##0.00\);_([$€-2]* &quot;-&quot;??_)"/>
    <numFmt numFmtId="204" formatCode="_(* #,##0_);_(* \(#,##0\);_(* &quot;-&quot;_);_(@_)"/>
    <numFmt numFmtId="205" formatCode="#,##0.00\ &quot;Pts&quot;;[Red]\-#,##0.00\ &quot;Pts&quot;"/>
    <numFmt numFmtId="206" formatCode="General_)"/>
    <numFmt numFmtId="207" formatCode="#,###"/>
    <numFmt numFmtId="208" formatCode="_-* #,##0\ _D_M_-;\-* #,##0\ _D_M_-;_-* &quot;-&quot;\ _D_M_-;_-@_-"/>
    <numFmt numFmtId="209" formatCode="_-* #,##0.00\ _D_M_-;\-* #,##0.00\ _D_M_-;_-* &quot;-&quot;??\ _D_M_-;_-@_-"/>
    <numFmt numFmtId="210" formatCode="_-* #,##0.00\ _€_-;\-* #,##0.00\ _€_-;_-* &quot;-&quot;??\ _€_-;_-@_-"/>
    <numFmt numFmtId="211" formatCode="000\-000\-0000"/>
    <numFmt numFmtId="212" formatCode="_(&quot;$&quot;* #,##0_);_(&quot;$&quot;* \(#,##0\);_(&quot;$&quot;* &quot;-&quot;_);_(@_)"/>
    <numFmt numFmtId="213" formatCode="_(&quot;$&quot;* #,##0.00_);_(&quot;$&quot;* \(#,##0.00\);_(&quot;$&quot;* &quot;-&quot;??_);_(@_)"/>
    <numFmt numFmtId="214" formatCode="&quot;$&quot;#,##0_);[Red]\(&quot;$&quot;#,##0\)"/>
    <numFmt numFmtId="215" formatCode="&quot;$&quot;#,##0.00_);[Red]\(&quot;$&quot;#,##0.00\)"/>
    <numFmt numFmtId="216" formatCode="#,##0\ &quot;Pts&quot;;[Red]\-#,##0\ &quot;Pts&quot;"/>
    <numFmt numFmtId="217" formatCode="_-* #,##0\ _P_t_s_-;\-* #,##0\ _P_t_s_-;_-* &quot;-&quot;\ _P_t_s_-;_-@_-"/>
    <numFmt numFmtId="218" formatCode="0.00_)"/>
    <numFmt numFmtId="219" formatCode="&quot;L.&quot;\ #,##0.00;[Red]\-&quot;L.&quot;\ #,##0.00"/>
    <numFmt numFmtId="220" formatCode="0.0000"/>
    <numFmt numFmtId="221" formatCode="0.0%"/>
    <numFmt numFmtId="222" formatCode="#,##0.00\ &quot;Pts&quot;;\-#,##0.00\ &quot;Pts&quot;"/>
    <numFmt numFmtId="224" formatCode="#\ ##0.00"/>
    <numFmt numFmtId="225" formatCode="#,##0\ &quot;Pts&quot;;\-#,##0\ &quot;Pts&quot;"/>
    <numFmt numFmtId="226" formatCode="_-* #,##0\ &quot;Pts&quot;_-;\-* #,##0\ &quot;Pts&quot;_-;_-* &quot;-&quot;\ &quot;Pts&quot;_-;_-@_-"/>
    <numFmt numFmtId="227" formatCode="_-* #,##0\ _F_-;\-* #,##0\ _F_-;_-* &quot;-&quot;\ _F_-;_-@_-"/>
    <numFmt numFmtId="228" formatCode="#,###,;\(#,###,\)"/>
    <numFmt numFmtId="229" formatCode="yy"/>
    <numFmt numFmtId="230" formatCode="#,##0\ &quot;DM&quot;;[Red]\-#,##0\ &quot;DM&quot;"/>
    <numFmt numFmtId="231" formatCode="_-* #,##0.00\ &quot;F&quot;_-;\-* #,##0.00\ &quot;F&quot;_-;_-* &quot;-&quot;??\ &quot;F&quot;_-;_-@_-"/>
    <numFmt numFmtId="232" formatCode="#,##0.00;\(#,##0.00\)"/>
    <numFmt numFmtId="233" formatCode="#,##0.00000_ ;[Red]\-#,##0.00000\ "/>
    <numFmt numFmtId="234" formatCode="_-* #,##0.0000_-;\-* #,##0.0000_-;_-* &quot;-&quot;??_-;_-@_-"/>
    <numFmt numFmtId="235" formatCode="#,##0%;[Red]\-#,##0%;\-\%;@_)"/>
  </numFmts>
  <fonts count="134">
    <font>
      <sz val="9"/>
      <name val="Arial"/>
      <family val="2"/>
    </font>
    <font>
      <sz val="11"/>
      <color theme="1"/>
      <name val="Arial"/>
      <family val="2"/>
      <scheme val="minor"/>
    </font>
    <font>
      <b/>
      <sz val="12"/>
      <name val="Arial"/>
      <family val="2"/>
    </font>
    <font>
      <sz val="9"/>
      <name val="Arial"/>
      <family val="2"/>
    </font>
    <font>
      <b/>
      <sz val="18"/>
      <name val="Arial"/>
      <family val="2"/>
    </font>
    <font>
      <b/>
      <sz val="14"/>
      <name val="Arial"/>
      <family val="2"/>
    </font>
    <font>
      <b/>
      <sz val="9"/>
      <name val="Arial"/>
      <family val="2"/>
    </font>
    <font>
      <b/>
      <sz val="22"/>
      <name val="Arial"/>
      <family val="2"/>
    </font>
    <font>
      <sz val="8"/>
      <name val="Arial"/>
      <family val="2"/>
    </font>
    <font>
      <i/>
      <sz val="9"/>
      <color indexed="55"/>
      <name val="Arial"/>
      <family val="2"/>
    </font>
    <font>
      <u/>
      <sz val="9"/>
      <name val="Arial"/>
      <family val="2"/>
    </font>
    <font>
      <i/>
      <sz val="9"/>
      <color indexed="16"/>
      <name val="Arial"/>
      <family val="2"/>
    </font>
    <font>
      <i/>
      <sz val="9"/>
      <name val="Arial"/>
      <family val="2"/>
    </font>
    <font>
      <b/>
      <sz val="15"/>
      <color theme="3"/>
      <name val="Arial"/>
      <family val="2"/>
      <scheme val="minor"/>
    </font>
    <font>
      <b/>
      <sz val="13"/>
      <color theme="3"/>
      <name val="Arial"/>
      <family val="2"/>
      <scheme val="minor"/>
    </font>
    <font>
      <sz val="9"/>
      <color rgb="FFFF0000"/>
      <name val="Arial"/>
      <family val="2"/>
    </font>
    <font>
      <sz val="10"/>
      <name val="Arial"/>
      <family val="2"/>
    </font>
    <font>
      <u/>
      <sz val="9"/>
      <color theme="10"/>
      <name val="Arial"/>
      <family val="2"/>
    </font>
    <font>
      <b/>
      <sz val="10"/>
      <name val="Times New Roman"/>
      <family val="1"/>
    </font>
    <font>
      <b/>
      <sz val="11"/>
      <color theme="3"/>
      <name val="Arial"/>
      <family val="2"/>
      <scheme val="minor"/>
    </font>
    <font>
      <b/>
      <i/>
      <sz val="15"/>
      <color theme="3"/>
      <name val="Arial"/>
      <family val="2"/>
      <scheme val="minor"/>
    </font>
    <font>
      <sz val="9"/>
      <color indexed="16"/>
      <name val="Arial"/>
      <family val="2"/>
    </font>
    <font>
      <b/>
      <i/>
      <sz val="9"/>
      <name val="Arial"/>
      <family val="2"/>
    </font>
    <font>
      <b/>
      <i/>
      <sz val="14"/>
      <name val="Arial"/>
      <family val="2"/>
    </font>
    <font>
      <b/>
      <sz val="11"/>
      <color theme="0"/>
      <name val="Arial"/>
      <family val="2"/>
      <scheme val="minor"/>
    </font>
    <font>
      <sz val="11"/>
      <color theme="0"/>
      <name val="Arial"/>
      <family val="2"/>
      <scheme val="minor"/>
    </font>
    <font>
      <sz val="10"/>
      <color theme="1"/>
      <name val="Arial"/>
      <family val="2"/>
    </font>
    <font>
      <sz val="11"/>
      <name val="Arial"/>
      <family val="2"/>
    </font>
    <font>
      <sz val="14"/>
      <name val="System"/>
      <family val="2"/>
    </font>
    <font>
      <sz val="10"/>
      <name val="Helv"/>
    </font>
    <font>
      <sz val="10"/>
      <name val="Helv"/>
      <charset val="204"/>
    </font>
    <font>
      <sz val="12"/>
      <name val="Times New Roman"/>
      <family val="1"/>
    </font>
    <font>
      <sz val="10"/>
      <color indexed="8"/>
      <name val="Arial"/>
      <family val="2"/>
    </font>
    <font>
      <sz val="10"/>
      <color indexed="9"/>
      <name val="Arial"/>
      <family val="2"/>
    </font>
    <font>
      <i/>
      <sz val="10"/>
      <color indexed="13"/>
      <name val="Arial"/>
      <family val="2"/>
    </font>
    <font>
      <sz val="10"/>
      <color indexed="13"/>
      <name val="Arial"/>
      <family val="2"/>
    </font>
    <font>
      <i/>
      <sz val="10"/>
      <name val="Arial"/>
      <family val="2"/>
    </font>
    <font>
      <sz val="10"/>
      <name val="MS Sans Serif"/>
      <family val="2"/>
    </font>
    <font>
      <sz val="11"/>
      <color indexed="8"/>
      <name val="Calibri"/>
      <family val="2"/>
    </font>
    <font>
      <sz val="8"/>
      <color indexed="8"/>
      <name val="Arial"/>
      <family val="2"/>
    </font>
    <font>
      <sz val="11"/>
      <color indexed="9"/>
      <name val="Calibri"/>
      <family val="2"/>
    </font>
    <font>
      <sz val="8"/>
      <color indexed="9"/>
      <name val="Arial"/>
      <family val="2"/>
    </font>
    <font>
      <sz val="12"/>
      <name val="Helv"/>
    </font>
    <font>
      <sz val="8"/>
      <name val="Tahoma"/>
      <family val="2"/>
    </font>
    <font>
      <sz val="10"/>
      <name val="Courier"/>
      <family val="3"/>
    </font>
    <font>
      <sz val="12"/>
      <name val="¹ÙÅÁÃ¼"/>
      <family val="1"/>
      <charset val="129"/>
    </font>
    <font>
      <sz val="11"/>
      <color indexed="20"/>
      <name val="Calibri"/>
      <family val="2"/>
    </font>
    <font>
      <sz val="10"/>
      <color indexed="20"/>
      <name val="Arial"/>
      <family val="2"/>
    </font>
    <font>
      <sz val="8"/>
      <name val="Verdana"/>
      <family val="2"/>
    </font>
    <font>
      <sz val="8"/>
      <color indexed="17"/>
      <name val="Arial"/>
      <family val="2"/>
    </font>
    <font>
      <sz val="11"/>
      <color indexed="17"/>
      <name val="Calibri"/>
      <family val="2"/>
    </font>
    <font>
      <sz val="12"/>
      <name val="±¼¸²Ã¼"/>
      <family val="3"/>
      <charset val="129"/>
    </font>
    <font>
      <b/>
      <sz val="1"/>
      <color indexed="8"/>
      <name val="Courier"/>
      <family val="3"/>
    </font>
    <font>
      <b/>
      <sz val="11"/>
      <color indexed="52"/>
      <name val="Calibri"/>
      <family val="2"/>
    </font>
    <font>
      <b/>
      <sz val="10"/>
      <color indexed="52"/>
      <name val="Arial"/>
      <family val="2"/>
    </font>
    <font>
      <b/>
      <sz val="8"/>
      <color indexed="52"/>
      <name val="Arial"/>
      <family val="2"/>
    </font>
    <font>
      <b/>
      <sz val="8"/>
      <color indexed="9"/>
      <name val="Arial"/>
      <family val="2"/>
    </font>
    <font>
      <b/>
      <sz val="11"/>
      <color indexed="9"/>
      <name val="Calibri"/>
      <family val="2"/>
    </font>
    <font>
      <sz val="8"/>
      <color indexed="52"/>
      <name val="Arial"/>
      <family val="2"/>
    </font>
    <font>
      <sz val="11"/>
      <color indexed="52"/>
      <name val="Calibri"/>
      <family val="2"/>
    </font>
    <font>
      <sz val="10"/>
      <name val="Century Schoolbook"/>
      <family val="1"/>
    </font>
    <font>
      <sz val="10"/>
      <name val="Times New Roman"/>
      <family val="1"/>
    </font>
    <font>
      <sz val="12"/>
      <color indexed="24"/>
      <name val="Arial"/>
      <family val="2"/>
    </font>
    <font>
      <sz val="5"/>
      <name val="Times New Roman"/>
      <family val="1"/>
    </font>
    <font>
      <sz val="10"/>
      <name val="FuturaA Bk BT"/>
    </font>
    <font>
      <sz val="1"/>
      <color indexed="8"/>
      <name val="Courier"/>
      <family val="3"/>
    </font>
    <font>
      <b/>
      <sz val="11"/>
      <color indexed="56"/>
      <name val="Arial"/>
      <family val="2"/>
    </font>
    <font>
      <b/>
      <sz val="11"/>
      <color indexed="56"/>
      <name val="Calibri"/>
      <family val="2"/>
    </font>
    <font>
      <b/>
      <sz val="11"/>
      <color indexed="8"/>
      <name val="Calibri"/>
      <family val="2"/>
    </font>
    <font>
      <sz val="8"/>
      <color indexed="62"/>
      <name val="Arial"/>
      <family val="2"/>
    </font>
    <font>
      <sz val="11"/>
      <color indexed="62"/>
      <name val="Calibri"/>
      <family val="2"/>
    </font>
    <font>
      <b/>
      <sz val="10"/>
      <name val="Arial"/>
      <family val="2"/>
    </font>
    <font>
      <i/>
      <sz val="11"/>
      <color indexed="23"/>
      <name val="Calibri"/>
      <family val="2"/>
    </font>
    <font>
      <i/>
      <sz val="10"/>
      <color indexed="23"/>
      <name val="Arial"/>
      <family val="2"/>
    </font>
    <font>
      <sz val="12"/>
      <name val="MS Sans Serif"/>
      <family val="2"/>
    </font>
    <font>
      <sz val="12"/>
      <name val="Futura Md BT"/>
    </font>
    <font>
      <u/>
      <sz val="12"/>
      <color indexed="36"/>
      <name val="Times New Roman"/>
      <family val="1"/>
    </font>
    <font>
      <b/>
      <sz val="8"/>
      <color indexed="9"/>
      <name val="Tahoma"/>
      <family val="2"/>
    </font>
    <font>
      <b/>
      <sz val="8"/>
      <color indexed="8"/>
      <name val="Tahoma"/>
      <family val="2"/>
    </font>
    <font>
      <b/>
      <u/>
      <sz val="8"/>
      <color indexed="8"/>
      <name val="Tahoma"/>
      <family val="2"/>
    </font>
    <font>
      <b/>
      <sz val="10"/>
      <name val="Ottawa"/>
    </font>
    <font>
      <b/>
      <sz val="15"/>
      <color indexed="56"/>
      <name val="Calibri"/>
      <family val="2"/>
    </font>
    <font>
      <b/>
      <sz val="15"/>
      <color indexed="56"/>
      <name val="Arial"/>
      <family val="2"/>
    </font>
    <font>
      <b/>
      <sz val="13"/>
      <color indexed="56"/>
      <name val="Calibri"/>
      <family val="2"/>
    </font>
    <font>
      <b/>
      <sz val="13"/>
      <color indexed="56"/>
      <name val="Arial"/>
      <family val="2"/>
    </font>
    <font>
      <u/>
      <sz val="10"/>
      <color theme="10"/>
      <name val="Arial"/>
      <family val="2"/>
    </font>
    <font>
      <u/>
      <sz val="10"/>
      <color indexed="12"/>
      <name val="Arial"/>
      <family val="2"/>
    </font>
    <font>
      <u/>
      <sz val="8"/>
      <color indexed="12"/>
      <name val="Arial"/>
      <family val="2"/>
    </font>
    <font>
      <sz val="8"/>
      <color indexed="20"/>
      <name val="Arial"/>
      <family val="2"/>
    </font>
    <font>
      <sz val="10"/>
      <color indexed="11"/>
      <name val="Helv"/>
    </font>
    <font>
      <sz val="8"/>
      <color theme="1"/>
      <name val="Arial"/>
      <family val="2"/>
      <scheme val="minor"/>
    </font>
    <font>
      <sz val="10"/>
      <color indexed="60"/>
      <name val="Arial"/>
      <family val="2"/>
    </font>
    <font>
      <sz val="8"/>
      <color indexed="60"/>
      <name val="Arial"/>
      <family val="2"/>
    </font>
    <font>
      <sz val="7"/>
      <name val="Small Fonts"/>
      <family val="2"/>
    </font>
    <font>
      <b/>
      <sz val="8"/>
      <color indexed="23"/>
      <name val="Verdana"/>
      <family val="2"/>
    </font>
    <font>
      <b/>
      <i/>
      <sz val="16"/>
      <name val="Helv"/>
    </font>
    <font>
      <sz val="12"/>
      <color indexed="8"/>
      <name val="EYInterstate Light"/>
      <family val="2"/>
    </font>
    <font>
      <sz val="12"/>
      <name val="Courier"/>
      <family val="3"/>
    </font>
    <font>
      <sz val="10"/>
      <name val="Bookman Old Style"/>
      <family val="1"/>
    </font>
    <font>
      <sz val="8"/>
      <color indexed="8"/>
      <name val="Calibri"/>
      <family val="2"/>
    </font>
    <font>
      <b/>
      <sz val="11"/>
      <color indexed="63"/>
      <name val="Calibri"/>
      <family val="2"/>
    </font>
    <font>
      <b/>
      <sz val="10"/>
      <color indexed="63"/>
      <name val="Arial"/>
      <family val="2"/>
    </font>
    <font>
      <b/>
      <sz val="10"/>
      <name val="Century Gothic"/>
      <family val="2"/>
    </font>
    <font>
      <sz val="12"/>
      <name val="Futura Md BT"/>
      <family val="2"/>
    </font>
    <font>
      <sz val="9"/>
      <name val="Times New Roman"/>
      <family val="1"/>
    </font>
    <font>
      <b/>
      <sz val="8"/>
      <name val="Helv"/>
    </font>
    <font>
      <b/>
      <sz val="10"/>
      <color indexed="8"/>
      <name val="Arial Narrow"/>
      <family val="2"/>
    </font>
    <font>
      <sz val="16"/>
      <color indexed="9"/>
      <name val="Tahoma"/>
      <family val="2"/>
    </font>
    <font>
      <b/>
      <sz val="10"/>
      <name val="MS Sans Serif"/>
      <family val="2"/>
    </font>
    <font>
      <b/>
      <sz val="8"/>
      <color indexed="63"/>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sz val="11"/>
      <color indexed="8"/>
      <name val="Arial Narrow"/>
      <family val="2"/>
    </font>
    <font>
      <sz val="9"/>
      <color indexed="8"/>
      <name val="Times New Roman"/>
      <family val="1"/>
    </font>
    <font>
      <b/>
      <sz val="10"/>
      <color indexed="10"/>
      <name val="Helv"/>
    </font>
    <font>
      <sz val="8"/>
      <name val="Century Gothic"/>
      <family val="2"/>
    </font>
    <font>
      <sz val="8"/>
      <color indexed="10"/>
      <name val="Arial"/>
      <family val="2"/>
    </font>
    <font>
      <sz val="11"/>
      <color indexed="10"/>
      <name val="Calibri"/>
      <family val="2"/>
    </font>
    <font>
      <i/>
      <sz val="8"/>
      <color indexed="23"/>
      <name val="Arial"/>
      <family val="2"/>
    </font>
    <font>
      <sz val="10"/>
      <name val="Ottawa"/>
    </font>
    <font>
      <b/>
      <sz val="16"/>
      <color indexed="9"/>
      <name val="Tahoma"/>
      <family val="2"/>
    </font>
    <font>
      <b/>
      <sz val="18"/>
      <color indexed="56"/>
      <name val="Cambria"/>
      <family val="2"/>
    </font>
    <font>
      <b/>
      <sz val="18"/>
      <color indexed="62"/>
      <name val="Cambria"/>
      <family val="2"/>
    </font>
    <font>
      <b/>
      <sz val="8"/>
      <color indexed="8"/>
      <name val="Arial"/>
      <family val="2"/>
    </font>
    <font>
      <sz val="12"/>
      <name val="Arial"/>
      <family val="2"/>
    </font>
    <font>
      <b/>
      <sz val="11"/>
      <color theme="1"/>
      <name val="Arial"/>
      <family val="2"/>
      <scheme val="minor"/>
    </font>
    <font>
      <b/>
      <sz val="12"/>
      <color theme="1"/>
      <name val="Arial"/>
      <family val="2"/>
      <scheme val="minor"/>
    </font>
    <font>
      <b/>
      <sz val="14"/>
      <color theme="1"/>
      <name val="Arial"/>
      <family val="2"/>
      <scheme val="minor"/>
    </font>
    <font>
      <sz val="12"/>
      <color theme="1"/>
      <name val="Arial"/>
      <family val="2"/>
    </font>
    <font>
      <sz val="12"/>
      <color theme="1"/>
      <name val="Arial"/>
      <family val="2"/>
      <scheme val="minor"/>
    </font>
    <font>
      <b/>
      <sz val="9"/>
      <color theme="1"/>
      <name val="Arial"/>
      <family val="2"/>
    </font>
  </fonts>
  <fills count="71">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13"/>
        <bgColor indexed="15"/>
      </patternFill>
    </fill>
    <fill>
      <patternFill patternType="solid">
        <fgColor indexed="42"/>
        <bgColor indexed="64"/>
      </patternFill>
    </fill>
    <fill>
      <patternFill patternType="solid">
        <fgColor indexed="11"/>
        <bgColor indexed="64"/>
      </patternFill>
    </fill>
    <fill>
      <patternFill patternType="solid">
        <fgColor indexed="51"/>
        <bgColor indexed="64"/>
      </patternFill>
    </fill>
    <fill>
      <patternFill patternType="solid">
        <fgColor indexed="22"/>
        <bgColor indexed="64"/>
      </patternFill>
    </fill>
    <fill>
      <patternFill patternType="gray0625">
        <fgColor indexed="15"/>
      </patternFill>
    </fill>
    <fill>
      <patternFill patternType="solid">
        <fgColor rgb="FFFFFF00"/>
        <bgColor indexed="64"/>
      </patternFill>
    </fill>
    <fill>
      <patternFill patternType="solid">
        <fgColor theme="3" tint="0.39997558519241921"/>
        <bgColor indexed="64"/>
      </patternFill>
    </fill>
    <fill>
      <patternFill patternType="solid">
        <fgColor indexed="10"/>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2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8"/>
        <bgColor indexed="64"/>
      </patternFill>
    </fill>
    <fill>
      <patternFill patternType="solid">
        <fgColor indexed="43"/>
      </patternFill>
    </fill>
    <fill>
      <patternFill patternType="solid">
        <fgColor indexed="26"/>
      </patternFill>
    </fill>
    <fill>
      <patternFill patternType="solid">
        <fgColor indexed="43"/>
        <bgColor indexed="43"/>
      </patternFill>
    </fill>
    <fill>
      <patternFill patternType="mediumGray">
        <fgColor indexed="22"/>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9"/>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9"/>
        <bgColor indexed="64"/>
      </patternFill>
    </fill>
  </fills>
  <borders count="82">
    <border>
      <left/>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style="medium">
        <color indexed="41"/>
      </top>
      <bottom style="medium">
        <color indexed="41"/>
      </bottom>
      <diagonal/>
    </border>
    <border>
      <left/>
      <right/>
      <top style="medium">
        <color indexed="41"/>
      </top>
      <bottom/>
      <diagonal/>
    </border>
    <border>
      <left/>
      <right/>
      <top style="thin">
        <color indexed="8"/>
      </top>
      <bottom/>
      <diagonal/>
    </border>
    <border>
      <left/>
      <right/>
      <top/>
      <bottom style="thick">
        <color theme="4"/>
      </bottom>
      <diagonal/>
    </border>
    <border>
      <left/>
      <right/>
      <top/>
      <bottom style="thick">
        <color theme="4"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top style="thin">
        <color rgb="FF000000"/>
      </top>
      <bottom/>
      <diagonal/>
    </border>
    <border>
      <left/>
      <right/>
      <top/>
      <bottom style="thin">
        <color rgb="FF000000"/>
      </bottom>
      <diagonal/>
    </border>
    <border>
      <left/>
      <right/>
      <top/>
      <bottom style="medium">
        <color indexed="64"/>
      </bottom>
      <diagonal/>
    </border>
    <border>
      <left/>
      <right style="medium">
        <color indexed="64"/>
      </right>
      <top/>
      <bottom/>
      <diagonal/>
    </border>
    <border>
      <left/>
      <right/>
      <top/>
      <bottom style="medium">
        <color theme="4" tint="0.39997558519241921"/>
      </bottom>
      <diagonal/>
    </border>
    <border>
      <left style="thin">
        <color indexed="57"/>
      </left>
      <right style="thin">
        <color indexed="57"/>
      </right>
      <top style="thin">
        <color indexed="57"/>
      </top>
      <bottom/>
      <diagonal/>
    </border>
    <border>
      <left style="thin">
        <color indexed="57"/>
      </left>
      <right style="thin">
        <color indexed="57"/>
      </right>
      <top/>
      <bottom style="thin">
        <color indexed="57"/>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top/>
      <bottom style="thin">
        <color indexed="57"/>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style="thin">
        <color indexed="64"/>
      </right>
      <top style="hair">
        <color indexed="64"/>
      </top>
      <bottom style="hair">
        <color indexed="64"/>
      </bottom>
      <diagonal/>
    </border>
    <border>
      <left/>
      <right/>
      <top style="thin">
        <color indexed="62"/>
      </top>
      <bottom style="double">
        <color indexed="62"/>
      </bottom>
      <diagonal/>
    </border>
    <border>
      <left style="medium">
        <color auto="1"/>
      </left>
      <right style="thin">
        <color auto="1"/>
      </right>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medium">
        <color auto="1"/>
      </right>
      <top/>
      <bottom style="thin">
        <color auto="1"/>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auto="1"/>
      </left>
      <right style="medium">
        <color auto="1"/>
      </right>
      <top/>
      <bottom style="thin">
        <color auto="1"/>
      </bottom>
      <diagonal/>
    </border>
    <border>
      <left style="medium">
        <color indexed="64"/>
      </left>
      <right/>
      <top/>
      <bottom/>
      <diagonal/>
    </border>
    <border>
      <left style="medium">
        <color auto="1"/>
      </left>
      <right style="thin">
        <color auto="1"/>
      </right>
      <top style="medium">
        <color auto="1"/>
      </top>
      <bottom/>
      <diagonal/>
    </border>
    <border>
      <left style="medium">
        <color indexed="64"/>
      </left>
      <right style="thin">
        <color indexed="64"/>
      </right>
      <top/>
      <bottom/>
      <diagonal/>
    </border>
    <border>
      <left style="medium">
        <color auto="1"/>
      </left>
      <right style="thin">
        <color auto="1"/>
      </right>
      <top/>
      <bottom style="thin">
        <color auto="1"/>
      </bottom>
      <diagonal/>
    </border>
    <border>
      <left style="thin">
        <color auto="1"/>
      </left>
      <right style="medium">
        <color auto="1"/>
      </right>
      <top style="medium">
        <color auto="1"/>
      </top>
      <bottom/>
      <diagonal/>
    </border>
    <border>
      <left style="medium">
        <color indexed="64"/>
      </left>
      <right style="thin">
        <color indexed="64"/>
      </right>
      <top/>
      <bottom style="medium">
        <color indexed="64"/>
      </bottom>
      <diagonal/>
    </border>
    <border>
      <left style="thin">
        <color theme="2" tint="-0.499984740745262"/>
      </left>
      <right style="thin">
        <color theme="2" tint="-0.499984740745262"/>
      </right>
      <top/>
      <bottom style="thin">
        <color theme="2" tint="-0.499984740745262"/>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2" tint="-0.499984740745262"/>
      </left>
      <right/>
      <top/>
      <bottom/>
      <diagonal/>
    </border>
    <border>
      <left/>
      <right style="thin">
        <color rgb="FF000000"/>
      </right>
      <top/>
      <bottom/>
      <diagonal/>
    </border>
    <border>
      <left style="thin">
        <color indexed="57"/>
      </left>
      <right style="thin">
        <color indexed="57"/>
      </right>
      <top/>
      <bottom style="thin">
        <color indexed="57"/>
      </bottom>
      <diagonal/>
    </border>
    <border>
      <left style="thin">
        <color rgb="FF000000"/>
      </left>
      <right/>
      <top/>
      <bottom style="thin">
        <color rgb="FF000000"/>
      </bottom>
      <diagonal/>
    </border>
    <border>
      <left/>
      <right style="thin">
        <color rgb="FF000000"/>
      </right>
      <top/>
      <bottom style="thin">
        <color rgb="FF000000"/>
      </bottom>
      <diagonal/>
    </border>
  </borders>
  <cellStyleXfs count="2119">
    <xf numFmtId="0" fontId="0" fillId="0" borderId="0">
      <alignment vertical="center"/>
    </xf>
    <xf numFmtId="0" fontId="3" fillId="0" borderId="0" applyNumberFormat="0" applyAlignment="0">
      <alignment vertical="center"/>
    </xf>
    <xf numFmtId="167" fontId="9" fillId="0" borderId="0" applyNumberFormat="0" applyAlignment="0">
      <alignment vertical="center"/>
    </xf>
    <xf numFmtId="0" fontId="6" fillId="2" borderId="0" applyNumberFormat="0">
      <alignment horizontal="center" vertical="top" wrapText="1"/>
    </xf>
    <xf numFmtId="0" fontId="6" fillId="2" borderId="0" applyNumberFormat="0">
      <alignment horizontal="left" vertical="top" wrapText="1"/>
    </xf>
    <xf numFmtId="0" fontId="6" fillId="2" borderId="0" applyNumberFormat="0">
      <alignment horizontal="centerContinuous" vertical="top"/>
    </xf>
    <xf numFmtId="0" fontId="3" fillId="2" borderId="0" applyNumberFormat="0">
      <alignment horizontal="center" vertical="top" wrapText="1"/>
    </xf>
    <xf numFmtId="171" fontId="3" fillId="0" borderId="0" applyFont="0" applyFill="0" applyBorder="0" applyAlignment="0" applyProtection="0">
      <alignment vertical="center"/>
    </xf>
    <xf numFmtId="171" fontId="3" fillId="0" borderId="0">
      <alignment vertical="center"/>
    </xf>
    <xf numFmtId="172" fontId="3" fillId="0" borderId="0" applyFont="0" applyFill="0" applyBorder="0" applyAlignment="0" applyProtection="0">
      <alignment vertical="center"/>
    </xf>
    <xf numFmtId="177" fontId="3" fillId="0" borderId="0" applyFont="0" applyFill="0" applyBorder="0" applyAlignment="0" applyProtection="0">
      <alignment vertical="center"/>
    </xf>
    <xf numFmtId="178" fontId="3" fillId="0" borderId="0" applyFont="0" applyFill="0" applyBorder="0" applyAlignment="0" applyProtection="0">
      <alignment vertical="center"/>
    </xf>
    <xf numFmtId="175" fontId="3" fillId="0" borderId="0" applyFont="0" applyFill="0" applyBorder="0" applyAlignment="0" applyProtection="0">
      <alignment vertical="center"/>
    </xf>
    <xf numFmtId="176" fontId="3" fillId="0" borderId="0" applyFont="0" applyFill="0" applyBorder="0" applyAlignment="0" applyProtection="0">
      <alignment vertical="center"/>
    </xf>
    <xf numFmtId="173" fontId="3" fillId="0" borderId="0" applyFont="0" applyFill="0" applyBorder="0" applyAlignment="0" applyProtection="0">
      <alignment vertical="center"/>
    </xf>
    <xf numFmtId="174" fontId="3" fillId="0" borderId="0" applyFont="0" applyFill="0" applyBorder="0" applyAlignment="0" applyProtection="0">
      <alignment vertical="center"/>
    </xf>
    <xf numFmtId="183" fontId="3" fillId="0" borderId="0" applyFont="0" applyFill="0" applyBorder="0" applyAlignment="0" applyProtection="0">
      <alignment vertical="center"/>
    </xf>
    <xf numFmtId="184" fontId="3" fillId="0" borderId="0" applyFont="0" applyFill="0" applyBorder="0" applyAlignment="0" applyProtection="0">
      <alignment vertical="center"/>
    </xf>
    <xf numFmtId="181" fontId="3" fillId="0" borderId="0" applyFont="0" applyFill="0" applyBorder="0" applyAlignment="0" applyProtection="0">
      <alignment vertical="center"/>
    </xf>
    <xf numFmtId="182" fontId="3" fillId="0" borderId="0" applyFont="0" applyFill="0" applyBorder="0" applyAlignment="0" applyProtection="0">
      <alignment vertical="center"/>
    </xf>
    <xf numFmtId="179" fontId="3" fillId="0" borderId="0" applyFont="0" applyFill="0" applyBorder="0" applyAlignment="0" applyProtection="0">
      <alignment vertical="center"/>
    </xf>
    <xf numFmtId="180" fontId="3" fillId="0" borderId="0" applyFont="0" applyFill="0" applyBorder="0" applyAlignment="0" applyProtection="0">
      <alignment vertical="center"/>
    </xf>
    <xf numFmtId="170" fontId="3" fillId="0" borderId="0" applyFont="0" applyFill="0" applyBorder="0" applyAlignment="0" applyProtection="0">
      <alignment vertical="center"/>
    </xf>
    <xf numFmtId="185" fontId="3" fillId="0" borderId="0" applyFont="0" applyFill="0" applyBorder="0" applyAlignment="0" applyProtection="0">
      <alignment vertical="center"/>
    </xf>
    <xf numFmtId="186" fontId="3" fillId="0" borderId="0" applyFont="0" applyFill="0" applyBorder="0" applyAlignment="0" applyProtection="0">
      <alignment vertical="center"/>
    </xf>
    <xf numFmtId="0" fontId="7" fillId="2" borderId="0" applyNumberFormat="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 fillId="0" borderId="0" applyNumberFormat="0" applyFill="0" applyBorder="0" applyAlignment="0" applyProtection="0">
      <alignment horizontal="left" vertical="center"/>
    </xf>
    <xf numFmtId="0" fontId="6" fillId="0" borderId="0" applyNumberFormat="0" applyFill="0" applyBorder="0" applyAlignment="0" applyProtection="0">
      <alignment vertical="center"/>
    </xf>
    <xf numFmtId="0" fontId="13" fillId="0" borderId="7" applyNumberFormat="0" applyFill="0" applyAlignment="0" applyProtection="0"/>
    <xf numFmtId="0" fontId="14" fillId="0" borderId="8" applyNumberFormat="0" applyFill="0" applyAlignment="0" applyProtection="0"/>
    <xf numFmtId="0" fontId="3" fillId="3" borderId="0" applyNumberFormat="0" applyFont="0" applyBorder="0" applyAlignment="0" applyProtection="0">
      <alignment vertical="center"/>
    </xf>
    <xf numFmtId="0" fontId="3" fillId="0" borderId="1" applyNumberFormat="0" applyAlignment="0">
      <alignment vertical="center"/>
    </xf>
    <xf numFmtId="0" fontId="3" fillId="0" borderId="2" applyNumberFormat="0" applyAlignment="0">
      <alignment vertical="center"/>
      <protection locked="0"/>
    </xf>
    <xf numFmtId="166" fontId="3" fillId="4" borderId="2" applyNumberFormat="0" applyAlignment="0">
      <alignment vertical="center"/>
      <protection locked="0"/>
    </xf>
    <xf numFmtId="0" fontId="3" fillId="5" borderId="0" applyNumberFormat="0" applyAlignment="0">
      <alignment vertical="center"/>
    </xf>
    <xf numFmtId="0" fontId="3" fillId="6" borderId="0" applyNumberFormat="0" applyAlignment="0">
      <alignment vertical="center"/>
    </xf>
    <xf numFmtId="0" fontId="3" fillId="0" borderId="3" applyNumberFormat="0" applyAlignment="0">
      <alignment vertical="center"/>
      <protection locked="0"/>
    </xf>
    <xf numFmtId="0" fontId="11" fillId="0" borderId="0" applyNumberFormat="0" applyAlignment="0">
      <alignment vertical="center"/>
    </xf>
    <xf numFmtId="0" fontId="8" fillId="0" borderId="0" applyNumberFormat="0" applyFill="0" applyBorder="0" applyAlignment="0" applyProtection="0">
      <alignment vertical="center"/>
    </xf>
    <xf numFmtId="166" fontId="3" fillId="0" borderId="0" applyFont="0" applyFill="0" applyBorder="0" applyAlignment="0" applyProtection="0">
      <alignment vertical="center"/>
    </xf>
    <xf numFmtId="167" fontId="3" fillId="0" borderId="0" applyFont="0" applyFill="0" applyBorder="0" applyAlignment="0" applyProtection="0">
      <alignment vertical="center"/>
    </xf>
    <xf numFmtId="0" fontId="3" fillId="7" borderId="0" applyNumberFormat="0" applyFont="0" applyBorder="0" applyAlignment="0" applyProtection="0">
      <alignment vertical="center"/>
    </xf>
    <xf numFmtId="168" fontId="3" fillId="0" borderId="0" applyFont="0" applyFill="0" applyBorder="0" applyAlignment="0" applyProtection="0">
      <alignment horizontal="right" vertical="center"/>
    </xf>
    <xf numFmtId="169" fontId="3" fillId="0" borderId="0" applyFont="0" applyFill="0" applyBorder="0" applyAlignment="0" applyProtection="0">
      <alignment vertical="center"/>
    </xf>
    <xf numFmtId="0" fontId="6" fillId="0" borderId="0" applyNumberFormat="0" applyFill="0" applyBorder="0">
      <alignment horizontal="left" vertical="center" wrapText="1"/>
    </xf>
    <xf numFmtId="0" fontId="3" fillId="0" borderId="0" applyNumberFormat="0" applyFill="0" applyBorder="0">
      <alignment horizontal="left" vertical="center" wrapText="1" indent="1"/>
    </xf>
    <xf numFmtId="166" fontId="6" fillId="0" borderId="4" applyNumberFormat="0" applyFill="0" applyAlignment="0" applyProtection="0">
      <alignment vertical="center"/>
    </xf>
    <xf numFmtId="166" fontId="3" fillId="0" borderId="5" applyNumberFormat="0" applyFont="0" applyFill="0" applyAlignment="0" applyProtection="0">
      <alignment vertical="center"/>
    </xf>
    <xf numFmtId="0" fontId="3" fillId="8" borderId="0" applyNumberFormat="0" applyFont="0" applyBorder="0" applyAlignment="0" applyProtection="0">
      <alignment vertical="center"/>
    </xf>
    <xf numFmtId="0" fontId="3" fillId="0" borderId="0" applyNumberFormat="0" applyFont="0" applyFill="0" applyAlignment="0" applyProtection="0">
      <alignment vertical="center"/>
    </xf>
    <xf numFmtId="166" fontId="3" fillId="0" borderId="0" applyNumberFormat="0" applyFont="0" applyBorder="0" applyAlignment="0" applyProtection="0">
      <alignment vertical="center"/>
    </xf>
    <xf numFmtId="49" fontId="3" fillId="0" borderId="0" applyFont="0" applyFill="0" applyBorder="0" applyAlignment="0" applyProtection="0">
      <alignment horizontal="center" vertical="center"/>
    </xf>
    <xf numFmtId="166" fontId="6" fillId="0" borderId="0" applyNumberFormat="0" applyFill="0" applyBorder="0" applyAlignment="0" applyProtection="0">
      <alignment vertical="center"/>
    </xf>
    <xf numFmtId="166" fontId="6" fillId="2" borderId="0" applyNumberFormat="0" applyAlignment="0" applyProtection="0">
      <alignment vertical="center"/>
    </xf>
    <xf numFmtId="0" fontId="3" fillId="0" borderId="0" applyNumberFormat="0" applyFont="0" applyBorder="0" applyAlignment="0" applyProtection="0">
      <alignment vertical="center"/>
    </xf>
    <xf numFmtId="0" fontId="3" fillId="0" borderId="0" applyNumberFormat="0" applyFont="0" applyAlignment="0" applyProtection="0">
      <alignment vertical="center"/>
    </xf>
    <xf numFmtId="0" fontId="17" fillId="0" borderId="0" applyNumberFormat="0" applyFill="0" applyBorder="0" applyAlignment="0" applyProtection="0">
      <alignment vertical="center"/>
    </xf>
    <xf numFmtId="0" fontId="16" fillId="0" borderId="0"/>
    <xf numFmtId="9" fontId="16" fillId="0" borderId="0" applyFont="0" applyFill="0" applyBorder="0" applyAlignment="0" applyProtection="0"/>
    <xf numFmtId="0" fontId="3" fillId="0" borderId="0">
      <alignment vertical="center"/>
    </xf>
    <xf numFmtId="0" fontId="3" fillId="0" borderId="2" applyNumberFormat="0" applyAlignment="0">
      <alignment vertical="center"/>
      <protection locked="0"/>
    </xf>
    <xf numFmtId="0" fontId="3" fillId="0" borderId="0"/>
    <xf numFmtId="0" fontId="18" fillId="9" borderId="12" applyNumberFormat="0" applyProtection="0">
      <alignment horizontal="center" vertical="center" wrapText="1"/>
    </xf>
    <xf numFmtId="0" fontId="3" fillId="0" borderId="0">
      <alignment vertical="center"/>
    </xf>
    <xf numFmtId="0" fontId="3" fillId="0" borderId="0">
      <alignment vertical="center"/>
    </xf>
    <xf numFmtId="0" fontId="18" fillId="9" borderId="13" applyNumberFormat="0" applyBorder="0" applyProtection="0">
      <alignment horizontal="left" wrapText="1"/>
    </xf>
    <xf numFmtId="0" fontId="19" fillId="0" borderId="14" applyNumberFormat="0" applyFill="0" applyAlignment="0" applyProtection="0"/>
    <xf numFmtId="0" fontId="19" fillId="0" borderId="0" applyNumberFormat="0" applyFill="0" applyBorder="0" applyAlignment="0" applyProtection="0"/>
    <xf numFmtId="43" fontId="3" fillId="0" borderId="0" applyFont="0" applyFill="0" applyBorder="0" applyAlignment="0" applyProtection="0"/>
    <xf numFmtId="0" fontId="1" fillId="0" borderId="0"/>
    <xf numFmtId="166" fontId="3" fillId="0" borderId="0" applyFont="0" applyFill="0" applyBorder="0" applyAlignment="0" applyProtection="0">
      <alignment vertical="center"/>
    </xf>
    <xf numFmtId="0" fontId="16" fillId="0" borderId="0"/>
    <xf numFmtId="0" fontId="16" fillId="0" borderId="0"/>
    <xf numFmtId="0" fontId="16" fillId="0" borderId="0"/>
    <xf numFmtId="0" fontId="16" fillId="0" borderId="0"/>
    <xf numFmtId="0" fontId="16" fillId="0" borderId="0"/>
    <xf numFmtId="189" fontId="2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0"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189" fontId="16" fillId="0" borderId="0"/>
    <xf numFmtId="189" fontId="16" fillId="0" borderId="0"/>
    <xf numFmtId="0" fontId="16" fillId="0" borderId="0"/>
    <xf numFmtId="0" fontId="16" fillId="0" borderId="0"/>
    <xf numFmtId="0" fontId="16" fillId="0" borderId="0"/>
    <xf numFmtId="189"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30" fillId="0" borderId="0"/>
    <xf numFmtId="0" fontId="30" fillId="0" borderId="0"/>
    <xf numFmtId="0" fontId="30" fillId="0" borderId="0"/>
    <xf numFmtId="0" fontId="29" fillId="0" borderId="0"/>
    <xf numFmtId="0" fontId="16" fillId="0" borderId="0"/>
    <xf numFmtId="0" fontId="31" fillId="0" borderId="0"/>
    <xf numFmtId="0" fontId="30" fillId="0" borderId="0"/>
    <xf numFmtId="0" fontId="30" fillId="0" borderId="0"/>
    <xf numFmtId="0" fontId="29" fillId="0" borderId="0"/>
    <xf numFmtId="0" fontId="30" fillId="0" borderId="0"/>
    <xf numFmtId="189" fontId="16" fillId="0" borderId="0"/>
    <xf numFmtId="189" fontId="16" fillId="0" borderId="0"/>
    <xf numFmtId="189" fontId="16" fillId="0" borderId="0"/>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32" fillId="0" borderId="0">
      <alignment vertical="top"/>
    </xf>
    <xf numFmtId="189" fontId="29" fillId="0" borderId="0"/>
    <xf numFmtId="0"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0" fontId="16" fillId="8" borderId="0"/>
    <xf numFmtId="0"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0" fontId="16" fillId="8" borderId="0"/>
    <xf numFmtId="189" fontId="33" fillId="13" borderId="0"/>
    <xf numFmtId="189" fontId="34" fillId="14" borderId="0"/>
    <xf numFmtId="189" fontId="35" fillId="15" borderId="0"/>
    <xf numFmtId="189" fontId="22" fillId="0" borderId="0"/>
    <xf numFmtId="189" fontId="6"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0" fontId="30" fillId="0" borderId="0"/>
    <xf numFmtId="0" fontId="30" fillId="0" borderId="0"/>
    <xf numFmtId="0" fontId="16" fillId="0" borderId="0"/>
    <xf numFmtId="0" fontId="16" fillId="0" borderId="0"/>
    <xf numFmtId="0" fontId="16" fillId="0" borderId="0"/>
    <xf numFmtId="0" fontId="16" fillId="0" borderId="0"/>
    <xf numFmtId="0" fontId="16" fillId="0" borderId="0"/>
    <xf numFmtId="189" fontId="16" fillId="0" borderId="0">
      <alignment vertical="top"/>
    </xf>
    <xf numFmtId="189" fontId="16" fillId="0" borderId="0">
      <alignment vertical="top"/>
    </xf>
    <xf numFmtId="0" fontId="30" fillId="0" borderId="0"/>
    <xf numFmtId="0" fontId="16" fillId="0" borderId="0"/>
    <xf numFmtId="0" fontId="16" fillId="0" borderId="0"/>
    <xf numFmtId="0" fontId="16" fillId="0" borderId="0"/>
    <xf numFmtId="0" fontId="16" fillId="0" borderId="0"/>
    <xf numFmtId="0" fontId="32" fillId="0" borderId="0">
      <alignment vertical="top"/>
    </xf>
    <xf numFmtId="0" fontId="16" fillId="0" borderId="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4" fontId="16" fillId="16" borderId="0"/>
    <xf numFmtId="0" fontId="16" fillId="0" borderId="0"/>
    <xf numFmtId="0" fontId="16" fillId="0" borderId="0"/>
    <xf numFmtId="0" fontId="29" fillId="0" borderId="0"/>
    <xf numFmtId="0" fontId="16" fillId="0" borderId="0"/>
    <xf numFmtId="0" fontId="30" fillId="0" borderId="0"/>
    <xf numFmtId="0" fontId="32" fillId="0" borderId="0">
      <alignment vertical="top"/>
    </xf>
    <xf numFmtId="0" fontId="32" fillId="0" borderId="0">
      <alignment vertical="top"/>
    </xf>
    <xf numFmtId="0" fontId="32" fillId="0" borderId="0">
      <alignment vertical="top"/>
    </xf>
    <xf numFmtId="189" fontId="16" fillId="0" borderId="0"/>
    <xf numFmtId="189" fontId="16" fillId="0" borderId="0"/>
    <xf numFmtId="189" fontId="16" fillId="0" borderId="0"/>
    <xf numFmtId="0" fontId="32" fillId="0" borderId="0">
      <alignment vertical="top"/>
    </xf>
    <xf numFmtId="0" fontId="32" fillId="0" borderId="0">
      <alignment vertical="top"/>
    </xf>
    <xf numFmtId="0" fontId="16" fillId="0" borderId="0"/>
    <xf numFmtId="0" fontId="29" fillId="0" borderId="0"/>
    <xf numFmtId="0" fontId="32" fillId="0" borderId="0">
      <alignment vertical="top"/>
    </xf>
    <xf numFmtId="189" fontId="36" fillId="17" borderId="0"/>
    <xf numFmtId="0" fontId="16" fillId="0" borderId="0"/>
    <xf numFmtId="0" fontId="16" fillId="0" borderId="0"/>
    <xf numFmtId="0" fontId="16" fillId="0" borderId="0"/>
    <xf numFmtId="0" fontId="29"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30"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31" fillId="0" borderId="0"/>
    <xf numFmtId="0" fontId="31" fillId="0" borderId="0"/>
    <xf numFmtId="0" fontId="16" fillId="0" borderId="0"/>
    <xf numFmtId="0" fontId="16" fillId="0" borderId="0"/>
    <xf numFmtId="0" fontId="16" fillId="0" borderId="0"/>
    <xf numFmtId="0"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0" fontId="16" fillId="0" borderId="0" applyNumberFormat="0" applyFill="0" applyBorder="0" applyAlignment="0" applyProtection="0"/>
    <xf numFmtId="0" fontId="16" fillId="0" borderId="0"/>
    <xf numFmtId="0" fontId="29" fillId="0" borderId="0"/>
    <xf numFmtId="0" fontId="32" fillId="0" borderId="0">
      <alignment vertical="top"/>
    </xf>
    <xf numFmtId="0" fontId="16" fillId="0" borderId="0"/>
    <xf numFmtId="0" fontId="16" fillId="0" borderId="0"/>
    <xf numFmtId="0" fontId="16" fillId="0" borderId="0"/>
    <xf numFmtId="0" fontId="16"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16" fillId="0" borderId="0"/>
    <xf numFmtId="189" fontId="29" fillId="0" borderId="0"/>
    <xf numFmtId="189" fontId="29" fillId="0" borderId="0"/>
    <xf numFmtId="0" fontId="32" fillId="0" borderId="0">
      <alignment vertical="top"/>
    </xf>
    <xf numFmtId="189" fontId="29" fillId="0" borderId="0"/>
    <xf numFmtId="0" fontId="29" fillId="0" borderId="0"/>
    <xf numFmtId="0" fontId="16" fillId="0" borderId="0"/>
    <xf numFmtId="0" fontId="16" fillId="0" borderId="0"/>
    <xf numFmtId="0" fontId="29" fillId="0" borderId="0"/>
    <xf numFmtId="0" fontId="16" fillId="0"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0" fontId="16" fillId="8" borderId="0"/>
    <xf numFmtId="0"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189" fontId="16" fillId="8" borderId="0"/>
    <xf numFmtId="0" fontId="16" fillId="8" borderId="0"/>
    <xf numFmtId="189" fontId="33" fillId="13" borderId="0"/>
    <xf numFmtId="189" fontId="34" fillId="14" borderId="0"/>
    <xf numFmtId="189" fontId="35" fillId="15" borderId="0"/>
    <xf numFmtId="189" fontId="22" fillId="0" borderId="0"/>
    <xf numFmtId="189" fontId="6"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30" fillId="0" borderId="0"/>
    <xf numFmtId="189" fontId="29" fillId="0" borderId="0"/>
    <xf numFmtId="189" fontId="29" fillId="0" borderId="0"/>
    <xf numFmtId="189" fontId="29" fillId="0" borderId="0"/>
    <xf numFmtId="0" fontId="29"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31" fillId="0" borderId="0" applyNumberFormat="0" applyFill="0" applyBorder="0" applyAlignment="0" applyProtection="0"/>
    <xf numFmtId="2" fontId="37" fillId="0" borderId="0"/>
    <xf numFmtId="2" fontId="37" fillId="0" borderId="0"/>
    <xf numFmtId="0" fontId="38" fillId="18" borderId="0" applyNumberFormat="0" applyBorder="0" applyAlignment="0" applyProtection="0"/>
    <xf numFmtId="0" fontId="32" fillId="18" borderId="0" applyNumberFormat="0" applyBorder="0" applyAlignment="0" applyProtection="0"/>
    <xf numFmtId="0" fontId="38" fillId="19" borderId="0" applyNumberFormat="0" applyBorder="0" applyAlignment="0" applyProtection="0"/>
    <xf numFmtId="0" fontId="32" fillId="19" borderId="0" applyNumberFormat="0" applyBorder="0" applyAlignment="0" applyProtection="0"/>
    <xf numFmtId="0" fontId="38" fillId="20" borderId="0" applyNumberFormat="0" applyBorder="0" applyAlignment="0" applyProtection="0"/>
    <xf numFmtId="0" fontId="32" fillId="20" borderId="0" applyNumberFormat="0" applyBorder="0" applyAlignment="0" applyProtection="0"/>
    <xf numFmtId="0" fontId="38" fillId="21" borderId="0" applyNumberFormat="0" applyBorder="0" applyAlignment="0" applyProtection="0"/>
    <xf numFmtId="0" fontId="32" fillId="21" borderId="0" applyNumberFormat="0" applyBorder="0" applyAlignment="0" applyProtection="0"/>
    <xf numFmtId="0" fontId="38" fillId="22" borderId="0" applyNumberFormat="0" applyBorder="0" applyAlignment="0" applyProtection="0"/>
    <xf numFmtId="0" fontId="32" fillId="22" borderId="0" applyNumberFormat="0" applyBorder="0" applyAlignment="0" applyProtection="0"/>
    <xf numFmtId="0" fontId="38" fillId="23" borderId="0" applyNumberFormat="0" applyBorder="0" applyAlignment="0" applyProtection="0"/>
    <xf numFmtId="0" fontId="32" fillId="23" borderId="0" applyNumberFormat="0" applyBorder="0" applyAlignment="0" applyProtection="0"/>
    <xf numFmtId="189" fontId="39" fillId="18" borderId="0" applyNumberFormat="0" applyBorder="0" applyAlignment="0" applyProtection="0"/>
    <xf numFmtId="0" fontId="38" fillId="18" borderId="0" applyNumberFormat="0" applyBorder="0" applyAlignment="0" applyProtection="0"/>
    <xf numFmtId="189" fontId="39" fillId="19" borderId="0" applyNumberFormat="0" applyBorder="0" applyAlignment="0" applyProtection="0"/>
    <xf numFmtId="0" fontId="38" fillId="19" borderId="0" applyNumberFormat="0" applyBorder="0" applyAlignment="0" applyProtection="0"/>
    <xf numFmtId="189" fontId="39" fillId="20" borderId="0" applyNumberFormat="0" applyBorder="0" applyAlignment="0" applyProtection="0"/>
    <xf numFmtId="0" fontId="38" fillId="20" borderId="0" applyNumberFormat="0" applyBorder="0" applyAlignment="0" applyProtection="0"/>
    <xf numFmtId="189" fontId="39" fillId="21" borderId="0" applyNumberFormat="0" applyBorder="0" applyAlignment="0" applyProtection="0"/>
    <xf numFmtId="0" fontId="38" fillId="21" borderId="0" applyNumberFormat="0" applyBorder="0" applyAlignment="0" applyProtection="0"/>
    <xf numFmtId="189" fontId="39" fillId="22" borderId="0" applyNumberFormat="0" applyBorder="0" applyAlignment="0" applyProtection="0"/>
    <xf numFmtId="0" fontId="38" fillId="22" borderId="0" applyNumberFormat="0" applyBorder="0" applyAlignment="0" applyProtection="0"/>
    <xf numFmtId="189" fontId="39" fillId="23"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2" fillId="24" borderId="0" applyNumberFormat="0" applyBorder="0" applyAlignment="0" applyProtection="0"/>
    <xf numFmtId="0" fontId="38" fillId="25" borderId="0" applyNumberFormat="0" applyBorder="0" applyAlignment="0" applyProtection="0"/>
    <xf numFmtId="0" fontId="32" fillId="25" borderId="0" applyNumberFormat="0" applyBorder="0" applyAlignment="0" applyProtection="0"/>
    <xf numFmtId="0" fontId="38" fillId="26" borderId="0" applyNumberFormat="0" applyBorder="0" applyAlignment="0" applyProtection="0"/>
    <xf numFmtId="0" fontId="32" fillId="26" borderId="0" applyNumberFormat="0" applyBorder="0" applyAlignment="0" applyProtection="0"/>
    <xf numFmtId="0" fontId="38" fillId="21" borderId="0" applyNumberFormat="0" applyBorder="0" applyAlignment="0" applyProtection="0"/>
    <xf numFmtId="0" fontId="32" fillId="21" borderId="0" applyNumberFormat="0" applyBorder="0" applyAlignment="0" applyProtection="0"/>
    <xf numFmtId="0" fontId="38" fillId="24" borderId="0" applyNumberFormat="0" applyBorder="0" applyAlignment="0" applyProtection="0"/>
    <xf numFmtId="0" fontId="32" fillId="24" borderId="0" applyNumberFormat="0" applyBorder="0" applyAlignment="0" applyProtection="0"/>
    <xf numFmtId="0" fontId="38" fillId="27" borderId="0" applyNumberFormat="0" applyBorder="0" applyAlignment="0" applyProtection="0"/>
    <xf numFmtId="0" fontId="32" fillId="27" borderId="0" applyNumberFormat="0" applyBorder="0" applyAlignment="0" applyProtection="0"/>
    <xf numFmtId="189" fontId="39" fillId="24" borderId="0" applyNumberFormat="0" applyBorder="0" applyAlignment="0" applyProtection="0"/>
    <xf numFmtId="0" fontId="38" fillId="24" borderId="0" applyNumberFormat="0" applyBorder="0" applyAlignment="0" applyProtection="0"/>
    <xf numFmtId="189" fontId="39" fillId="25" borderId="0" applyNumberFormat="0" applyBorder="0" applyAlignment="0" applyProtection="0"/>
    <xf numFmtId="0" fontId="38" fillId="25" borderId="0" applyNumberFormat="0" applyBorder="0" applyAlignment="0" applyProtection="0"/>
    <xf numFmtId="189" fontId="39" fillId="26" borderId="0" applyNumberFormat="0" applyBorder="0" applyAlignment="0" applyProtection="0"/>
    <xf numFmtId="0" fontId="38" fillId="26" borderId="0" applyNumberFormat="0" applyBorder="0" applyAlignment="0" applyProtection="0"/>
    <xf numFmtId="189" fontId="39" fillId="21" borderId="0" applyNumberFormat="0" applyBorder="0" applyAlignment="0" applyProtection="0"/>
    <xf numFmtId="0" fontId="38" fillId="21" borderId="0" applyNumberFormat="0" applyBorder="0" applyAlignment="0" applyProtection="0"/>
    <xf numFmtId="189" fontId="39" fillId="24" borderId="0" applyNumberFormat="0" applyBorder="0" applyAlignment="0" applyProtection="0"/>
    <xf numFmtId="0" fontId="38" fillId="24" borderId="0" applyNumberFormat="0" applyBorder="0" applyAlignment="0" applyProtection="0"/>
    <xf numFmtId="189" fontId="39" fillId="27" borderId="0" applyNumberFormat="0" applyBorder="0" applyAlignment="0" applyProtection="0"/>
    <xf numFmtId="0" fontId="38" fillId="27" borderId="0" applyNumberFormat="0" applyBorder="0" applyAlignment="0" applyProtection="0"/>
    <xf numFmtId="0" fontId="40" fillId="28" borderId="0" applyNumberFormat="0" applyBorder="0" applyAlignment="0" applyProtection="0"/>
    <xf numFmtId="0" fontId="33" fillId="28" borderId="0" applyNumberFormat="0" applyBorder="0" applyAlignment="0" applyProtection="0"/>
    <xf numFmtId="0" fontId="40" fillId="25" borderId="0" applyNumberFormat="0" applyBorder="0" applyAlignment="0" applyProtection="0"/>
    <xf numFmtId="0" fontId="33" fillId="25" borderId="0" applyNumberFormat="0" applyBorder="0" applyAlignment="0" applyProtection="0"/>
    <xf numFmtId="0" fontId="40" fillId="26" borderId="0" applyNumberFormat="0" applyBorder="0" applyAlignment="0" applyProtection="0"/>
    <xf numFmtId="0" fontId="33" fillId="26" borderId="0" applyNumberFormat="0" applyBorder="0" applyAlignment="0" applyProtection="0"/>
    <xf numFmtId="0" fontId="40" fillId="29" borderId="0" applyNumberFormat="0" applyBorder="0" applyAlignment="0" applyProtection="0"/>
    <xf numFmtId="0" fontId="33" fillId="29" borderId="0" applyNumberFormat="0" applyBorder="0" applyAlignment="0" applyProtection="0"/>
    <xf numFmtId="0" fontId="40" fillId="30" borderId="0" applyNumberFormat="0" applyBorder="0" applyAlignment="0" applyProtection="0"/>
    <xf numFmtId="0" fontId="33" fillId="30" borderId="0" applyNumberFormat="0" applyBorder="0" applyAlignment="0" applyProtection="0"/>
    <xf numFmtId="0" fontId="40" fillId="31" borderId="0" applyNumberFormat="0" applyBorder="0" applyAlignment="0" applyProtection="0"/>
    <xf numFmtId="0" fontId="33" fillId="31" borderId="0" applyNumberFormat="0" applyBorder="0" applyAlignment="0" applyProtection="0"/>
    <xf numFmtId="189" fontId="41" fillId="28" borderId="0" applyNumberFormat="0" applyBorder="0" applyAlignment="0" applyProtection="0"/>
    <xf numFmtId="0" fontId="40" fillId="28" borderId="0" applyNumberFormat="0" applyBorder="0" applyAlignment="0" applyProtection="0"/>
    <xf numFmtId="189" fontId="41" fillId="25" borderId="0" applyNumberFormat="0" applyBorder="0" applyAlignment="0" applyProtection="0"/>
    <xf numFmtId="0" fontId="40" fillId="25" borderId="0" applyNumberFormat="0" applyBorder="0" applyAlignment="0" applyProtection="0"/>
    <xf numFmtId="189" fontId="41" fillId="26" borderId="0" applyNumberFormat="0" applyBorder="0" applyAlignment="0" applyProtection="0"/>
    <xf numFmtId="0" fontId="40" fillId="26" borderId="0" applyNumberFormat="0" applyBorder="0" applyAlignment="0" applyProtection="0"/>
    <xf numFmtId="189" fontId="41" fillId="29" borderId="0" applyNumberFormat="0" applyBorder="0" applyAlignment="0" applyProtection="0"/>
    <xf numFmtId="0" fontId="40" fillId="29" borderId="0" applyNumberFormat="0" applyBorder="0" applyAlignment="0" applyProtection="0"/>
    <xf numFmtId="189" fontId="41" fillId="30" borderId="0" applyNumberFormat="0" applyBorder="0" applyAlignment="0" applyProtection="0"/>
    <xf numFmtId="0" fontId="40" fillId="30" borderId="0" applyNumberFormat="0" applyBorder="0" applyAlignment="0" applyProtection="0"/>
    <xf numFmtId="189" fontId="41" fillId="31" borderId="0" applyNumberFormat="0" applyBorder="0" applyAlignment="0" applyProtection="0"/>
    <xf numFmtId="0" fontId="40" fillId="31" borderId="0" applyNumberFormat="0" applyBorder="0" applyAlignment="0" applyProtection="0"/>
    <xf numFmtId="0" fontId="42" fillId="0" borderId="33" applyBorder="0"/>
    <xf numFmtId="0" fontId="40" fillId="32" borderId="0" applyNumberFormat="0" applyBorder="0" applyAlignment="0" applyProtection="0"/>
    <xf numFmtId="0" fontId="33" fillId="32" borderId="0" applyNumberFormat="0" applyBorder="0" applyAlignment="0" applyProtection="0"/>
    <xf numFmtId="0" fontId="40" fillId="33" borderId="0" applyNumberFormat="0" applyBorder="0" applyAlignment="0" applyProtection="0"/>
    <xf numFmtId="0" fontId="33" fillId="33" borderId="0" applyNumberFormat="0" applyBorder="0" applyAlignment="0" applyProtection="0"/>
    <xf numFmtId="0" fontId="40" fillId="34" borderId="0" applyNumberFormat="0" applyBorder="0" applyAlignment="0" applyProtection="0"/>
    <xf numFmtId="0" fontId="33" fillId="34" borderId="0" applyNumberFormat="0" applyBorder="0" applyAlignment="0" applyProtection="0"/>
    <xf numFmtId="0" fontId="40" fillId="29" borderId="0" applyNumberFormat="0" applyBorder="0" applyAlignment="0" applyProtection="0"/>
    <xf numFmtId="0" fontId="33" fillId="29" borderId="0" applyNumberFormat="0" applyBorder="0" applyAlignment="0" applyProtection="0"/>
    <xf numFmtId="0" fontId="40" fillId="30" borderId="0" applyNumberFormat="0" applyBorder="0" applyAlignment="0" applyProtection="0"/>
    <xf numFmtId="0" fontId="33" fillId="30" borderId="0" applyNumberFormat="0" applyBorder="0" applyAlignment="0" applyProtection="0"/>
    <xf numFmtId="0" fontId="40" fillId="35" borderId="0" applyNumberFormat="0" applyBorder="0" applyAlignment="0" applyProtection="0"/>
    <xf numFmtId="0" fontId="33" fillId="35" borderId="0" applyNumberFormat="0" applyBorder="0" applyAlignment="0" applyProtection="0"/>
    <xf numFmtId="189" fontId="8" fillId="0" borderId="0" applyNumberFormat="0" applyAlignment="0"/>
    <xf numFmtId="189" fontId="8" fillId="0" borderId="0" applyNumberFormat="0" applyAlignment="0"/>
    <xf numFmtId="191" fontId="43" fillId="36" borderId="22" applyFont="0" applyFill="0" applyBorder="0" applyProtection="0">
      <alignment vertical="center"/>
    </xf>
    <xf numFmtId="192" fontId="44" fillId="0" borderId="0"/>
    <xf numFmtId="192" fontId="44" fillId="0" borderId="0"/>
    <xf numFmtId="0" fontId="45" fillId="0" borderId="0"/>
    <xf numFmtId="193" fontId="45" fillId="0" borderId="0" applyFont="0" applyFill="0" applyBorder="0" applyAlignment="0" applyProtection="0"/>
    <xf numFmtId="194" fontId="45" fillId="0" borderId="0" applyFont="0" applyFill="0" applyBorder="0" applyAlignment="0" applyProtection="0"/>
    <xf numFmtId="189" fontId="16" fillId="37" borderId="0"/>
    <xf numFmtId="0" fontId="46" fillId="19" borderId="0" applyNumberFormat="0" applyBorder="0" applyAlignment="0" applyProtection="0"/>
    <xf numFmtId="0" fontId="47" fillId="19" borderId="0" applyNumberFormat="0" applyBorder="0" applyAlignment="0" applyProtection="0"/>
    <xf numFmtId="0" fontId="48" fillId="13" borderId="0" applyBorder="0">
      <alignment horizontal="left" vertical="center" indent="1"/>
    </xf>
    <xf numFmtId="189" fontId="49" fillId="20" borderId="0" applyNumberFormat="0" applyBorder="0" applyAlignment="0" applyProtection="0"/>
    <xf numFmtId="0" fontId="50" fillId="20" borderId="0" applyNumberFormat="0" applyBorder="0" applyAlignment="0" applyProtection="0"/>
    <xf numFmtId="0" fontId="51" fillId="0" borderId="0"/>
    <xf numFmtId="189" fontId="52" fillId="0" borderId="0">
      <protection locked="0"/>
    </xf>
    <xf numFmtId="189" fontId="52" fillId="0" borderId="0">
      <protection locked="0"/>
    </xf>
    <xf numFmtId="0" fontId="3" fillId="0" borderId="0" applyFill="0" applyBorder="0" applyAlignment="0"/>
    <xf numFmtId="0" fontId="3" fillId="0" borderId="0" applyFill="0" applyBorder="0" applyAlignment="0"/>
    <xf numFmtId="0" fontId="37" fillId="0" borderId="0" applyFill="0" applyBorder="0" applyAlignment="0"/>
    <xf numFmtId="0" fontId="16" fillId="0" borderId="0" applyFill="0" applyBorder="0" applyAlignment="0"/>
    <xf numFmtId="0" fontId="37"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3" fillId="37" borderId="36" applyNumberFormat="0" applyAlignment="0" applyProtection="0"/>
    <xf numFmtId="0" fontId="54" fillId="37" borderId="36" applyNumberFormat="0" applyAlignment="0" applyProtection="0"/>
    <xf numFmtId="189" fontId="55" fillId="37" borderId="36" applyNumberFormat="0" applyAlignment="0" applyProtection="0"/>
    <xf numFmtId="0" fontId="53" fillId="37" borderId="36" applyNumberFormat="0" applyAlignment="0" applyProtection="0"/>
    <xf numFmtId="189" fontId="56" fillId="38" borderId="37" applyNumberFormat="0" applyAlignment="0" applyProtection="0"/>
    <xf numFmtId="0" fontId="57" fillId="38" borderId="37" applyNumberFormat="0" applyAlignment="0" applyProtection="0"/>
    <xf numFmtId="189" fontId="58" fillId="0" borderId="38" applyNumberFormat="0" applyFill="0" applyAlignment="0" applyProtection="0"/>
    <xf numFmtId="0" fontId="59" fillId="0" borderId="38" applyNumberFormat="0" applyFill="0" applyAlignment="0" applyProtection="0"/>
    <xf numFmtId="0" fontId="57" fillId="38" borderId="37" applyNumberFormat="0" applyAlignment="0" applyProtection="0"/>
    <xf numFmtId="195" fontId="60" fillId="0" borderId="0"/>
    <xf numFmtId="195" fontId="60" fillId="0" borderId="0"/>
    <xf numFmtId="195" fontId="60" fillId="0" borderId="0"/>
    <xf numFmtId="195" fontId="60" fillId="0" borderId="0"/>
    <xf numFmtId="195" fontId="60" fillId="0" borderId="0"/>
    <xf numFmtId="195" fontId="60" fillId="0" borderId="0"/>
    <xf numFmtId="195" fontId="60" fillId="0" borderId="0"/>
    <xf numFmtId="195" fontId="60" fillId="0" borderId="0"/>
    <xf numFmtId="0" fontId="3"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3" fontId="1" fillId="0" borderId="0" applyFont="0" applyFill="0" applyBorder="0" applyAlignment="0" applyProtection="0"/>
    <xf numFmtId="196" fontId="16" fillId="0" borderId="0" applyFont="0" applyFill="0" applyBorder="0" applyAlignment="0" applyProtection="0"/>
    <xf numFmtId="196" fontId="16" fillId="0" borderId="0" applyFont="0" applyFill="0" applyBorder="0" applyAlignment="0" applyProtection="0"/>
    <xf numFmtId="41" fontId="16" fillId="0" borderId="0" applyFont="0" applyFill="0" applyBorder="0" applyAlignment="0" applyProtection="0"/>
    <xf numFmtId="41" fontId="32"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194" fontId="61" fillId="0" borderId="0" applyFont="0" applyFill="0" applyBorder="0" applyAlignment="0" applyProtection="0"/>
    <xf numFmtId="197" fontId="16" fillId="0" borderId="0" applyFont="0" applyFill="0" applyBorder="0" applyAlignment="0" applyProtection="0"/>
    <xf numFmtId="197" fontId="16" fillId="0" borderId="0" applyFont="0" applyFill="0" applyBorder="0" applyAlignment="0" applyProtection="0"/>
    <xf numFmtId="43" fontId="16" fillId="0" borderId="0" applyFont="0" applyFill="0" applyBorder="0" applyAlignment="0" applyProtection="0"/>
    <xf numFmtId="41" fontId="32"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0" fontId="37"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0" fontId="37" fillId="0" borderId="0" applyFont="0" applyFill="0" applyBorder="0" applyAlignment="0" applyProtection="0"/>
    <xf numFmtId="43" fontId="38" fillId="0" borderId="0" applyFont="0" applyFill="0" applyBorder="0" applyAlignment="0" applyProtection="0"/>
    <xf numFmtId="196" fontId="38" fillId="0" borderId="0" applyFont="0" applyFill="0" applyBorder="0" applyAlignment="0" applyProtection="0"/>
    <xf numFmtId="43" fontId="38"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40" fontId="37" fillId="0" borderId="0" applyFont="0" applyFill="0" applyBorder="0" applyAlignment="0" applyProtection="0"/>
    <xf numFmtId="3" fontId="62" fillId="0" borderId="0" applyFont="0" applyFill="0" applyBorder="0" applyAlignment="0" applyProtection="0"/>
    <xf numFmtId="0" fontId="3" fillId="0" borderId="0" applyFont="0" applyFill="0" applyBorder="0" applyAlignment="0" applyProtection="0"/>
    <xf numFmtId="42" fontId="32" fillId="0" borderId="0" applyFont="0" applyFill="0" applyBorder="0" applyAlignment="0" applyProtection="0"/>
    <xf numFmtId="42" fontId="32" fillId="0" borderId="0" applyFont="0" applyFill="0" applyBorder="0" applyAlignment="0" applyProtection="0"/>
    <xf numFmtId="198" fontId="62" fillId="0" borderId="0" applyFont="0" applyFill="0" applyBorder="0" applyAlignment="0" applyProtection="0"/>
    <xf numFmtId="14" fontId="32" fillId="0" borderId="0" applyFill="0" applyBorder="0" applyAlignment="0"/>
    <xf numFmtId="199" fontId="16" fillId="0" borderId="0">
      <protection locked="0"/>
    </xf>
    <xf numFmtId="37" fontId="63" fillId="0" borderId="0" applyNumberFormat="0" applyFill="0" applyBorder="0" applyProtection="0"/>
    <xf numFmtId="38" fontId="37" fillId="0" borderId="39">
      <alignment vertical="center"/>
    </xf>
    <xf numFmtId="38" fontId="37" fillId="0" borderId="0" applyFont="0" applyFill="0" applyBorder="0" applyAlignment="0" applyProtection="0"/>
    <xf numFmtId="200" fontId="64" fillId="0" borderId="0" applyFont="0" applyFill="0" applyBorder="0" applyAlignment="0" applyProtection="0"/>
    <xf numFmtId="0" fontId="65" fillId="0" borderId="0">
      <protection locked="0"/>
    </xf>
    <xf numFmtId="189" fontId="16" fillId="0" borderId="0"/>
    <xf numFmtId="0" fontId="16" fillId="0" borderId="0"/>
    <xf numFmtId="201" fontId="52" fillId="0" borderId="0">
      <protection locked="0"/>
    </xf>
    <xf numFmtId="201" fontId="52" fillId="0" borderId="0">
      <protection locked="0"/>
    </xf>
    <xf numFmtId="189" fontId="66" fillId="0" borderId="0" applyNumberFormat="0" applyFill="0" applyBorder="0" applyAlignment="0" applyProtection="0"/>
    <xf numFmtId="0" fontId="67" fillId="0" borderId="0" applyNumberFormat="0" applyFill="0" applyBorder="0" applyAlignment="0" applyProtection="0"/>
    <xf numFmtId="189" fontId="68" fillId="39" borderId="0" applyNumberFormat="0" applyBorder="0" applyAlignment="0" applyProtection="0"/>
    <xf numFmtId="189" fontId="68" fillId="40" borderId="0" applyNumberFormat="0" applyBorder="0" applyAlignment="0" applyProtection="0"/>
    <xf numFmtId="189" fontId="68" fillId="41" borderId="0" applyNumberFormat="0" applyBorder="0" applyAlignment="0" applyProtection="0"/>
    <xf numFmtId="189" fontId="38" fillId="42" borderId="0" applyNumberFormat="0" applyBorder="0" applyAlignment="0" applyProtection="0"/>
    <xf numFmtId="189" fontId="38" fillId="42" borderId="0" applyNumberFormat="0" applyBorder="0" applyAlignment="0" applyProtection="0"/>
    <xf numFmtId="189" fontId="40" fillId="43" borderId="0" applyNumberFormat="0" applyBorder="0" applyAlignment="0" applyProtection="0"/>
    <xf numFmtId="189" fontId="41" fillId="32" borderId="0" applyNumberFormat="0" applyBorder="0" applyAlignment="0" applyProtection="0"/>
    <xf numFmtId="0" fontId="40" fillId="32" borderId="0" applyNumberFormat="0" applyBorder="0" applyAlignment="0" applyProtection="0"/>
    <xf numFmtId="189" fontId="38" fillId="44" borderId="0" applyNumberFormat="0" applyBorder="0" applyAlignment="0" applyProtection="0"/>
    <xf numFmtId="189" fontId="38" fillId="45" borderId="0" applyNumberFormat="0" applyBorder="0" applyAlignment="0" applyProtection="0"/>
    <xf numFmtId="189" fontId="40" fillId="46" borderId="0" applyNumberFormat="0" applyBorder="0" applyAlignment="0" applyProtection="0"/>
    <xf numFmtId="189" fontId="41" fillId="33" borderId="0" applyNumberFormat="0" applyBorder="0" applyAlignment="0" applyProtection="0"/>
    <xf numFmtId="0" fontId="40" fillId="33" borderId="0" applyNumberFormat="0" applyBorder="0" applyAlignment="0" applyProtection="0"/>
    <xf numFmtId="189" fontId="38" fillId="44" borderId="0" applyNumberFormat="0" applyBorder="0" applyAlignment="0" applyProtection="0"/>
    <xf numFmtId="189" fontId="38" fillId="47" borderId="0" applyNumberFormat="0" applyBorder="0" applyAlignment="0" applyProtection="0"/>
    <xf numFmtId="189" fontId="40" fillId="45" borderId="0" applyNumberFormat="0" applyBorder="0" applyAlignment="0" applyProtection="0"/>
    <xf numFmtId="189" fontId="41" fillId="34" borderId="0" applyNumberFormat="0" applyBorder="0" applyAlignment="0" applyProtection="0"/>
    <xf numFmtId="0" fontId="40" fillId="34" borderId="0" applyNumberFormat="0" applyBorder="0" applyAlignment="0" applyProtection="0"/>
    <xf numFmtId="189" fontId="38" fillId="42" borderId="0" applyNumberFormat="0" applyBorder="0" applyAlignment="0" applyProtection="0"/>
    <xf numFmtId="189" fontId="38" fillId="45" borderId="0" applyNumberFormat="0" applyBorder="0" applyAlignment="0" applyProtection="0"/>
    <xf numFmtId="189" fontId="40" fillId="45" borderId="0" applyNumberFormat="0" applyBorder="0" applyAlignment="0" applyProtection="0"/>
    <xf numFmtId="189" fontId="41" fillId="29" borderId="0" applyNumberFormat="0" applyBorder="0" applyAlignment="0" applyProtection="0"/>
    <xf numFmtId="0" fontId="40" fillId="29" borderId="0" applyNumberFormat="0" applyBorder="0" applyAlignment="0" applyProtection="0"/>
    <xf numFmtId="189" fontId="38" fillId="48" borderId="0" applyNumberFormat="0" applyBorder="0" applyAlignment="0" applyProtection="0"/>
    <xf numFmtId="189" fontId="38" fillId="42" borderId="0" applyNumberFormat="0" applyBorder="0" applyAlignment="0" applyProtection="0"/>
    <xf numFmtId="189" fontId="40" fillId="43" borderId="0" applyNumberFormat="0" applyBorder="0" applyAlignment="0" applyProtection="0"/>
    <xf numFmtId="189" fontId="41" fillId="30" borderId="0" applyNumberFormat="0" applyBorder="0" applyAlignment="0" applyProtection="0"/>
    <xf numFmtId="0" fontId="40" fillId="30" borderId="0" applyNumberFormat="0" applyBorder="0" applyAlignment="0" applyProtection="0"/>
    <xf numFmtId="189" fontId="38" fillId="44" borderId="0" applyNumberFormat="0" applyBorder="0" applyAlignment="0" applyProtection="0"/>
    <xf numFmtId="189" fontId="38" fillId="49" borderId="0" applyNumberFormat="0" applyBorder="0" applyAlignment="0" applyProtection="0"/>
    <xf numFmtId="189" fontId="40" fillId="49" borderId="0" applyNumberFormat="0" applyBorder="0" applyAlignment="0" applyProtection="0"/>
    <xf numFmtId="189" fontId="41" fillId="35" borderId="0" applyNumberFormat="0" applyBorder="0" applyAlignment="0" applyProtection="0"/>
    <xf numFmtId="0" fontId="40" fillId="35"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9" fontId="69" fillId="23" borderId="36" applyNumberFormat="0" applyAlignment="0" applyProtection="0"/>
    <xf numFmtId="0" fontId="70" fillId="23" borderId="36" applyNumberFormat="0" applyAlignment="0" applyProtection="0"/>
    <xf numFmtId="189" fontId="16" fillId="0" borderId="0"/>
    <xf numFmtId="0" fontId="16" fillId="0" borderId="0"/>
    <xf numFmtId="0" fontId="16" fillId="0" borderId="0"/>
    <xf numFmtId="0" fontId="16" fillId="0" borderId="0"/>
    <xf numFmtId="0" fontId="30" fillId="0" borderId="0"/>
    <xf numFmtId="0" fontId="37" fillId="0" borderId="0"/>
    <xf numFmtId="0" fontId="16" fillId="0" borderId="0"/>
    <xf numFmtId="0"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29" fillId="0" borderId="0"/>
    <xf numFmtId="0" fontId="30"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29"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xf numFmtId="189" fontId="16" fillId="0" borderId="0" applyFont="0" applyFill="0" applyBorder="0" applyAlignment="0" applyProtection="0"/>
    <xf numFmtId="202" fontId="16"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189" fontId="61" fillId="0" borderId="0" applyFont="0" applyFill="0" applyBorder="0" applyAlignment="0" applyProtection="0"/>
    <xf numFmtId="189" fontId="16" fillId="0" borderId="0" applyFont="0" applyFill="0" applyBorder="0" applyAlignment="0" applyProtection="0"/>
    <xf numFmtId="189" fontId="16" fillId="0" borderId="0" applyFont="0" applyFill="0" applyBorder="0" applyAlignment="0" applyProtection="0"/>
    <xf numFmtId="203" fontId="16" fillId="0" borderId="0" applyFont="0" applyFill="0" applyBorder="0" applyAlignment="0" applyProtection="0"/>
    <xf numFmtId="204" fontId="16"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189" fontId="65" fillId="0" borderId="0">
      <protection locked="0"/>
    </xf>
    <xf numFmtId="14" fontId="74" fillId="0" borderId="40" applyNumberFormat="0">
      <alignment horizontal="center" vertical="center"/>
    </xf>
    <xf numFmtId="205" fontId="75" fillId="0" borderId="0">
      <protection locked="0"/>
    </xf>
    <xf numFmtId="4" fontId="65" fillId="0" borderId="0">
      <protection locked="0"/>
    </xf>
    <xf numFmtId="2" fontId="62" fillId="0" borderId="0" applyFont="0" applyFill="0" applyBorder="0" applyAlignment="0" applyProtection="0"/>
    <xf numFmtId="0" fontId="76" fillId="0" borderId="0" applyNumberFormat="0" applyFill="0" applyBorder="0" applyAlignment="0" applyProtection="0">
      <alignment vertical="top"/>
      <protection locked="0"/>
    </xf>
    <xf numFmtId="0" fontId="50" fillId="20" borderId="0" applyNumberFormat="0" applyBorder="0" applyAlignment="0" applyProtection="0"/>
    <xf numFmtId="38" fontId="8" fillId="8" borderId="0" applyNumberFormat="0" applyBorder="0" applyAlignment="0" applyProtection="0"/>
    <xf numFmtId="38" fontId="8" fillId="8" borderId="0" applyNumberFormat="0" applyBorder="0" applyAlignment="0" applyProtection="0"/>
    <xf numFmtId="191" fontId="77" fillId="50" borderId="27" applyBorder="0" applyAlignment="0">
      <alignment horizontal="left" vertical="center" indent="1"/>
    </xf>
    <xf numFmtId="191" fontId="78" fillId="8" borderId="41" applyBorder="0">
      <alignment horizontal="left" vertical="center" indent="1"/>
    </xf>
    <xf numFmtId="37" fontId="77" fillId="50" borderId="27" applyBorder="0">
      <alignment horizontal="left" vertical="center" indent="1"/>
    </xf>
    <xf numFmtId="189" fontId="2" fillId="0" borderId="42" applyNumberFormat="0" applyAlignment="0" applyProtection="0">
      <alignment horizontal="left" vertical="center"/>
    </xf>
    <xf numFmtId="189" fontId="2" fillId="0" borderId="24">
      <alignment horizontal="left" vertical="center"/>
    </xf>
    <xf numFmtId="0" fontId="78" fillId="0" borderId="12" applyNumberFormat="0" applyFill="0">
      <alignment horizontal="centerContinuous" vertical="top"/>
    </xf>
    <xf numFmtId="0" fontId="79" fillId="36" borderId="43" applyNumberFormat="0" applyBorder="0">
      <alignment horizontal="left" vertical="center" indent="1"/>
    </xf>
    <xf numFmtId="0" fontId="80" fillId="0" borderId="23"/>
    <xf numFmtId="0" fontId="81" fillId="0" borderId="44" applyNumberFormat="0" applyFill="0" applyAlignment="0" applyProtection="0"/>
    <xf numFmtId="0" fontId="82" fillId="0" borderId="44" applyNumberFormat="0" applyFill="0" applyAlignment="0" applyProtection="0"/>
    <xf numFmtId="0" fontId="83" fillId="0" borderId="45" applyNumberFormat="0" applyFill="0" applyAlignment="0" applyProtection="0"/>
    <xf numFmtId="0" fontId="84" fillId="0" borderId="45" applyNumberFormat="0" applyFill="0" applyAlignment="0" applyProtection="0"/>
    <xf numFmtId="0" fontId="67" fillId="0" borderId="46" applyNumberFormat="0" applyFill="0" applyAlignment="0" applyProtection="0"/>
    <xf numFmtId="0" fontId="66" fillId="0" borderId="46" applyNumberFormat="0" applyFill="0" applyAlignment="0" applyProtection="0"/>
    <xf numFmtId="0" fontId="67" fillId="0" borderId="0" applyNumberFormat="0" applyFill="0" applyBorder="0" applyAlignment="0" applyProtection="0"/>
    <xf numFmtId="201" fontId="52" fillId="0" borderId="0">
      <protection locked="0"/>
    </xf>
    <xf numFmtId="201" fontId="52"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ont="0" applyFill="0" applyBorder="0" applyAlignment="0" applyProtection="0">
      <alignment vertical="top"/>
      <protection locked="0"/>
    </xf>
    <xf numFmtId="189" fontId="88" fillId="19" borderId="0" applyNumberFormat="0" applyBorder="0" applyAlignment="0" applyProtection="0"/>
    <xf numFmtId="0" fontId="46" fillId="19" borderId="0" applyNumberFormat="0" applyBorder="0" applyAlignment="0" applyProtection="0"/>
    <xf numFmtId="10" fontId="8" fillId="16" borderId="23" applyNumberFormat="0" applyBorder="0" applyAlignment="0" applyProtection="0"/>
    <xf numFmtId="10" fontId="8" fillId="16" borderId="23" applyNumberFormat="0" applyBorder="0" applyAlignment="0" applyProtection="0"/>
    <xf numFmtId="0" fontId="70" fillId="23" borderId="36" applyNumberFormat="0" applyAlignment="0" applyProtection="0"/>
    <xf numFmtId="0" fontId="70" fillId="23" borderId="36" applyNumberFormat="0" applyAlignment="0" applyProtection="0"/>
    <xf numFmtId="0" fontId="70" fillId="23" borderId="36" applyNumberFormat="0" applyAlignment="0" applyProtection="0"/>
    <xf numFmtId="0" fontId="70" fillId="23" borderId="36" applyNumberFormat="0" applyAlignment="0" applyProtection="0"/>
    <xf numFmtId="0" fontId="70" fillId="23" borderId="36" applyNumberFormat="0" applyAlignment="0" applyProtection="0"/>
    <xf numFmtId="0" fontId="70" fillId="23" borderId="36" applyNumberFormat="0" applyAlignment="0" applyProtection="0"/>
    <xf numFmtId="0" fontId="70" fillId="23" borderId="36" applyNumberFormat="0" applyAlignment="0" applyProtection="0"/>
    <xf numFmtId="0" fontId="70" fillId="23" borderId="36" applyNumberFormat="0" applyAlignment="0" applyProtection="0"/>
    <xf numFmtId="206" fontId="31" fillId="0" borderId="47"/>
    <xf numFmtId="206" fontId="31" fillId="0" borderId="47"/>
    <xf numFmtId="206" fontId="31" fillId="0" borderId="47"/>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59" fillId="0" borderId="38" applyNumberFormat="0" applyFill="0" applyAlignment="0" applyProtection="0"/>
    <xf numFmtId="0" fontId="74" fillId="0" borderId="40">
      <alignment horizontal="center" vertical="center"/>
    </xf>
    <xf numFmtId="207" fontId="89" fillId="0" borderId="28" applyNumberFormat="0" applyFill="0" applyBorder="0" applyAlignment="0" applyProtection="0">
      <alignment horizontal="center"/>
    </xf>
    <xf numFmtId="208" fontId="64" fillId="0" borderId="0" applyFont="0" applyFill="0" applyBorder="0" applyAlignment="0" applyProtection="0"/>
    <xf numFmtId="209" fontId="64" fillId="0" borderId="0" applyFont="0" applyFill="0" applyBorder="0" applyAlignment="0" applyProtection="0"/>
    <xf numFmtId="204" fontId="8" fillId="0" borderId="0" applyFont="0" applyFill="0" applyBorder="0" applyAlignment="0" applyProtection="0"/>
    <xf numFmtId="196"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96"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196" fontId="8" fillId="0" borderId="0" applyFont="0" applyFill="0" applyBorder="0" applyAlignment="0" applyProtection="0"/>
    <xf numFmtId="196" fontId="16" fillId="0" borderId="0" applyFont="0" applyFill="0" applyBorder="0" applyAlignment="0" applyProtection="0"/>
    <xf numFmtId="40" fontId="37" fillId="0" borderId="0" applyFont="0" applyFill="0" applyBorder="0" applyAlignment="0" applyProtection="0"/>
    <xf numFmtId="210" fontId="1" fillId="0" borderId="0" applyFont="0" applyFill="0" applyBorder="0" applyAlignment="0" applyProtection="0"/>
    <xf numFmtId="196" fontId="16" fillId="0" borderId="0" applyFont="0" applyFill="0" applyBorder="0" applyAlignment="0" applyProtection="0"/>
    <xf numFmtId="43" fontId="90" fillId="0" borderId="0" applyFont="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211" fontId="74" fillId="0" borderId="40">
      <alignment horizontal="center" vertical="center"/>
    </xf>
    <xf numFmtId="212" fontId="16" fillId="0" borderId="0" applyFont="0" applyFill="0" applyBorder="0" applyAlignment="0" applyProtection="0"/>
    <xf numFmtId="213" fontId="16" fillId="0" borderId="0" applyFont="0" applyFill="0" applyBorder="0" applyAlignment="0" applyProtection="0"/>
    <xf numFmtId="213" fontId="8" fillId="0" borderId="0" applyFont="0" applyFill="0" applyBorder="0" applyAlignment="0" applyProtection="0"/>
    <xf numFmtId="44" fontId="16" fillId="0" borderId="0" applyFont="0" applyFill="0" applyBorder="0" applyAlignment="0" applyProtection="0"/>
    <xf numFmtId="214" fontId="37" fillId="0" borderId="0" applyFont="0" applyFill="0" applyBorder="0" applyAlignment="0" applyProtection="0"/>
    <xf numFmtId="215" fontId="37" fillId="0" borderId="0" applyFont="0" applyFill="0" applyBorder="0" applyAlignment="0" applyProtection="0"/>
    <xf numFmtId="216" fontId="75" fillId="0" borderId="0">
      <protection locked="0"/>
    </xf>
    <xf numFmtId="217" fontId="75" fillId="0" borderId="0">
      <protection locked="0"/>
    </xf>
    <xf numFmtId="6" fontId="37" fillId="0" borderId="0" applyFont="0" applyFill="0" applyBorder="0" applyAlignment="0" applyProtection="0"/>
    <xf numFmtId="8" fontId="37" fillId="0" borderId="0" applyFont="0" applyFill="0" applyBorder="0" applyAlignment="0" applyProtection="0"/>
    <xf numFmtId="189" fontId="91" fillId="51" borderId="0" applyNumberFormat="0" applyBorder="0" applyAlignment="0" applyProtection="0"/>
    <xf numFmtId="189" fontId="92" fillId="51" borderId="0" applyNumberFormat="0" applyBorder="0" applyAlignment="0" applyProtection="0"/>
    <xf numFmtId="37" fontId="93" fillId="0" borderId="0"/>
    <xf numFmtId="0" fontId="44" fillId="0" borderId="0"/>
    <xf numFmtId="0" fontId="94" fillId="8" borderId="0">
      <alignment horizontal="left" indent="1"/>
    </xf>
    <xf numFmtId="218" fontId="95" fillId="0" borderId="0"/>
    <xf numFmtId="218" fontId="95" fillId="0" borderId="0"/>
    <xf numFmtId="219" fontId="16" fillId="0" borderId="0"/>
    <xf numFmtId="219" fontId="16" fillId="0" borderId="0"/>
    <xf numFmtId="219" fontId="16" fillId="0" borderId="0"/>
    <xf numFmtId="189" fontId="1" fillId="0" borderId="0"/>
    <xf numFmtId="0" fontId="16" fillId="0" borderId="0"/>
    <xf numFmtId="0" fontId="1" fillId="0" borderId="0"/>
    <xf numFmtId="203" fontId="16" fillId="0" borderId="0"/>
    <xf numFmtId="189" fontId="1" fillId="0" borderId="0"/>
    <xf numFmtId="0" fontId="16" fillId="0" borderId="0"/>
    <xf numFmtId="0" fontId="37" fillId="0" borderId="0"/>
    <xf numFmtId="0" fontId="38" fillId="0" borderId="0"/>
    <xf numFmtId="189" fontId="1" fillId="0" borderId="0"/>
    <xf numFmtId="0" fontId="16" fillId="0" borderId="0"/>
    <xf numFmtId="0" fontId="38" fillId="0" borderId="0"/>
    <xf numFmtId="189" fontId="1" fillId="0" borderId="0"/>
    <xf numFmtId="0" fontId="16" fillId="0" borderId="0"/>
    <xf numFmtId="189" fontId="1" fillId="0" borderId="0"/>
    <xf numFmtId="0" fontId="16" fillId="0" borderId="0"/>
    <xf numFmtId="189" fontId="1" fillId="0" borderId="0"/>
    <xf numFmtId="0" fontId="16" fillId="0" borderId="0"/>
    <xf numFmtId="189" fontId="1" fillId="0" borderId="0"/>
    <xf numFmtId="0" fontId="16" fillId="0" borderId="0"/>
    <xf numFmtId="189" fontId="1" fillId="0" borderId="0"/>
    <xf numFmtId="0" fontId="16" fillId="0" borderId="0"/>
    <xf numFmtId="189" fontId="1" fillId="0" borderId="0"/>
    <xf numFmtId="0" fontId="38" fillId="0" borderId="0"/>
    <xf numFmtId="0" fontId="16" fillId="0" borderId="0"/>
    <xf numFmtId="189" fontId="1" fillId="0" borderId="0"/>
    <xf numFmtId="0" fontId="16" fillId="0" borderId="0"/>
    <xf numFmtId="189" fontId="16" fillId="0" borderId="0"/>
    <xf numFmtId="0" fontId="16" fillId="0" borderId="0"/>
    <xf numFmtId="189" fontId="1" fillId="0" borderId="0"/>
    <xf numFmtId="0" fontId="38" fillId="0" borderId="0"/>
    <xf numFmtId="189" fontId="8" fillId="0" borderId="0"/>
    <xf numFmtId="0" fontId="16" fillId="0" borderId="0"/>
    <xf numFmtId="0" fontId="16" fillId="0" borderId="0"/>
    <xf numFmtId="0" fontId="16" fillId="0" borderId="0"/>
    <xf numFmtId="0" fontId="16" fillId="0" borderId="0"/>
    <xf numFmtId="0" fontId="16"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8" fillId="0" borderId="0"/>
    <xf numFmtId="0" fontId="16"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applyNumberFormat="0" applyFill="0" applyBorder="0" applyAlignment="0" applyProtection="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37" fillId="0" borderId="0"/>
    <xf numFmtId="0" fontId="16" fillId="0" borderId="0"/>
    <xf numFmtId="0" fontId="16" fillId="0" borderId="0"/>
    <xf numFmtId="0" fontId="38" fillId="0" borderId="0"/>
    <xf numFmtId="0" fontId="38" fillId="0" borderId="0"/>
    <xf numFmtId="0" fontId="38" fillId="0" borderId="0"/>
    <xf numFmtId="0" fontId="16" fillId="0" borderId="0"/>
    <xf numFmtId="0" fontId="16" fillId="0" borderId="0"/>
    <xf numFmtId="0" fontId="32" fillId="0" borderId="0"/>
    <xf numFmtId="0" fontId="32" fillId="0" borderId="0"/>
    <xf numFmtId="0" fontId="16" fillId="0" borderId="0"/>
    <xf numFmtId="0" fontId="32" fillId="0" borderId="0"/>
    <xf numFmtId="0" fontId="16" fillId="0" borderId="0"/>
    <xf numFmtId="0" fontId="32" fillId="0" borderId="0"/>
    <xf numFmtId="0" fontId="32" fillId="0" borderId="0"/>
    <xf numFmtId="0" fontId="16" fillId="0" borderId="0"/>
    <xf numFmtId="189" fontId="1" fillId="0" borderId="0"/>
    <xf numFmtId="0" fontId="37" fillId="0" borderId="0"/>
    <xf numFmtId="0" fontId="16" fillId="0" borderId="0"/>
    <xf numFmtId="0" fontId="16" fillId="0" borderId="0"/>
    <xf numFmtId="0" fontId="32" fillId="0" borderId="0"/>
    <xf numFmtId="0" fontId="16" fillId="0" borderId="0"/>
    <xf numFmtId="0" fontId="16" fillId="0" borderId="0"/>
    <xf numFmtId="0" fontId="16" fillId="0" borderId="0"/>
    <xf numFmtId="0" fontId="16" fillId="0" borderId="0"/>
    <xf numFmtId="0" fontId="16" fillId="0" borderId="0"/>
    <xf numFmtId="0" fontId="32" fillId="0" borderId="0"/>
    <xf numFmtId="0" fontId="16" fillId="0" borderId="0"/>
    <xf numFmtId="0" fontId="16" fillId="0" borderId="0"/>
    <xf numFmtId="0" fontId="16" fillId="0" borderId="0"/>
    <xf numFmtId="189" fontId="1" fillId="0" borderId="0"/>
    <xf numFmtId="0" fontId="37" fillId="0" borderId="0"/>
    <xf numFmtId="0" fontId="16" fillId="0" borderId="0"/>
    <xf numFmtId="0" fontId="16" fillId="0" borderId="0"/>
    <xf numFmtId="0" fontId="32" fillId="0" borderId="0"/>
    <xf numFmtId="0" fontId="16" fillId="0" borderId="0"/>
    <xf numFmtId="0" fontId="96" fillId="0" borderId="0"/>
    <xf numFmtId="0" fontId="16" fillId="0" borderId="0"/>
    <xf numFmtId="0" fontId="16" fillId="0" borderId="0"/>
    <xf numFmtId="0" fontId="16" fillId="0" borderId="0"/>
    <xf numFmtId="0" fontId="16" fillId="0" borderId="0"/>
    <xf numFmtId="0" fontId="16" fillId="0" borderId="0"/>
    <xf numFmtId="0" fontId="16" fillId="0" borderId="0"/>
    <xf numFmtId="0" fontId="97" fillId="0" borderId="0"/>
    <xf numFmtId="0" fontId="97" fillId="0" borderId="0"/>
    <xf numFmtId="189" fontId="1" fillId="0" borderId="0"/>
    <xf numFmtId="0" fontId="37" fillId="0" borderId="0"/>
    <xf numFmtId="0" fontId="16" fillId="0" borderId="0"/>
    <xf numFmtId="0" fontId="16" fillId="0" borderId="0"/>
    <xf numFmtId="0" fontId="32" fillId="0" borderId="0"/>
    <xf numFmtId="0" fontId="38"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189" fontId="38" fillId="0" borderId="0"/>
    <xf numFmtId="0" fontId="16" fillId="0" borderId="0"/>
    <xf numFmtId="0" fontId="37" fillId="0" borderId="0"/>
    <xf numFmtId="0" fontId="32" fillId="0" borderId="0"/>
    <xf numFmtId="0" fontId="32" fillId="0" borderId="0"/>
    <xf numFmtId="0" fontId="98" fillId="0" borderId="0"/>
    <xf numFmtId="37" fontId="37" fillId="0" borderId="0"/>
    <xf numFmtId="0" fontId="16" fillId="0" borderId="0"/>
    <xf numFmtId="189" fontId="1" fillId="0" borderId="0"/>
    <xf numFmtId="0" fontId="16" fillId="0" borderId="0"/>
    <xf numFmtId="0" fontId="37" fillId="0" borderId="0"/>
    <xf numFmtId="0" fontId="32" fillId="0" borderId="0"/>
    <xf numFmtId="0" fontId="16" fillId="0" borderId="0"/>
    <xf numFmtId="189" fontId="64" fillId="0" borderId="0"/>
    <xf numFmtId="189" fontId="16" fillId="52" borderId="48" applyNumberFormat="0" applyFont="0" applyAlignment="0" applyProtection="0"/>
    <xf numFmtId="0" fontId="16" fillId="52" borderId="48" applyNumberFormat="0" applyFont="0" applyAlignment="0" applyProtection="0"/>
    <xf numFmtId="0" fontId="16" fillId="52" borderId="48" applyNumberFormat="0" applyFont="0" applyAlignment="0" applyProtection="0"/>
    <xf numFmtId="0" fontId="16" fillId="52" borderId="48" applyNumberFormat="0" applyFont="0" applyAlignment="0" applyProtection="0"/>
    <xf numFmtId="0" fontId="16" fillId="52" borderId="48" applyNumberFormat="0" applyFont="0" applyAlignment="0" applyProtection="0"/>
    <xf numFmtId="0" fontId="16" fillId="52" borderId="48" applyNumberFormat="0" applyFont="0" applyAlignment="0" applyProtection="0"/>
    <xf numFmtId="0" fontId="16" fillId="52" borderId="48" applyNumberFormat="0" applyFont="0" applyAlignment="0" applyProtection="0"/>
    <xf numFmtId="0" fontId="99" fillId="52" borderId="48" applyNumberFormat="0" applyFont="0" applyAlignment="0" applyProtection="0"/>
    <xf numFmtId="211" fontId="74" fillId="0" borderId="40">
      <alignment horizontal="center" vertical="center"/>
    </xf>
    <xf numFmtId="0" fontId="100" fillId="37" borderId="49" applyNumberFormat="0" applyAlignment="0" applyProtection="0"/>
    <xf numFmtId="0" fontId="101" fillId="37" borderId="49" applyNumberFormat="0" applyAlignment="0" applyProtection="0"/>
    <xf numFmtId="220" fontId="102" fillId="53" borderId="0" applyNumberFormat="0" applyFont="0" applyBorder="0" applyAlignment="0" applyProtection="0"/>
    <xf numFmtId="189" fontId="103" fillId="0" borderId="0"/>
    <xf numFmtId="0" fontId="37" fillId="0" borderId="0" applyFont="0" applyFill="0" applyBorder="0" applyAlignment="0" applyProtection="0"/>
    <xf numFmtId="0" fontId="104"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1" fontId="32" fillId="0" borderId="0" applyFont="0" applyFill="0" applyBorder="0" applyAlignment="0" applyProtection="0"/>
    <xf numFmtId="9" fontId="61" fillId="0" borderId="0" applyFont="0" applyFill="0" applyBorder="0" applyAlignment="0" applyProtection="0"/>
    <xf numFmtId="9" fontId="16" fillId="0" borderId="0" applyFont="0" applyFill="0" applyBorder="0" applyAlignment="0" applyProtection="0"/>
    <xf numFmtId="221" fontId="3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2" fontId="75" fillId="0" borderId="0">
      <protection locked="0"/>
    </xf>
    <xf numFmtId="9" fontId="16" fillId="0" borderId="0"/>
    <xf numFmtId="9" fontId="16" fillId="0" borderId="0"/>
    <xf numFmtId="9" fontId="16" fillId="0" borderId="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38" fillId="0" borderId="0" applyFont="0" applyFill="0" applyBorder="0" applyAlignment="0" applyProtection="0"/>
    <xf numFmtId="9" fontId="1" fillId="0" borderId="0" applyFont="0" applyFill="0" applyBorder="0" applyAlignment="0" applyProtection="0"/>
    <xf numFmtId="224" fontId="105" fillId="0"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106" fillId="8" borderId="0"/>
    <xf numFmtId="0" fontId="107" fillId="13" borderId="0">
      <alignment horizontal="left" indent="1"/>
    </xf>
    <xf numFmtId="189" fontId="16" fillId="0" borderId="0" applyFont="0" applyFill="0" applyBorder="0" applyAlignment="0" applyProtection="0"/>
    <xf numFmtId="0" fontId="37" fillId="0" borderId="0" applyNumberFormat="0" applyFont="0" applyFill="0" applyBorder="0" applyAlignment="0" applyProtection="0">
      <alignment horizontal="left"/>
    </xf>
    <xf numFmtId="15" fontId="37" fillId="0" borderId="0" applyFont="0" applyFill="0" applyBorder="0" applyAlignment="0" applyProtection="0"/>
    <xf numFmtId="4" fontId="37" fillId="0" borderId="0" applyFont="0" applyFill="0" applyBorder="0" applyAlignment="0" applyProtection="0"/>
    <xf numFmtId="0" fontId="108" fillId="0" borderId="12">
      <alignment horizontal="center"/>
    </xf>
    <xf numFmtId="3" fontId="37" fillId="0" borderId="0" applyFont="0" applyFill="0" applyBorder="0" applyAlignment="0" applyProtection="0"/>
    <xf numFmtId="0" fontId="37" fillId="54" borderId="0" applyNumberFormat="0" applyFont="0" applyBorder="0" applyAlignment="0" applyProtection="0"/>
    <xf numFmtId="225" fontId="75" fillId="0" borderId="0">
      <protection locked="0"/>
    </xf>
    <xf numFmtId="226" fontId="75" fillId="0" borderId="0">
      <protection locked="0"/>
    </xf>
    <xf numFmtId="38" fontId="16" fillId="0" borderId="0"/>
    <xf numFmtId="38" fontId="16" fillId="0" borderId="0"/>
    <xf numFmtId="38" fontId="16" fillId="0" borderId="0"/>
    <xf numFmtId="38" fontId="16" fillId="0" borderId="0"/>
    <xf numFmtId="38" fontId="16" fillId="0" borderId="0"/>
    <xf numFmtId="189" fontId="109" fillId="37" borderId="49" applyNumberFormat="0" applyAlignment="0" applyProtection="0"/>
    <xf numFmtId="0" fontId="100" fillId="37" borderId="49" applyNumberFormat="0" applyAlignment="0" applyProtection="0"/>
    <xf numFmtId="4" fontId="32" fillId="55" borderId="49" applyNumberFormat="0" applyProtection="0">
      <alignment vertical="center"/>
    </xf>
    <xf numFmtId="4" fontId="32" fillId="55" borderId="49" applyNumberFormat="0" applyProtection="0">
      <alignment vertical="center"/>
    </xf>
    <xf numFmtId="4" fontId="110" fillId="55" borderId="49" applyNumberFormat="0" applyProtection="0">
      <alignment vertical="center"/>
    </xf>
    <xf numFmtId="4" fontId="32" fillId="55" borderId="49" applyNumberFormat="0" applyProtection="0">
      <alignment horizontal="left" vertical="center" indent="1"/>
    </xf>
    <xf numFmtId="4" fontId="32" fillId="55" borderId="49" applyNumberFormat="0" applyProtection="0">
      <alignment horizontal="left" vertical="center" indent="1"/>
    </xf>
    <xf numFmtId="4" fontId="32" fillId="55" borderId="49" applyNumberFormat="0" applyProtection="0">
      <alignment horizontal="left" vertical="center" indent="1"/>
    </xf>
    <xf numFmtId="4" fontId="32" fillId="55"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0" fontId="16" fillId="56" borderId="49" applyNumberFormat="0" applyProtection="0">
      <alignment horizontal="left" vertical="center" indent="1"/>
    </xf>
    <xf numFmtId="0" fontId="16" fillId="56" borderId="49" applyNumberFormat="0" applyProtection="0">
      <alignment horizontal="left" vertical="center" indent="1"/>
    </xf>
    <xf numFmtId="0" fontId="16" fillId="56" borderId="49" applyNumberFormat="0" applyProtection="0">
      <alignment horizontal="left" vertical="center" indent="1"/>
    </xf>
    <xf numFmtId="4" fontId="32" fillId="57" borderId="49" applyNumberFormat="0" applyProtection="0">
      <alignment horizontal="right" vertical="center"/>
    </xf>
    <xf numFmtId="4" fontId="32" fillId="57" borderId="49" applyNumberFormat="0" applyProtection="0">
      <alignment horizontal="right" vertical="center"/>
    </xf>
    <xf numFmtId="4" fontId="32" fillId="58" borderId="49" applyNumberFormat="0" applyProtection="0">
      <alignment horizontal="right" vertical="center"/>
    </xf>
    <xf numFmtId="4" fontId="32" fillId="58" borderId="49" applyNumberFormat="0" applyProtection="0">
      <alignment horizontal="right" vertical="center"/>
    </xf>
    <xf numFmtId="4" fontId="32" fillId="12" borderId="49" applyNumberFormat="0" applyProtection="0">
      <alignment horizontal="right" vertical="center"/>
    </xf>
    <xf numFmtId="4" fontId="32" fillId="12" borderId="49" applyNumberFormat="0" applyProtection="0">
      <alignment horizontal="right" vertical="center"/>
    </xf>
    <xf numFmtId="4" fontId="32" fillId="7" borderId="49" applyNumberFormat="0" applyProtection="0">
      <alignment horizontal="right" vertical="center"/>
    </xf>
    <xf numFmtId="4" fontId="32" fillId="7" borderId="49" applyNumberFormat="0" applyProtection="0">
      <alignment horizontal="right" vertical="center"/>
    </xf>
    <xf numFmtId="4" fontId="32" fillId="59" borderId="49" applyNumberFormat="0" applyProtection="0">
      <alignment horizontal="right" vertical="center"/>
    </xf>
    <xf numFmtId="4" fontId="32" fillId="59" borderId="49" applyNumberFormat="0" applyProtection="0">
      <alignment horizontal="right" vertical="center"/>
    </xf>
    <xf numFmtId="4" fontId="32" fillId="60" borderId="49" applyNumberFormat="0" applyProtection="0">
      <alignment horizontal="right" vertical="center"/>
    </xf>
    <xf numFmtId="4" fontId="32" fillId="60" borderId="49" applyNumberFormat="0" applyProtection="0">
      <alignment horizontal="right" vertical="center"/>
    </xf>
    <xf numFmtId="4" fontId="32" fillId="61" borderId="49" applyNumberFormat="0" applyProtection="0">
      <alignment horizontal="right" vertical="center"/>
    </xf>
    <xf numFmtId="4" fontId="32" fillId="61" borderId="49" applyNumberFormat="0" applyProtection="0">
      <alignment horizontal="right" vertical="center"/>
    </xf>
    <xf numFmtId="4" fontId="32" fillId="62" borderId="49" applyNumberFormat="0" applyProtection="0">
      <alignment horizontal="right" vertical="center"/>
    </xf>
    <xf numFmtId="4" fontId="32" fillId="62" borderId="49" applyNumberFormat="0" applyProtection="0">
      <alignment horizontal="right" vertical="center"/>
    </xf>
    <xf numFmtId="4" fontId="32" fillId="6" borderId="49" applyNumberFormat="0" applyProtection="0">
      <alignment horizontal="right" vertical="center"/>
    </xf>
    <xf numFmtId="4" fontId="32" fillId="6" borderId="49" applyNumberFormat="0" applyProtection="0">
      <alignment horizontal="right" vertical="center"/>
    </xf>
    <xf numFmtId="4" fontId="111" fillId="63" borderId="49" applyNumberFormat="0" applyProtection="0">
      <alignment horizontal="left" vertical="center" indent="1"/>
    </xf>
    <xf numFmtId="4" fontId="32" fillId="64" borderId="50" applyNumberFormat="0" applyProtection="0">
      <alignment horizontal="left" vertical="center" indent="1"/>
    </xf>
    <xf numFmtId="4" fontId="32" fillId="64" borderId="50" applyNumberFormat="0" applyProtection="0">
      <alignment horizontal="left" vertical="center" indent="1"/>
    </xf>
    <xf numFmtId="4" fontId="112" fillId="14" borderId="0"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4" fontId="32" fillId="64" borderId="49" applyNumberFormat="0" applyProtection="0">
      <alignment horizontal="left" vertical="center" indent="1"/>
    </xf>
    <xf numFmtId="4" fontId="32" fillId="64" borderId="49" applyNumberFormat="0" applyProtection="0">
      <alignment horizontal="left" vertical="center" indent="1"/>
    </xf>
    <xf numFmtId="4" fontId="32" fillId="64" borderId="49" applyNumberFormat="0" applyProtection="0">
      <alignment horizontal="left" vertical="center" indent="1"/>
    </xf>
    <xf numFmtId="4" fontId="32" fillId="65" borderId="49" applyNumberFormat="0" applyProtection="0">
      <alignment horizontal="left" vertical="center" indent="1"/>
    </xf>
    <xf numFmtId="4" fontId="32" fillId="65" borderId="49" applyNumberFormat="0" applyProtection="0">
      <alignment horizontal="left" vertical="center" indent="1"/>
    </xf>
    <xf numFmtId="4" fontId="32" fillId="65" borderId="49" applyNumberFormat="0" applyProtection="0">
      <alignment horizontal="left" vertical="center" indent="1"/>
    </xf>
    <xf numFmtId="189" fontId="16" fillId="65" borderId="49" applyNumberFormat="0" applyProtection="0">
      <alignment horizontal="left" vertical="center" indent="1"/>
    </xf>
    <xf numFmtId="189" fontId="16" fillId="65" borderId="49" applyNumberFormat="0" applyProtection="0">
      <alignment horizontal="left" vertical="center" indent="1"/>
    </xf>
    <xf numFmtId="189" fontId="16" fillId="65" borderId="49" applyNumberFormat="0" applyProtection="0">
      <alignment horizontal="left" vertical="center" indent="1"/>
    </xf>
    <xf numFmtId="189" fontId="16" fillId="65" borderId="49" applyNumberFormat="0" applyProtection="0">
      <alignment horizontal="left" vertical="center" indent="1"/>
    </xf>
    <xf numFmtId="189" fontId="16" fillId="65" borderId="49" applyNumberFormat="0" applyProtection="0">
      <alignment horizontal="left" vertical="center" indent="1"/>
    </xf>
    <xf numFmtId="189" fontId="16" fillId="65" borderId="49" applyNumberFormat="0" applyProtection="0">
      <alignment horizontal="left" vertical="center" indent="1"/>
    </xf>
    <xf numFmtId="0" fontId="16" fillId="65" borderId="49" applyNumberFormat="0" applyProtection="0">
      <alignment horizontal="left" vertical="center" indent="1"/>
    </xf>
    <xf numFmtId="189" fontId="16" fillId="13" borderId="49" applyNumberFormat="0" applyProtection="0">
      <alignment horizontal="left" vertical="center" indent="1"/>
    </xf>
    <xf numFmtId="189" fontId="16" fillId="13" borderId="49" applyNumberFormat="0" applyProtection="0">
      <alignment horizontal="left" vertical="center" indent="1"/>
    </xf>
    <xf numFmtId="189" fontId="16" fillId="13" borderId="49" applyNumberFormat="0" applyProtection="0">
      <alignment horizontal="left" vertical="center" indent="1"/>
    </xf>
    <xf numFmtId="189" fontId="16" fillId="13" borderId="49" applyNumberFormat="0" applyProtection="0">
      <alignment horizontal="left" vertical="center" indent="1"/>
    </xf>
    <xf numFmtId="189" fontId="16" fillId="13" borderId="49" applyNumberFormat="0" applyProtection="0">
      <alignment horizontal="left" vertical="center" indent="1"/>
    </xf>
    <xf numFmtId="189" fontId="16" fillId="13" borderId="49" applyNumberFormat="0" applyProtection="0">
      <alignment horizontal="left" vertical="center" indent="1"/>
    </xf>
    <xf numFmtId="189" fontId="16" fillId="8" borderId="49" applyNumberFormat="0" applyProtection="0">
      <alignment horizontal="left" vertical="center" indent="1"/>
    </xf>
    <xf numFmtId="189" fontId="16" fillId="8" borderId="49" applyNumberFormat="0" applyProtection="0">
      <alignment horizontal="left" vertical="center" indent="1"/>
    </xf>
    <xf numFmtId="189" fontId="16" fillId="8" borderId="49" applyNumberFormat="0" applyProtection="0">
      <alignment horizontal="left" vertical="center" indent="1"/>
    </xf>
    <xf numFmtId="189" fontId="16" fillId="8" borderId="49" applyNumberFormat="0" applyProtection="0">
      <alignment horizontal="left" vertical="center" indent="1"/>
    </xf>
    <xf numFmtId="189" fontId="16" fillId="8" borderId="49" applyNumberFormat="0" applyProtection="0">
      <alignment horizontal="left" vertical="center" indent="1"/>
    </xf>
    <xf numFmtId="189" fontId="16" fillId="8"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4" fontId="32" fillId="16" borderId="49" applyNumberFormat="0" applyProtection="0">
      <alignment vertical="center"/>
    </xf>
    <xf numFmtId="4" fontId="32" fillId="16" borderId="49" applyNumberFormat="0" applyProtection="0">
      <alignment vertical="center"/>
    </xf>
    <xf numFmtId="4" fontId="110" fillId="16" borderId="49" applyNumberFormat="0" applyProtection="0">
      <alignment vertical="center"/>
    </xf>
    <xf numFmtId="4" fontId="32" fillId="16" borderId="49" applyNumberFormat="0" applyProtection="0">
      <alignment horizontal="left" vertical="center" indent="1"/>
    </xf>
    <xf numFmtId="4" fontId="32" fillId="16" borderId="49" applyNumberFormat="0" applyProtection="0">
      <alignment horizontal="left" vertical="center" indent="1"/>
    </xf>
    <xf numFmtId="4" fontId="32" fillId="16" borderId="49" applyNumberFormat="0" applyProtection="0">
      <alignment horizontal="left" vertical="center" indent="1"/>
    </xf>
    <xf numFmtId="4" fontId="32" fillId="16" borderId="49" applyNumberFormat="0" applyProtection="0">
      <alignment horizontal="left" vertical="center" indent="1"/>
    </xf>
    <xf numFmtId="4" fontId="32" fillId="64" borderId="49" applyNumberFormat="0" applyProtection="0">
      <alignment horizontal="right" vertical="center"/>
    </xf>
    <xf numFmtId="4" fontId="32" fillId="64" borderId="49" applyNumberFormat="0" applyProtection="0">
      <alignment horizontal="right" vertical="center"/>
    </xf>
    <xf numFmtId="4" fontId="32" fillId="64" borderId="49" applyNumberFormat="0" applyProtection="0">
      <alignment horizontal="right" vertical="center"/>
    </xf>
    <xf numFmtId="4" fontId="110" fillId="64" borderId="49" applyNumberFormat="0" applyProtection="0">
      <alignment horizontal="right" vertical="center"/>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0" fontId="16" fillId="56" borderId="49" applyNumberFormat="0" applyProtection="0">
      <alignment horizontal="left" vertical="center" indent="1"/>
    </xf>
    <xf numFmtId="0" fontId="16" fillId="56" borderId="49" applyNumberFormat="0" applyProtection="0">
      <alignment horizontal="left" vertical="center" indent="1"/>
    </xf>
    <xf numFmtId="0"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189" fontId="16" fillId="56" borderId="49" applyNumberFormat="0" applyProtection="0">
      <alignment horizontal="left" vertical="center" indent="1"/>
    </xf>
    <xf numFmtId="0" fontId="16" fillId="56" borderId="49" applyNumberFormat="0" applyProtection="0">
      <alignment horizontal="left" vertical="center" indent="1"/>
    </xf>
    <xf numFmtId="0" fontId="16" fillId="56" borderId="49" applyNumberFormat="0" applyProtection="0">
      <alignment horizontal="left" vertical="center" indent="1"/>
    </xf>
    <xf numFmtId="189" fontId="113" fillId="0" borderId="0"/>
    <xf numFmtId="4" fontId="114" fillId="64" borderId="49" applyNumberFormat="0" applyProtection="0">
      <alignment horizontal="right" vertical="center"/>
    </xf>
    <xf numFmtId="189" fontId="16" fillId="52" borderId="0" applyNumberFormat="0" applyFont="0" applyBorder="0" applyAlignment="0" applyProtection="0"/>
    <xf numFmtId="189" fontId="16" fillId="52" borderId="0" applyNumberFormat="0" applyFont="0" applyBorder="0" applyAlignment="0" applyProtection="0"/>
    <xf numFmtId="189" fontId="16" fillId="52" borderId="0" applyNumberFormat="0" applyFont="0" applyBorder="0" applyAlignment="0" applyProtection="0"/>
    <xf numFmtId="189" fontId="16" fillId="66" borderId="0" applyNumberFormat="0" applyFont="0" applyBorder="0" applyAlignment="0" applyProtection="0"/>
    <xf numFmtId="189" fontId="16" fillId="66" borderId="0" applyNumberFormat="0" applyFont="0" applyBorder="0" applyAlignment="0" applyProtection="0"/>
    <xf numFmtId="189" fontId="16" fillId="66" borderId="0" applyNumberFormat="0" applyFont="0" applyBorder="0" applyAlignment="0" applyProtection="0"/>
    <xf numFmtId="189" fontId="16" fillId="37" borderId="0" applyNumberFormat="0" applyFont="0" applyBorder="0" applyAlignment="0" applyProtection="0"/>
    <xf numFmtId="189" fontId="16" fillId="37" borderId="0" applyNumberFormat="0" applyFont="0" applyBorder="0" applyAlignment="0" applyProtection="0"/>
    <xf numFmtId="189" fontId="16" fillId="37" borderId="0" applyNumberFormat="0" applyFont="0" applyBorder="0" applyAlignment="0" applyProtection="0"/>
    <xf numFmtId="189" fontId="16" fillId="0" borderId="0" applyNumberFormat="0" applyFont="0" applyFill="0" applyBorder="0" applyAlignment="0" applyProtection="0"/>
    <xf numFmtId="189" fontId="16" fillId="0" borderId="0" applyNumberFormat="0" applyFont="0" applyFill="0" applyBorder="0" applyAlignment="0" applyProtection="0"/>
    <xf numFmtId="189" fontId="16" fillId="0" borderId="0" applyNumberFormat="0" applyFont="0" applyFill="0" applyBorder="0" applyAlignment="0" applyProtection="0"/>
    <xf numFmtId="189" fontId="16" fillId="37" borderId="0" applyNumberFormat="0" applyFont="0" applyBorder="0" applyAlignment="0" applyProtection="0"/>
    <xf numFmtId="189" fontId="16" fillId="37" borderId="0" applyNumberFormat="0" applyFont="0" applyBorder="0" applyAlignment="0" applyProtection="0"/>
    <xf numFmtId="189" fontId="16" fillId="37" borderId="0" applyNumberFormat="0" applyFont="0" applyBorder="0" applyAlignment="0" applyProtection="0"/>
    <xf numFmtId="189" fontId="16" fillId="0" borderId="0" applyNumberFormat="0" applyFont="0" applyFill="0" applyBorder="0" applyAlignment="0" applyProtection="0"/>
    <xf numFmtId="189" fontId="16" fillId="0" borderId="0" applyNumberFormat="0" applyFont="0" applyFill="0" applyBorder="0" applyAlignment="0" applyProtection="0"/>
    <xf numFmtId="189" fontId="16" fillId="0" borderId="0" applyNumberFormat="0" applyFont="0" applyFill="0" applyBorder="0" applyAlignment="0" applyProtection="0"/>
    <xf numFmtId="189" fontId="16" fillId="0" borderId="0" applyNumberFormat="0" applyFont="0" applyBorder="0" applyAlignment="0" applyProtection="0"/>
    <xf numFmtId="189" fontId="16" fillId="0" borderId="0" applyNumberFormat="0" applyFont="0" applyBorder="0" applyAlignment="0" applyProtection="0"/>
    <xf numFmtId="189" fontId="16" fillId="0" borderId="0" applyNumberFormat="0" applyFont="0" applyBorder="0" applyAlignment="0" applyProtection="0"/>
    <xf numFmtId="227" fontId="16" fillId="0" borderId="0" applyFont="0" applyFill="0" applyBorder="0" applyAlignment="0" applyProtection="0"/>
    <xf numFmtId="43" fontId="115" fillId="0" borderId="0" applyFont="0" applyFill="0" applyBorder="0" applyAlignment="0" applyProtection="0"/>
    <xf numFmtId="43" fontId="16" fillId="0" borderId="0" applyFont="0" applyFill="0" applyBorder="0" applyAlignment="0" applyProtection="0"/>
    <xf numFmtId="228" fontId="116" fillId="0" borderId="0" applyFont="0" applyFill="0" applyBorder="0" applyAlignment="0" applyProtection="0"/>
    <xf numFmtId="189" fontId="27" fillId="0" borderId="0"/>
    <xf numFmtId="189" fontId="16" fillId="0" borderId="0"/>
    <xf numFmtId="189" fontId="16" fillId="0" borderId="0"/>
    <xf numFmtId="189"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16" fillId="0" borderId="0"/>
    <xf numFmtId="0" fontId="30"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16" fillId="0" borderId="0"/>
    <xf numFmtId="0" fontId="30"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30"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16"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29" fillId="0" borderId="0"/>
    <xf numFmtId="0" fontId="16" fillId="0" borderId="0"/>
    <xf numFmtId="0" fontId="29" fillId="0" borderId="0"/>
    <xf numFmtId="0" fontId="16" fillId="0" borderId="0"/>
    <xf numFmtId="0" fontId="16" fillId="0" borderId="0"/>
    <xf numFmtId="0" fontId="29" fillId="0" borderId="0"/>
    <xf numFmtId="0" fontId="16" fillId="0" borderId="0"/>
    <xf numFmtId="0" fontId="16" fillId="0" borderId="0"/>
    <xf numFmtId="0" fontId="30" fillId="0" borderId="0"/>
    <xf numFmtId="0" fontId="29" fillId="0" borderId="0"/>
    <xf numFmtId="0" fontId="16" fillId="0" borderId="0"/>
    <xf numFmtId="0" fontId="29" fillId="0" borderId="0"/>
    <xf numFmtId="0" fontId="29" fillId="0" borderId="0"/>
    <xf numFmtId="0" fontId="16"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29" fillId="0" borderId="0"/>
    <xf numFmtId="0" fontId="30" fillId="0" borderId="0"/>
    <xf numFmtId="0" fontId="29" fillId="0" borderId="0"/>
    <xf numFmtId="0" fontId="16" fillId="0" borderId="0"/>
    <xf numFmtId="0" fontId="16" fillId="0" borderId="0"/>
    <xf numFmtId="0" fontId="30" fillId="0" borderId="0"/>
    <xf numFmtId="0" fontId="16" fillId="0" borderId="0"/>
    <xf numFmtId="0" fontId="16" fillId="0" borderId="0"/>
    <xf numFmtId="0" fontId="16" fillId="0" borderId="0"/>
    <xf numFmtId="0" fontId="29" fillId="0" borderId="0"/>
    <xf numFmtId="0" fontId="16" fillId="0" borderId="0"/>
    <xf numFmtId="0" fontId="30" fillId="0" borderId="0"/>
    <xf numFmtId="0" fontId="29" fillId="0" borderId="0"/>
    <xf numFmtId="0" fontId="16" fillId="0" borderId="0"/>
    <xf numFmtId="0" fontId="29"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16" fillId="0" borderId="0"/>
    <xf numFmtId="0" fontId="16" fillId="0" borderId="0"/>
    <xf numFmtId="0" fontId="16" fillId="0" borderId="0"/>
    <xf numFmtId="0" fontId="16" fillId="0" borderId="0"/>
    <xf numFmtId="0" fontId="16" fillId="0" borderId="0"/>
    <xf numFmtId="0" fontId="16" fillId="0" borderId="0"/>
    <xf numFmtId="0" fontId="29" fillId="0" borderId="0"/>
    <xf numFmtId="0" fontId="31" fillId="0" borderId="0" applyNumberFormat="0" applyFill="0" applyBorder="0" applyAlignment="0" applyProtection="0"/>
    <xf numFmtId="0" fontId="29" fillId="0" borderId="0"/>
    <xf numFmtId="0" fontId="16" fillId="0" borderId="0"/>
    <xf numFmtId="229" fontId="16" fillId="0" borderId="0"/>
    <xf numFmtId="0" fontId="29" fillId="0" borderId="0"/>
    <xf numFmtId="0" fontId="16" fillId="0" borderId="0"/>
    <xf numFmtId="0" fontId="29" fillId="0" borderId="0"/>
    <xf numFmtId="0" fontId="16" fillId="0" borderId="0"/>
    <xf numFmtId="0" fontId="30" fillId="0" borderId="0"/>
    <xf numFmtId="0" fontId="16" fillId="0" borderId="0"/>
    <xf numFmtId="0" fontId="16" fillId="0" borderId="0"/>
    <xf numFmtId="0" fontId="16" fillId="0" borderId="0"/>
    <xf numFmtId="189" fontId="16" fillId="0" borderId="0"/>
    <xf numFmtId="189" fontId="16" fillId="0" borderId="0"/>
    <xf numFmtId="0" fontId="16" fillId="0" borderId="0"/>
    <xf numFmtId="0" fontId="30" fillId="0" borderId="0"/>
    <xf numFmtId="0" fontId="16" fillId="0" borderId="0"/>
    <xf numFmtId="0" fontId="16" fillId="0" borderId="0"/>
    <xf numFmtId="0" fontId="16" fillId="0" borderId="0"/>
    <xf numFmtId="0" fontId="29" fillId="0" borderId="0"/>
    <xf numFmtId="0" fontId="30" fillId="0" borderId="0"/>
    <xf numFmtId="0" fontId="16" fillId="0" borderId="0"/>
    <xf numFmtId="0" fontId="16" fillId="0" borderId="0"/>
    <xf numFmtId="0" fontId="29" fillId="0" borderId="0"/>
    <xf numFmtId="0" fontId="16" fillId="0" borderId="0"/>
    <xf numFmtId="0" fontId="29" fillId="0" borderId="0"/>
    <xf numFmtId="0" fontId="16" fillId="0" borderId="0"/>
    <xf numFmtId="0" fontId="29" fillId="0" borderId="0"/>
    <xf numFmtId="0" fontId="16" fillId="0" borderId="0"/>
    <xf numFmtId="0" fontId="29" fillId="0" borderId="0"/>
    <xf numFmtId="0" fontId="16" fillId="0" borderId="0"/>
    <xf numFmtId="0" fontId="29" fillId="0" borderId="0"/>
    <xf numFmtId="0" fontId="31" fillId="0" borderId="0" applyNumberFormat="0" applyFill="0" applyBorder="0" applyAlignment="0" applyProtection="0"/>
    <xf numFmtId="0" fontId="29" fillId="0" borderId="0"/>
    <xf numFmtId="0" fontId="29" fillId="0" borderId="0"/>
    <xf numFmtId="229" fontId="16" fillId="0" borderId="0"/>
    <xf numFmtId="0" fontId="16" fillId="0" borderId="0"/>
    <xf numFmtId="0" fontId="30" fillId="0" borderId="0"/>
    <xf numFmtId="0" fontId="29" fillId="0" borderId="0"/>
    <xf numFmtId="0" fontId="30" fillId="0" borderId="0"/>
    <xf numFmtId="0" fontId="29" fillId="0" borderId="0"/>
    <xf numFmtId="0" fontId="30" fillId="0" borderId="0"/>
    <xf numFmtId="0" fontId="29" fillId="0" borderId="0"/>
    <xf numFmtId="0" fontId="16" fillId="0" borderId="0"/>
    <xf numFmtId="0" fontId="29" fillId="0" borderId="0"/>
    <xf numFmtId="0" fontId="16" fillId="0" borderId="0"/>
    <xf numFmtId="0" fontId="16" fillId="0" borderId="0"/>
    <xf numFmtId="0" fontId="16"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16" fillId="0" borderId="0"/>
    <xf numFmtId="0" fontId="29" fillId="0" borderId="0"/>
    <xf numFmtId="0" fontId="16" fillId="0" borderId="0"/>
    <xf numFmtId="0" fontId="29" fillId="0" borderId="0"/>
    <xf numFmtId="0" fontId="29" fillId="0" borderId="0"/>
    <xf numFmtId="0" fontId="16" fillId="0" borderId="0"/>
    <xf numFmtId="0" fontId="16" fillId="0" borderId="0"/>
    <xf numFmtId="0" fontId="29" fillId="0" borderId="0"/>
    <xf numFmtId="0" fontId="16" fillId="0" borderId="0"/>
    <xf numFmtId="0" fontId="29" fillId="0" borderId="0"/>
    <xf numFmtId="0" fontId="16" fillId="0" borderId="0"/>
    <xf numFmtId="0" fontId="30" fillId="0" borderId="0"/>
    <xf numFmtId="0" fontId="16" fillId="0" borderId="0"/>
    <xf numFmtId="0" fontId="29" fillId="0" borderId="0"/>
    <xf numFmtId="0" fontId="29" fillId="0" borderId="0"/>
    <xf numFmtId="0" fontId="16" fillId="0" borderId="0"/>
    <xf numFmtId="0" fontId="29" fillId="0" borderId="0"/>
    <xf numFmtId="0" fontId="16" fillId="0" borderId="0"/>
    <xf numFmtId="0" fontId="29" fillId="0" borderId="0"/>
    <xf numFmtId="0" fontId="16" fillId="0" borderId="0"/>
    <xf numFmtId="0" fontId="29" fillId="0" borderId="0"/>
    <xf numFmtId="0" fontId="16" fillId="0" borderId="0"/>
    <xf numFmtId="0" fontId="29" fillId="0" borderId="0"/>
    <xf numFmtId="0" fontId="29" fillId="0" borderId="0"/>
    <xf numFmtId="0" fontId="29" fillId="0" borderId="0"/>
    <xf numFmtId="189" fontId="16" fillId="0" borderId="0"/>
    <xf numFmtId="189" fontId="16" fillId="0" borderId="0"/>
    <xf numFmtId="0" fontId="16"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29" fillId="0" borderId="0"/>
    <xf numFmtId="0" fontId="29"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29" fillId="0" borderId="0"/>
    <xf numFmtId="229" fontId="16" fillId="0" borderId="0"/>
    <xf numFmtId="0" fontId="16"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6" fillId="0" borderId="0"/>
    <xf numFmtId="189" fontId="16" fillId="0" borderId="0"/>
    <xf numFmtId="0" fontId="29" fillId="0" borderId="0"/>
    <xf numFmtId="0" fontId="29"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89" fontId="16" fillId="0" borderId="0"/>
    <xf numFmtId="189" fontId="16" fillId="0" borderId="0"/>
    <xf numFmtId="0" fontId="16" fillId="0" borderId="0"/>
    <xf numFmtId="0" fontId="16" fillId="0" borderId="0"/>
    <xf numFmtId="0" fontId="29"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30"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0" fontId="1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6" fillId="0" borderId="0"/>
    <xf numFmtId="207" fontId="117" fillId="0" borderId="28" applyNumberFormat="0" applyFill="0" applyBorder="0" applyAlignment="0" applyProtection="0">
      <alignment horizontal="center"/>
    </xf>
    <xf numFmtId="49" fontId="32" fillId="0" borderId="0" applyFill="0" applyBorder="0" applyAlignment="0"/>
    <xf numFmtId="0" fontId="3" fillId="0" borderId="0" applyFill="0" applyBorder="0" applyAlignment="0"/>
    <xf numFmtId="0" fontId="37" fillId="0" borderId="0" applyFill="0" applyBorder="0" applyAlignment="0"/>
    <xf numFmtId="49" fontId="118" fillId="0" borderId="0" applyFill="0" applyBorder="0" applyAlignment="0" applyProtection="0"/>
    <xf numFmtId="189" fontId="119" fillId="0" borderId="0" applyNumberFormat="0" applyFill="0" applyBorder="0" applyAlignment="0" applyProtection="0"/>
    <xf numFmtId="0" fontId="120" fillId="0" borderId="0" applyNumberFormat="0" applyFill="0" applyBorder="0" applyAlignment="0" applyProtection="0"/>
    <xf numFmtId="189" fontId="121" fillId="0" borderId="0" applyNumberFormat="0" applyFill="0" applyBorder="0" applyAlignment="0" applyProtection="0"/>
    <xf numFmtId="0" fontId="72" fillId="0" borderId="0" applyNumberFormat="0" applyFill="0" applyBorder="0" applyAlignment="0" applyProtection="0"/>
    <xf numFmtId="0" fontId="122" fillId="0" borderId="51"/>
    <xf numFmtId="220" fontId="118" fillId="0" borderId="0" applyFont="0" applyFill="0" applyBorder="0" applyAlignment="0" applyProtection="0"/>
    <xf numFmtId="0" fontId="123" fillId="65" borderId="0" applyBorder="0">
      <alignment horizontal="left" vertical="center" indent="1"/>
    </xf>
    <xf numFmtId="0" fontId="124" fillId="0" borderId="0" applyNumberFormat="0" applyFill="0" applyBorder="0" applyAlignment="0" applyProtection="0"/>
    <xf numFmtId="189" fontId="82" fillId="0" borderId="44" applyNumberFormat="0" applyFill="0" applyAlignment="0" applyProtection="0"/>
    <xf numFmtId="0" fontId="81" fillId="0" borderId="44" applyNumberFormat="0" applyFill="0" applyAlignment="0" applyProtection="0"/>
    <xf numFmtId="189" fontId="84" fillId="0" borderId="45" applyNumberFormat="0" applyFill="0" applyAlignment="0" applyProtection="0"/>
    <xf numFmtId="0" fontId="83" fillId="0" borderId="45" applyNumberFormat="0" applyFill="0" applyAlignment="0" applyProtection="0"/>
    <xf numFmtId="189" fontId="66" fillId="0" borderId="46" applyNumberFormat="0" applyFill="0" applyAlignment="0" applyProtection="0"/>
    <xf numFmtId="0" fontId="67" fillId="0" borderId="46" applyNumberFormat="0" applyFill="0" applyAlignment="0" applyProtection="0"/>
    <xf numFmtId="189" fontId="124" fillId="0" borderId="0" applyNumberFormat="0" applyFill="0" applyBorder="0" applyAlignment="0" applyProtection="0"/>
    <xf numFmtId="189" fontId="125" fillId="0" borderId="0" applyNumberFormat="0" applyFill="0" applyBorder="0" applyAlignment="0" applyProtection="0"/>
    <xf numFmtId="189" fontId="111" fillId="0" borderId="52" applyNumberFormat="0" applyFill="0" applyAlignment="0" applyProtection="0"/>
    <xf numFmtId="189" fontId="126" fillId="0" borderId="52" applyNumberFormat="0" applyFill="0" applyAlignment="0" applyProtection="0"/>
    <xf numFmtId="164" fontId="16" fillId="0" borderId="0" applyFont="0" applyFill="0" applyBorder="0" applyAlignment="0" applyProtection="0"/>
    <xf numFmtId="165" fontId="16" fillId="0" borderId="0" applyFont="0" applyFill="0" applyBorder="0" applyAlignment="0" applyProtection="0"/>
    <xf numFmtId="230" fontId="37" fillId="0" borderId="0" applyFont="0" applyFill="0" applyBorder="0" applyAlignment="0" applyProtection="0"/>
    <xf numFmtId="231" fontId="64" fillId="0" borderId="0" applyFont="0" applyFill="0" applyBorder="0" applyAlignment="0" applyProtection="0"/>
    <xf numFmtId="0" fontId="120" fillId="0" borderId="0" applyNumberFormat="0" applyFill="0" applyBorder="0" applyAlignment="0" applyProtection="0"/>
    <xf numFmtId="232" fontId="8" fillId="0" borderId="0"/>
    <xf numFmtId="49" fontId="127" fillId="0" borderId="0" applyFont="0" applyFill="0" applyBorder="0" applyAlignment="0" applyProtection="0"/>
    <xf numFmtId="41" fontId="127" fillId="0" borderId="0" applyFont="0" applyFill="0" applyBorder="0" applyAlignment="0" applyProtection="0"/>
    <xf numFmtId="43" fontId="127" fillId="0" borderId="0" applyFont="0" applyFill="0" applyBorder="0" applyAlignment="0" applyProtection="0"/>
    <xf numFmtId="189" fontId="27" fillId="0" borderId="0"/>
    <xf numFmtId="42" fontId="127" fillId="0" borderId="0" applyFont="0" applyFill="0" applyBorder="0" applyAlignment="0" applyProtection="0"/>
    <xf numFmtId="44" fontId="127" fillId="0" borderId="0" applyFont="0" applyFill="0" applyBorder="0" applyAlignment="0" applyProtection="0"/>
  </cellStyleXfs>
  <cellXfs count="610">
    <xf numFmtId="0" fontId="0" fillId="0" borderId="0" xfId="0">
      <alignment vertical="center"/>
    </xf>
    <xf numFmtId="0" fontId="6" fillId="2" borderId="0" xfId="3">
      <alignment horizontal="center" vertical="top" wrapText="1"/>
    </xf>
    <xf numFmtId="0" fontId="0" fillId="0" borderId="0" xfId="0" applyFill="1">
      <alignment vertical="center"/>
    </xf>
    <xf numFmtId="0" fontId="3" fillId="0" borderId="0" xfId="47">
      <alignment horizontal="left" vertical="center" wrapText="1" indent="1"/>
    </xf>
    <xf numFmtId="0" fontId="6" fillId="0" borderId="0" xfId="46">
      <alignment horizontal="left" vertical="center" wrapText="1"/>
    </xf>
    <xf numFmtId="0" fontId="6" fillId="2" borderId="0" xfId="55" applyNumberFormat="1" applyAlignment="1">
      <alignment horizontal="left" vertical="center" wrapText="1"/>
    </xf>
    <xf numFmtId="0" fontId="6" fillId="0" borderId="4" xfId="48" applyNumberFormat="1" applyAlignment="1">
      <alignment horizontal="left" vertical="center" wrapText="1" indent="1"/>
    </xf>
    <xf numFmtId="0" fontId="5" fillId="0" borderId="0" xfId="27">
      <alignment vertical="center"/>
    </xf>
    <xf numFmtId="166" fontId="3" fillId="0" borderId="3" xfId="38" applyNumberFormat="1">
      <alignment vertical="center"/>
      <protection locked="0"/>
    </xf>
    <xf numFmtId="166" fontId="3" fillId="0" borderId="1" xfId="33" applyNumberFormat="1">
      <alignment vertical="center"/>
    </xf>
    <xf numFmtId="166" fontId="3" fillId="0" borderId="2" xfId="34" applyNumberFormat="1">
      <alignment vertical="center"/>
      <protection locked="0"/>
    </xf>
    <xf numFmtId="166" fontId="3" fillId="5" borderId="0" xfId="36" applyNumberFormat="1">
      <alignment vertical="center"/>
    </xf>
    <xf numFmtId="166" fontId="3" fillId="0" borderId="0" xfId="1" applyNumberFormat="1">
      <alignment vertical="center"/>
    </xf>
    <xf numFmtId="166" fontId="3" fillId="7" borderId="0" xfId="43" applyNumberFormat="1">
      <alignment vertical="center"/>
    </xf>
    <xf numFmtId="166" fontId="3" fillId="3" borderId="0" xfId="32" applyNumberFormat="1">
      <alignment vertical="center"/>
    </xf>
    <xf numFmtId="167" fontId="0" fillId="0" borderId="0" xfId="42" applyFont="1">
      <alignment vertical="center"/>
    </xf>
    <xf numFmtId="171" fontId="0" fillId="0" borderId="0" xfId="7" applyFont="1">
      <alignment vertical="center"/>
    </xf>
    <xf numFmtId="172" fontId="0" fillId="0" borderId="0" xfId="9" applyFont="1">
      <alignment vertical="center"/>
    </xf>
    <xf numFmtId="173" fontId="0" fillId="0" borderId="0" xfId="14" applyFont="1">
      <alignment vertical="center"/>
    </xf>
    <xf numFmtId="174" fontId="0" fillId="0" borderId="0" xfId="15" applyFont="1">
      <alignment vertical="center"/>
    </xf>
    <xf numFmtId="175" fontId="0" fillId="0" borderId="0" xfId="12" applyFont="1">
      <alignment vertical="center"/>
    </xf>
    <xf numFmtId="176" fontId="0" fillId="0" borderId="0" xfId="13" applyFont="1">
      <alignment vertical="center"/>
    </xf>
    <xf numFmtId="170" fontId="0" fillId="0" borderId="0" xfId="22" applyFont="1">
      <alignment vertical="center"/>
    </xf>
    <xf numFmtId="0" fontId="8" fillId="0" borderId="0" xfId="40">
      <alignment vertical="center"/>
    </xf>
    <xf numFmtId="177" fontId="0" fillId="0" borderId="0" xfId="10" applyFont="1">
      <alignment vertical="center"/>
    </xf>
    <xf numFmtId="178" fontId="0" fillId="0" borderId="0" xfId="11" applyFont="1">
      <alignment vertical="center"/>
    </xf>
    <xf numFmtId="179" fontId="0" fillId="0" borderId="0" xfId="20" applyFont="1">
      <alignment vertical="center"/>
    </xf>
    <xf numFmtId="180" fontId="0" fillId="0" borderId="0" xfId="21" applyFont="1">
      <alignment vertical="center"/>
    </xf>
    <xf numFmtId="181" fontId="0" fillId="0" borderId="0" xfId="18" applyFont="1">
      <alignment vertical="center"/>
    </xf>
    <xf numFmtId="182" fontId="0" fillId="0" borderId="0" xfId="19" applyFont="1">
      <alignment vertical="center"/>
    </xf>
    <xf numFmtId="183" fontId="0" fillId="0" borderId="0" xfId="16" applyFont="1">
      <alignment vertical="center"/>
    </xf>
    <xf numFmtId="184" fontId="0" fillId="0" borderId="0" xfId="17" applyFont="1">
      <alignment vertical="center"/>
    </xf>
    <xf numFmtId="186" fontId="0" fillId="0" borderId="0" xfId="24" applyFont="1">
      <alignment vertical="center"/>
    </xf>
    <xf numFmtId="0" fontId="2" fillId="0" borderId="0" xfId="28" applyAlignment="1">
      <alignment vertical="center"/>
    </xf>
    <xf numFmtId="0" fontId="6" fillId="0" borderId="4" xfId="48" applyNumberFormat="1">
      <alignment vertical="center"/>
    </xf>
    <xf numFmtId="0" fontId="6" fillId="2" borderId="0" xfId="55" applyNumberFormat="1">
      <alignment vertical="center"/>
    </xf>
    <xf numFmtId="0" fontId="0" fillId="8" borderId="0" xfId="50" applyFont="1">
      <alignment vertical="center"/>
    </xf>
    <xf numFmtId="0" fontId="0" fillId="0" borderId="5" xfId="49" applyNumberFormat="1" applyFont="1">
      <alignment vertical="center"/>
    </xf>
    <xf numFmtId="166" fontId="11" fillId="0" borderId="0" xfId="39" applyNumberFormat="1">
      <alignment vertical="center"/>
    </xf>
    <xf numFmtId="166" fontId="8" fillId="0" borderId="0" xfId="40" applyNumberFormat="1">
      <alignment vertical="center"/>
    </xf>
    <xf numFmtId="0" fontId="4" fillId="0" borderId="0" xfId="26">
      <alignment vertical="center"/>
    </xf>
    <xf numFmtId="0" fontId="11" fillId="0" borderId="0" xfId="39">
      <alignment vertical="center"/>
    </xf>
    <xf numFmtId="0" fontId="0" fillId="3" borderId="0" xfId="32" applyFont="1">
      <alignment vertical="center"/>
    </xf>
    <xf numFmtId="0" fontId="6" fillId="3" borderId="0" xfId="29" applyFill="1">
      <alignment vertical="center"/>
    </xf>
    <xf numFmtId="0" fontId="8" fillId="0" borderId="0" xfId="40" applyFont="1">
      <alignment vertical="center"/>
    </xf>
    <xf numFmtId="166" fontId="0" fillId="8" borderId="0" xfId="50" applyNumberFormat="1" applyFont="1">
      <alignment vertical="center"/>
    </xf>
    <xf numFmtId="168" fontId="0" fillId="8" borderId="0" xfId="50" applyNumberFormat="1" applyFont="1">
      <alignment vertical="center"/>
    </xf>
    <xf numFmtId="168" fontId="0" fillId="0" borderId="0" xfId="52" applyNumberFormat="1" applyFont="1">
      <alignment vertical="center"/>
    </xf>
    <xf numFmtId="169" fontId="0" fillId="0" borderId="0" xfId="52" applyNumberFormat="1" applyFont="1">
      <alignment vertical="center"/>
    </xf>
    <xf numFmtId="0" fontId="0" fillId="0" borderId="0" xfId="56" applyFont="1">
      <alignment vertical="center"/>
    </xf>
    <xf numFmtId="166" fontId="3" fillId="0" borderId="0" xfId="56" applyNumberFormat="1">
      <alignment vertical="center"/>
    </xf>
    <xf numFmtId="0" fontId="0" fillId="0" borderId="0" xfId="52" applyNumberFormat="1" applyFont="1">
      <alignment vertical="center"/>
    </xf>
    <xf numFmtId="166" fontId="3" fillId="4" borderId="2" xfId="35">
      <alignment vertical="center"/>
      <protection locked="0"/>
    </xf>
    <xf numFmtId="0" fontId="6" fillId="0" borderId="0" xfId="46" applyAlignment="1">
      <alignment horizontal="left" vertical="center" wrapText="1"/>
    </xf>
    <xf numFmtId="166" fontId="6" fillId="2" borderId="0" xfId="55">
      <alignment vertical="center"/>
    </xf>
    <xf numFmtId="0" fontId="5" fillId="0" borderId="0" xfId="27" applyFill="1" applyAlignment="1">
      <alignment horizontal="left"/>
    </xf>
    <xf numFmtId="0" fontId="6" fillId="0" borderId="0" xfId="46" applyAlignment="1">
      <alignment horizontal="left" vertical="center" wrapText="1" indent="1"/>
    </xf>
    <xf numFmtId="0" fontId="6" fillId="8" borderId="5" xfId="50" applyFont="1" applyBorder="1">
      <alignment vertical="center"/>
    </xf>
    <xf numFmtId="166" fontId="6" fillId="7" borderId="0" xfId="43" applyNumberFormat="1" applyFont="1">
      <alignment vertical="center"/>
    </xf>
    <xf numFmtId="0" fontId="6" fillId="7" borderId="0" xfId="43" applyFont="1" applyAlignment="1">
      <alignment horizontal="left" vertical="center" wrapText="1"/>
    </xf>
    <xf numFmtId="49" fontId="0" fillId="0" borderId="0" xfId="53" applyFont="1" applyAlignment="1">
      <alignment vertical="center"/>
    </xf>
    <xf numFmtId="166" fontId="3" fillId="6" borderId="0" xfId="37" applyNumberFormat="1" applyFill="1">
      <alignment vertical="center"/>
    </xf>
    <xf numFmtId="167" fontId="9" fillId="0" borderId="0" xfId="2">
      <alignment vertical="center"/>
    </xf>
    <xf numFmtId="0" fontId="6" fillId="2" borderId="0" xfId="4">
      <alignment horizontal="left" vertical="top" wrapText="1"/>
    </xf>
    <xf numFmtId="166" fontId="3" fillId="6" borderId="0" xfId="37" applyNumberFormat="1">
      <alignment vertical="center"/>
    </xf>
    <xf numFmtId="166" fontId="6" fillId="0" borderId="0" xfId="54">
      <alignment vertical="center"/>
    </xf>
    <xf numFmtId="0" fontId="6" fillId="2" borderId="0" xfId="5">
      <alignment horizontal="centerContinuous" vertical="top"/>
    </xf>
    <xf numFmtId="185" fontId="0" fillId="0" borderId="0" xfId="23" applyFont="1">
      <alignment vertical="center"/>
    </xf>
    <xf numFmtId="0" fontId="6" fillId="7" borderId="0" xfId="43" applyFont="1">
      <alignment vertical="center"/>
    </xf>
    <xf numFmtId="0" fontId="0" fillId="0" borderId="0" xfId="0" applyAlignment="1">
      <alignment horizontal="center" vertical="center"/>
    </xf>
    <xf numFmtId="0" fontId="7" fillId="0" borderId="0" xfId="25" applyFill="1" applyAlignment="1">
      <alignment horizontal="center" vertical="center"/>
    </xf>
    <xf numFmtId="38" fontId="7" fillId="0" borderId="0" xfId="25" applyNumberFormat="1" applyFill="1" applyBorder="1" applyAlignment="1">
      <alignment horizontal="center" vertical="center"/>
    </xf>
    <xf numFmtId="38" fontId="7" fillId="0" borderId="0" xfId="25" applyNumberFormat="1" applyFill="1" applyBorder="1">
      <alignment vertical="center"/>
    </xf>
    <xf numFmtId="0" fontId="7" fillId="0" borderId="0" xfId="25" applyFill="1" applyBorder="1">
      <alignment vertical="center"/>
    </xf>
    <xf numFmtId="0" fontId="7" fillId="0" borderId="0" xfId="25" applyFill="1">
      <alignment vertical="center"/>
    </xf>
    <xf numFmtId="0" fontId="0" fillId="0" borderId="6" xfId="0" applyBorder="1">
      <alignment vertical="center"/>
    </xf>
    <xf numFmtId="0" fontId="14" fillId="0" borderId="8" xfId="31" applyAlignment="1">
      <alignment vertical="center"/>
    </xf>
    <xf numFmtId="0" fontId="13" fillId="0" borderId="7" xfId="30" applyAlignment="1">
      <alignment vertical="center"/>
    </xf>
    <xf numFmtId="0" fontId="6" fillId="2" borderId="9" xfId="3" applyBorder="1">
      <alignment horizontal="center" vertical="top" wrapText="1"/>
    </xf>
    <xf numFmtId="0" fontId="7" fillId="0" borderId="0" xfId="25" applyFont="1" applyFill="1">
      <alignment vertical="center"/>
    </xf>
    <xf numFmtId="0" fontId="3" fillId="0" borderId="3" xfId="38">
      <alignment vertical="center"/>
      <protection locked="0"/>
    </xf>
    <xf numFmtId="0" fontId="3" fillId="0" borderId="1" xfId="33">
      <alignment vertical="center"/>
    </xf>
    <xf numFmtId="0" fontId="3" fillId="5" borderId="0" xfId="36">
      <alignment vertical="center"/>
    </xf>
    <xf numFmtId="0" fontId="0" fillId="0" borderId="3" xfId="38" applyFont="1">
      <alignment vertical="center"/>
      <protection locked="0"/>
    </xf>
    <xf numFmtId="168" fontId="3" fillId="5" borderId="0" xfId="44" applyFill="1" applyAlignment="1">
      <alignment vertical="center"/>
    </xf>
    <xf numFmtId="0" fontId="0" fillId="0" borderId="0" xfId="0" applyFont="1" applyAlignment="1">
      <alignment vertical="center"/>
    </xf>
    <xf numFmtId="167" fontId="3" fillId="5" borderId="0" xfId="42" applyFill="1">
      <alignment vertical="center"/>
    </xf>
    <xf numFmtId="0" fontId="3" fillId="0" borderId="2" xfId="34">
      <alignment vertical="center"/>
      <protection locked="0"/>
    </xf>
    <xf numFmtId="166" fontId="3" fillId="5" borderId="0" xfId="41" applyFill="1">
      <alignment vertical="center"/>
    </xf>
    <xf numFmtId="166" fontId="0" fillId="0" borderId="0" xfId="0" applyNumberFormat="1">
      <alignment vertical="center"/>
    </xf>
    <xf numFmtId="0" fontId="0" fillId="0" borderId="0" xfId="0" applyAlignment="1">
      <alignment horizontal="left" vertical="center" wrapText="1" indent="1"/>
    </xf>
    <xf numFmtId="0" fontId="17" fillId="0" borderId="0" xfId="58">
      <alignment vertical="center"/>
    </xf>
    <xf numFmtId="166" fontId="0" fillId="7" borderId="0" xfId="43" applyNumberFormat="1" applyFont="1">
      <alignment vertical="center"/>
    </xf>
    <xf numFmtId="168" fontId="3" fillId="5" borderId="0" xfId="36" applyNumberFormat="1" applyAlignment="1">
      <alignment vertical="center"/>
    </xf>
    <xf numFmtId="0" fontId="0" fillId="0" borderId="0" xfId="0">
      <alignment vertical="center"/>
    </xf>
    <xf numFmtId="0" fontId="0" fillId="0" borderId="0" xfId="0">
      <alignment vertical="center"/>
    </xf>
    <xf numFmtId="0" fontId="7" fillId="0" borderId="0" xfId="25" applyFill="1" applyBorder="1">
      <alignment vertical="center"/>
    </xf>
    <xf numFmtId="0" fontId="6" fillId="0" borderId="0" xfId="0" applyFont="1">
      <alignment vertical="center"/>
    </xf>
    <xf numFmtId="0" fontId="7" fillId="0" borderId="0" xfId="25" applyFont="1" applyFill="1">
      <alignment vertical="center"/>
    </xf>
    <xf numFmtId="0" fontId="0" fillId="0" borderId="0" xfId="0" applyFont="1">
      <alignment vertical="center"/>
    </xf>
    <xf numFmtId="0" fontId="0" fillId="0" borderId="0" xfId="0" applyAlignment="1">
      <alignment vertical="center" wrapText="1"/>
    </xf>
    <xf numFmtId="0" fontId="15" fillId="0" borderId="0" xfId="0" applyFont="1" applyAlignment="1">
      <alignment horizontal="right" vertical="center"/>
    </xf>
    <xf numFmtId="169" fontId="3" fillId="0" borderId="2" xfId="34" applyNumberFormat="1">
      <alignment vertical="center"/>
      <protection locked="0"/>
    </xf>
    <xf numFmtId="0" fontId="0" fillId="0" borderId="0" xfId="0" quotePrefix="1">
      <alignment vertical="center"/>
    </xf>
    <xf numFmtId="169" fontId="0" fillId="7" borderId="0" xfId="43" applyNumberFormat="1" applyFont="1">
      <alignment vertical="center"/>
    </xf>
    <xf numFmtId="168" fontId="3" fillId="0" borderId="2" xfId="44" applyBorder="1" applyAlignment="1" applyProtection="1">
      <alignment vertical="center"/>
      <protection locked="0"/>
    </xf>
    <xf numFmtId="0" fontId="0" fillId="0" borderId="0" xfId="0" applyAlignment="1">
      <alignment vertical="center"/>
    </xf>
    <xf numFmtId="167" fontId="3" fillId="5" borderId="0" xfId="36" applyNumberFormat="1">
      <alignment vertical="center"/>
    </xf>
    <xf numFmtId="187" fontId="3" fillId="5" borderId="0" xfId="41" applyNumberFormat="1" applyFill="1">
      <alignment vertical="center"/>
    </xf>
    <xf numFmtId="166" fontId="3" fillId="0" borderId="2" xfId="41" applyBorder="1" applyProtection="1">
      <alignment vertical="center"/>
      <protection locked="0"/>
    </xf>
    <xf numFmtId="166" fontId="6" fillId="0" borderId="0" xfId="54" applyNumberFormat="1">
      <alignment vertical="center"/>
    </xf>
    <xf numFmtId="0" fontId="3" fillId="0" borderId="2" xfId="34" applyAlignment="1">
      <alignment vertical="center" wrapText="1"/>
      <protection locked="0"/>
    </xf>
    <xf numFmtId="0" fontId="6" fillId="2" borderId="0" xfId="3">
      <alignment horizontal="center" vertical="top" wrapText="1"/>
    </xf>
    <xf numFmtId="49" fontId="17" fillId="0" borderId="0" xfId="58" applyNumberFormat="1" applyAlignment="1">
      <alignment vertical="center"/>
    </xf>
    <xf numFmtId="166" fontId="3" fillId="4" borderId="2" xfId="35" applyNumberFormat="1">
      <alignment vertical="center"/>
      <protection locked="0"/>
    </xf>
    <xf numFmtId="168" fontId="3" fillId="0" borderId="3" xfId="38" applyNumberFormat="1" applyAlignment="1">
      <alignment vertical="center"/>
      <protection locked="0"/>
    </xf>
    <xf numFmtId="167" fontId="3" fillId="0" borderId="3" xfId="38" applyNumberFormat="1">
      <alignment vertical="center"/>
      <protection locked="0"/>
    </xf>
    <xf numFmtId="9" fontId="3" fillId="0" borderId="1" xfId="33" applyNumberFormat="1" applyAlignment="1">
      <alignment vertical="center"/>
    </xf>
    <xf numFmtId="0" fontId="12" fillId="0" borderId="0" xfId="0" applyFont="1" applyAlignment="1">
      <alignment vertical="center" wrapText="1"/>
    </xf>
    <xf numFmtId="0" fontId="12" fillId="0" borderId="0" xfId="0" applyFont="1">
      <alignment vertical="center"/>
    </xf>
    <xf numFmtId="0" fontId="6" fillId="2" borderId="11" xfId="3" applyBorder="1">
      <alignment horizontal="center" vertical="top" wrapText="1"/>
    </xf>
    <xf numFmtId="0" fontId="12" fillId="0" borderId="0" xfId="0" applyFont="1" applyAlignment="1">
      <alignment horizontal="left" vertical="center" indent="1"/>
    </xf>
    <xf numFmtId="0" fontId="12" fillId="0" borderId="0" xfId="0" applyFont="1" applyAlignment="1">
      <alignment horizontal="left" vertical="center" wrapText="1" indent="1"/>
    </xf>
    <xf numFmtId="0" fontId="6" fillId="2" borderId="10" xfId="3" applyBorder="1">
      <alignment horizontal="center" vertical="top" wrapText="1"/>
    </xf>
    <xf numFmtId="0" fontId="0" fillId="0" borderId="0" xfId="0" applyFont="1" applyAlignment="1">
      <alignment horizontal="left" vertical="center" indent="1"/>
    </xf>
    <xf numFmtId="0" fontId="0" fillId="0" borderId="0" xfId="0">
      <alignment vertical="center"/>
    </xf>
    <xf numFmtId="0" fontId="6" fillId="2" borderId="0" xfId="3">
      <alignment horizontal="center" vertical="top" wrapText="1"/>
    </xf>
    <xf numFmtId="0" fontId="0" fillId="0" borderId="0" xfId="0">
      <alignment vertical="center"/>
    </xf>
    <xf numFmtId="0" fontId="13" fillId="0" borderId="7" xfId="30" applyAlignment="1">
      <alignment vertical="center"/>
    </xf>
    <xf numFmtId="0" fontId="0" fillId="0" borderId="0" xfId="0" applyBorder="1">
      <alignment vertical="center"/>
    </xf>
    <xf numFmtId="0" fontId="19" fillId="0" borderId="14" xfId="68" applyAlignment="1">
      <alignment vertical="center"/>
    </xf>
    <xf numFmtId="0" fontId="22" fillId="0" borderId="0" xfId="0" applyFont="1">
      <alignment vertical="center"/>
    </xf>
    <xf numFmtId="0" fontId="21" fillId="0" borderId="0" xfId="39" applyFont="1">
      <alignment vertical="center"/>
    </xf>
    <xf numFmtId="0" fontId="12" fillId="0" borderId="0" xfId="0" applyFont="1" applyAlignment="1">
      <alignment horizontal="left" vertical="center"/>
    </xf>
    <xf numFmtId="0" fontId="0" fillId="0" borderId="0" xfId="0">
      <alignment vertical="center"/>
    </xf>
    <xf numFmtId="0" fontId="7" fillId="0" borderId="0" xfId="25" applyFill="1" applyAlignment="1">
      <alignment horizontal="center" vertical="center"/>
    </xf>
    <xf numFmtId="0" fontId="13" fillId="0" borderId="7" xfId="30" applyAlignment="1">
      <alignment vertical="center"/>
    </xf>
    <xf numFmtId="0" fontId="2" fillId="0" borderId="0" xfId="0" applyFont="1">
      <alignment vertical="center"/>
    </xf>
    <xf numFmtId="0" fontId="7" fillId="0" borderId="0" xfId="25" applyFill="1" applyBorder="1">
      <alignment vertical="center"/>
    </xf>
    <xf numFmtId="0" fontId="7" fillId="0" borderId="0" xfId="25" applyFill="1">
      <alignment vertical="center"/>
    </xf>
    <xf numFmtId="0" fontId="7" fillId="0" borderId="0" xfId="25" applyFont="1" applyFill="1">
      <alignment vertical="center"/>
    </xf>
    <xf numFmtId="0" fontId="6" fillId="0" borderId="0" xfId="29">
      <alignment vertical="center"/>
    </xf>
    <xf numFmtId="0" fontId="13" fillId="0" borderId="7" xfId="30" applyAlignment="1">
      <alignment vertical="center"/>
    </xf>
    <xf numFmtId="0" fontId="0" fillId="0" borderId="0" xfId="0">
      <alignment vertical="center"/>
    </xf>
    <xf numFmtId="0" fontId="0" fillId="0" borderId="0" xfId="0">
      <alignment vertical="center"/>
    </xf>
    <xf numFmtId="0" fontId="13" fillId="0" borderId="7" xfId="30" applyAlignment="1">
      <alignment vertical="center"/>
    </xf>
    <xf numFmtId="0" fontId="7" fillId="0" borderId="0" xfId="25" applyFont="1" applyFill="1">
      <alignment vertical="center"/>
    </xf>
    <xf numFmtId="0" fontId="12" fillId="0" borderId="0" xfId="0" applyFont="1" applyAlignment="1">
      <alignment vertical="center"/>
    </xf>
    <xf numFmtId="0" fontId="0" fillId="0" borderId="0" xfId="0">
      <alignment vertical="center"/>
    </xf>
    <xf numFmtId="0" fontId="7" fillId="0" borderId="0" xfId="25" applyFont="1" applyFill="1">
      <alignment vertical="center"/>
    </xf>
    <xf numFmtId="0" fontId="0" fillId="0" borderId="0" xfId="0">
      <alignment vertical="center"/>
    </xf>
    <xf numFmtId="0" fontId="13" fillId="0" borderId="7" xfId="30" applyAlignment="1">
      <alignment vertical="center"/>
    </xf>
    <xf numFmtId="0" fontId="0" fillId="0" borderId="0" xfId="0">
      <alignment vertical="center"/>
    </xf>
    <xf numFmtId="0" fontId="6" fillId="2" borderId="0" xfId="3">
      <alignment horizontal="center" vertical="top" wrapText="1"/>
    </xf>
    <xf numFmtId="0" fontId="0" fillId="0" borderId="0" xfId="0">
      <alignment vertical="center"/>
    </xf>
    <xf numFmtId="0" fontId="6" fillId="2" borderId="0" xfId="3">
      <alignment horizontal="center" vertical="top" wrapText="1"/>
    </xf>
    <xf numFmtId="0" fontId="11" fillId="0" borderId="0" xfId="39">
      <alignment vertical="center"/>
    </xf>
    <xf numFmtId="0" fontId="6" fillId="0" borderId="0" xfId="0" applyFont="1">
      <alignment vertical="center"/>
    </xf>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1"/>
    </xf>
    <xf numFmtId="0" fontId="0" fillId="0" borderId="0" xfId="0" applyAlignment="1">
      <alignment horizontal="left" vertical="center"/>
    </xf>
    <xf numFmtId="0" fontId="0" fillId="0" borderId="0" xfId="0" applyAlignment="1">
      <alignment horizontal="left" vertical="center"/>
    </xf>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1"/>
    </xf>
    <xf numFmtId="0" fontId="0" fillId="0" borderId="0" xfId="0">
      <alignment vertical="center"/>
    </xf>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1"/>
    </xf>
    <xf numFmtId="0" fontId="0" fillId="0" borderId="0" xfId="0">
      <alignment vertical="center"/>
    </xf>
    <xf numFmtId="0" fontId="6" fillId="0" borderId="0" xfId="0" applyFont="1">
      <alignment vertical="center"/>
    </xf>
    <xf numFmtId="0" fontId="0" fillId="0" borderId="0" xfId="0">
      <alignment vertical="center"/>
    </xf>
    <xf numFmtId="0" fontId="0" fillId="0" borderId="0" xfId="0">
      <alignment vertical="center"/>
    </xf>
    <xf numFmtId="0" fontId="11" fillId="0" borderId="0" xfId="39">
      <alignment vertical="center"/>
    </xf>
    <xf numFmtId="0" fontId="6" fillId="0" borderId="0" xfId="0" applyFont="1">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lignment vertical="center"/>
    </xf>
    <xf numFmtId="166" fontId="3" fillId="0" borderId="3" xfId="38" applyNumberFormat="1">
      <alignment vertical="center"/>
      <protection locked="0"/>
    </xf>
    <xf numFmtId="0" fontId="11" fillId="0" borderId="0" xfId="39">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17" fillId="0" borderId="0" xfId="58">
      <alignment vertical="center"/>
    </xf>
    <xf numFmtId="0" fontId="0" fillId="0" borderId="0" xfId="0">
      <alignment vertical="center"/>
    </xf>
    <xf numFmtId="0" fontId="11" fillId="0" borderId="0" xfId="39">
      <alignment vertical="center"/>
    </xf>
    <xf numFmtId="0" fontId="17" fillId="0" borderId="0" xfId="58">
      <alignment vertical="center"/>
    </xf>
    <xf numFmtId="0" fontId="15" fillId="0" borderId="0" xfId="0" applyFont="1" applyAlignment="1">
      <alignment horizontal="right" vertical="center"/>
    </xf>
    <xf numFmtId="0" fontId="6" fillId="0" borderId="0" xfId="0" applyFont="1">
      <alignment vertical="center"/>
    </xf>
    <xf numFmtId="0" fontId="6" fillId="0" borderId="0" xfId="0" applyFont="1">
      <alignment vertical="center"/>
    </xf>
    <xf numFmtId="0" fontId="0" fillId="0" borderId="0" xfId="0" applyAlignment="1">
      <alignment vertical="center" wrapText="1"/>
    </xf>
    <xf numFmtId="0" fontId="0" fillId="0" borderId="0" xfId="0"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wrapText="1" indent="1"/>
    </xf>
    <xf numFmtId="0" fontId="0" fillId="0" borderId="0" xfId="0">
      <alignment vertical="center"/>
    </xf>
    <xf numFmtId="0" fontId="0" fillId="0" borderId="0" xfId="0">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0" xfId="0" applyFont="1">
      <alignment vertical="center"/>
    </xf>
    <xf numFmtId="0" fontId="0" fillId="0" borderId="0" xfId="0">
      <alignment vertical="center"/>
    </xf>
    <xf numFmtId="0" fontId="0" fillId="0" borderId="0" xfId="0" applyAlignment="1">
      <alignment horizontal="left" vertical="center" indent="1"/>
    </xf>
    <xf numFmtId="0" fontId="0" fillId="0" borderId="0" xfId="0" applyAlignment="1">
      <alignment horizontal="left" vertical="center" indent="1"/>
    </xf>
    <xf numFmtId="0" fontId="0" fillId="0" borderId="0" xfId="0" applyFont="1">
      <alignment vertical="center"/>
    </xf>
    <xf numFmtId="0" fontId="6" fillId="2" borderId="0" xfId="3">
      <alignment horizontal="center" vertical="top" wrapText="1"/>
    </xf>
    <xf numFmtId="0" fontId="0" fillId="0" borderId="0" xfId="0">
      <alignment vertical="center"/>
    </xf>
    <xf numFmtId="0" fontId="7" fillId="0" borderId="0" xfId="25" applyFont="1" applyFill="1">
      <alignment vertical="center"/>
    </xf>
    <xf numFmtId="0" fontId="0" fillId="0" borderId="0" xfId="0" applyAlignment="1">
      <alignment vertical="center"/>
    </xf>
    <xf numFmtId="0" fontId="7" fillId="0" borderId="0" xfId="25" applyFont="1" applyFill="1">
      <alignment vertical="center"/>
    </xf>
    <xf numFmtId="0" fontId="6" fillId="0" borderId="0" xfId="0" applyFo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6" fillId="2" borderId="0" xfId="3">
      <alignment horizontal="center" vertical="top" wrapText="1"/>
    </xf>
    <xf numFmtId="0" fontId="6" fillId="0" borderId="0" xfId="0" applyFont="1">
      <alignment vertical="center"/>
    </xf>
    <xf numFmtId="0" fontId="0" fillId="0" borderId="0" xfId="0" applyAlignment="1">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6" fillId="0" borderId="0" xfId="0" applyFont="1">
      <alignment vertical="center"/>
    </xf>
    <xf numFmtId="0" fontId="6"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1" fillId="0" borderId="0" xfId="39">
      <alignment vertical="center"/>
    </xf>
    <xf numFmtId="0" fontId="6" fillId="0" borderId="0" xfId="0" applyFont="1">
      <alignment vertical="center"/>
    </xf>
    <xf numFmtId="0" fontId="0" fillId="0" borderId="0" xfId="0" applyAlignment="1">
      <alignment horizontal="left" vertical="center" wrapText="1" indent="1"/>
    </xf>
    <xf numFmtId="0" fontId="0" fillId="0" borderId="0" xfId="0" applyAlignment="1">
      <alignment vertical="center"/>
    </xf>
    <xf numFmtId="0" fontId="0" fillId="0" borderId="0" xfId="0" applyAlignment="1">
      <alignment vertical="center" wrapText="1"/>
    </xf>
    <xf numFmtId="0" fontId="0" fillId="0" borderId="0" xfId="0" applyFont="1">
      <alignment vertical="center"/>
    </xf>
    <xf numFmtId="0" fontId="0" fillId="0" borderId="0" xfId="0" quotePrefix="1">
      <alignment vertical="center"/>
    </xf>
    <xf numFmtId="0" fontId="6" fillId="0" borderId="0" xfId="0" applyFont="1">
      <alignment vertical="center"/>
    </xf>
    <xf numFmtId="0" fontId="0" fillId="0" borderId="0" xfId="0" applyAlignment="1">
      <alignment vertical="center"/>
    </xf>
    <xf numFmtId="0" fontId="6" fillId="0" borderId="0" xfId="0" applyFont="1">
      <alignment vertical="center"/>
    </xf>
    <xf numFmtId="0" fontId="0" fillId="0" borderId="0" xfId="0" applyAlignment="1">
      <alignment vertical="center"/>
    </xf>
    <xf numFmtId="0" fontId="0" fillId="0" borderId="0" xfId="0">
      <alignment vertical="center"/>
    </xf>
    <xf numFmtId="0" fontId="0" fillId="0" borderId="0" xfId="0" applyAlignment="1">
      <alignment vertical="center"/>
    </xf>
    <xf numFmtId="0" fontId="0" fillId="0" borderId="0" xfId="0" quotePrefix="1">
      <alignment vertical="center"/>
    </xf>
    <xf numFmtId="0" fontId="6" fillId="0" borderId="0" xfId="0" applyFont="1">
      <alignment vertical="center"/>
    </xf>
    <xf numFmtId="0" fontId="0" fillId="0" borderId="0" xfId="0" applyAlignment="1">
      <alignment vertical="center"/>
    </xf>
    <xf numFmtId="0" fontId="0" fillId="0" borderId="0" xfId="0" applyAlignment="1">
      <alignment vertical="center"/>
    </xf>
    <xf numFmtId="0" fontId="6" fillId="0" borderId="0" xfId="0" applyFont="1">
      <alignment vertical="center"/>
    </xf>
    <xf numFmtId="0" fontId="0" fillId="0" borderId="0" xfId="0">
      <alignment vertical="center"/>
    </xf>
    <xf numFmtId="0" fontId="0" fillId="0" borderId="0" xfId="0">
      <alignment vertical="center"/>
    </xf>
    <xf numFmtId="0" fontId="11" fillId="0" borderId="0" xfId="39">
      <alignment vertical="center"/>
    </xf>
    <xf numFmtId="0" fontId="0" fillId="0" borderId="0" xfId="0" applyFont="1">
      <alignment vertical="center"/>
    </xf>
    <xf numFmtId="0" fontId="6" fillId="0" borderId="0" xfId="0" applyFont="1">
      <alignment vertical="center"/>
    </xf>
    <xf numFmtId="0" fontId="0" fillId="0" borderId="0" xfId="0" applyFont="1">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pplyFont="1">
      <alignment vertical="center"/>
    </xf>
    <xf numFmtId="0" fontId="6" fillId="0" borderId="0" xfId="0" applyFont="1">
      <alignment vertical="center"/>
    </xf>
    <xf numFmtId="0" fontId="0" fillId="0" borderId="0" xfId="0" applyAlignment="1">
      <alignment horizontal="left" vertical="center"/>
    </xf>
    <xf numFmtId="0" fontId="0" fillId="0" borderId="0" xfId="0" applyAlignment="1">
      <alignment horizontal="left" vertical="center"/>
    </xf>
    <xf numFmtId="0" fontId="6" fillId="0" borderId="0" xfId="0" applyFont="1">
      <alignment vertical="center"/>
    </xf>
    <xf numFmtId="0" fontId="6" fillId="0" borderId="0" xfId="0" applyFont="1">
      <alignment vertical="center"/>
    </xf>
    <xf numFmtId="0" fontId="0" fillId="0" borderId="0" xfId="0">
      <alignment vertical="center"/>
    </xf>
    <xf numFmtId="0" fontId="0" fillId="0" borderId="0" xfId="0" applyFont="1">
      <alignment vertical="center"/>
    </xf>
    <xf numFmtId="0" fontId="0" fillId="0" borderId="0" xfId="0">
      <alignment vertical="center"/>
    </xf>
    <xf numFmtId="0" fontId="0" fillId="0" borderId="0" xfId="0" applyAlignment="1">
      <alignment vertical="center"/>
    </xf>
    <xf numFmtId="0" fontId="0" fillId="0" borderId="0" xfId="0" applyFont="1">
      <alignment vertical="center"/>
    </xf>
    <xf numFmtId="0" fontId="0" fillId="0" borderId="0" xfId="0">
      <alignment vertical="center"/>
    </xf>
    <xf numFmtId="0" fontId="6" fillId="0" borderId="0" xfId="0" applyFont="1">
      <alignment vertical="center"/>
    </xf>
    <xf numFmtId="0" fontId="0" fillId="0" borderId="0" xfId="0" applyFont="1" applyAlignment="1">
      <alignment vertical="center"/>
    </xf>
    <xf numFmtId="0" fontId="0" fillId="0" borderId="0" xfId="0" applyAlignment="1">
      <alignment vertical="center"/>
    </xf>
    <xf numFmtId="0" fontId="0" fillId="0" borderId="0" xfId="0" applyFont="1">
      <alignment vertical="center"/>
    </xf>
    <xf numFmtId="0" fontId="0" fillId="0" borderId="0" xfId="0">
      <alignment vertical="center"/>
    </xf>
    <xf numFmtId="0" fontId="13" fillId="0" borderId="7" xfId="30" applyAlignment="1">
      <alignment vertical="center"/>
    </xf>
    <xf numFmtId="0" fontId="0" fillId="0" borderId="0" xfId="0">
      <alignment vertical="center"/>
    </xf>
    <xf numFmtId="0" fontId="14" fillId="0" borderId="8" xfId="31" applyAlignment="1">
      <alignment vertical="center"/>
    </xf>
    <xf numFmtId="0" fontId="0" fillId="0" borderId="0" xfId="0">
      <alignment vertical="center"/>
    </xf>
    <xf numFmtId="0" fontId="14" fillId="0" borderId="8" xfId="31" applyAlignment="1">
      <alignment vertical="center"/>
    </xf>
    <xf numFmtId="0" fontId="0" fillId="0" borderId="0" xfId="0">
      <alignment vertical="center"/>
    </xf>
    <xf numFmtId="0" fontId="14" fillId="0" borderId="8" xfId="31" applyAlignment="1">
      <alignment vertical="center"/>
    </xf>
    <xf numFmtId="0" fontId="0" fillId="0" borderId="0" xfId="0">
      <alignment vertical="center"/>
    </xf>
    <xf numFmtId="0" fontId="0" fillId="0" borderId="0" xfId="0">
      <alignment vertical="center"/>
    </xf>
    <xf numFmtId="0" fontId="0" fillId="0" borderId="0" xfId="0">
      <alignment vertical="center"/>
    </xf>
    <xf numFmtId="166" fontId="0" fillId="0" borderId="0" xfId="41" applyFont="1">
      <alignment vertical="center"/>
    </xf>
    <xf numFmtId="166" fontId="3" fillId="0" borderId="3" xfId="38" applyNumberFormat="1">
      <alignment vertical="center"/>
      <protection locked="0"/>
    </xf>
    <xf numFmtId="166" fontId="3" fillId="0" borderId="1" xfId="33" applyNumberFormat="1">
      <alignment vertical="center"/>
    </xf>
    <xf numFmtId="166" fontId="3" fillId="0" borderId="2" xfId="34" applyNumberFormat="1">
      <alignment vertical="center"/>
      <protection locked="0"/>
    </xf>
    <xf numFmtId="166" fontId="3" fillId="5" borderId="0" xfId="36" applyNumberFormat="1">
      <alignment vertical="center"/>
    </xf>
    <xf numFmtId="166" fontId="3" fillId="0" borderId="0" xfId="1" applyNumberFormat="1">
      <alignment vertical="center"/>
    </xf>
    <xf numFmtId="166" fontId="3" fillId="7" borderId="0" xfId="43" applyNumberFormat="1">
      <alignment vertical="center"/>
    </xf>
    <xf numFmtId="0" fontId="11" fillId="0" borderId="0" xfId="39">
      <alignment vertical="center"/>
    </xf>
    <xf numFmtId="0" fontId="14" fillId="0" borderId="8" xfId="31" applyAlignment="1">
      <alignment vertical="center"/>
    </xf>
    <xf numFmtId="0" fontId="6" fillId="2" borderId="9" xfId="3" applyBorder="1">
      <alignment horizontal="center" vertical="top" wrapText="1"/>
    </xf>
    <xf numFmtId="0" fontId="3" fillId="5" borderId="0" xfId="36">
      <alignment vertical="center"/>
    </xf>
    <xf numFmtId="0" fontId="6" fillId="0" borderId="0" xfId="0" applyFont="1">
      <alignment vertical="center"/>
    </xf>
    <xf numFmtId="0" fontId="0" fillId="0" borderId="3" xfId="38" applyFont="1">
      <alignment vertical="center"/>
      <protection locked="0"/>
    </xf>
    <xf numFmtId="168" fontId="3" fillId="5" borderId="0" xfId="44" applyFill="1" applyAlignment="1">
      <alignment vertical="center"/>
    </xf>
    <xf numFmtId="0" fontId="15" fillId="0" borderId="0" xfId="0" applyFont="1">
      <alignment vertical="center"/>
    </xf>
    <xf numFmtId="168" fontId="3" fillId="5" borderId="0" xfId="36" applyNumberFormat="1" applyAlignment="1">
      <alignment vertical="center"/>
    </xf>
    <xf numFmtId="0" fontId="0" fillId="0" borderId="0" xfId="0" applyAlignment="1">
      <alignment vertical="center"/>
    </xf>
    <xf numFmtId="187" fontId="3" fillId="5" borderId="0" xfId="41" applyNumberFormat="1" applyFill="1">
      <alignment vertical="center"/>
    </xf>
    <xf numFmtId="166" fontId="6" fillId="0" borderId="0" xfId="54" applyNumberFormat="1">
      <alignment vertical="center"/>
    </xf>
    <xf numFmtId="187" fontId="0" fillId="0" borderId="0" xfId="41" applyNumberFormat="1" applyFont="1">
      <alignment vertical="center"/>
    </xf>
    <xf numFmtId="0" fontId="6" fillId="2" borderId="0" xfId="3">
      <alignment horizontal="center" vertical="top" wrapText="1"/>
    </xf>
    <xf numFmtId="0" fontId="0" fillId="2" borderId="0" xfId="6" applyFont="1">
      <alignment horizontal="center" vertical="top" wrapText="1"/>
    </xf>
    <xf numFmtId="0" fontId="0" fillId="0" borderId="0" xfId="47" applyFont="1">
      <alignment horizontal="left" vertical="center" wrapText="1" indent="1"/>
    </xf>
    <xf numFmtId="168" fontId="3" fillId="0" borderId="3" xfId="44" applyBorder="1" applyAlignment="1" applyProtection="1">
      <alignment vertical="center"/>
      <protection locked="0"/>
    </xf>
    <xf numFmtId="169" fontId="3" fillId="0" borderId="0" xfId="1" applyNumberFormat="1">
      <alignment vertical="center"/>
    </xf>
    <xf numFmtId="0" fontId="6" fillId="2" borderId="0" xfId="3">
      <alignment horizontal="center" vertical="top" wrapText="1"/>
    </xf>
    <xf numFmtId="0" fontId="6" fillId="2" borderId="0" xfId="3">
      <alignment horizontal="center" vertical="top" wrapText="1"/>
    </xf>
    <xf numFmtId="0" fontId="3" fillId="0" borderId="2" xfId="34" applyFill="1">
      <alignment vertical="center"/>
      <protection locked="0"/>
    </xf>
    <xf numFmtId="0" fontId="0" fillId="0" borderId="2" xfId="34" applyFont="1">
      <alignment vertical="center"/>
      <protection locked="0"/>
    </xf>
    <xf numFmtId="0" fontId="0" fillId="0" borderId="2" xfId="34" applyFont="1" applyFill="1">
      <alignment vertical="center"/>
      <protection locked="0"/>
    </xf>
    <xf numFmtId="0" fontId="0" fillId="0" borderId="2" xfId="35" applyNumberFormat="1" applyFont="1" applyFill="1">
      <alignment vertical="center"/>
      <protection locked="0"/>
    </xf>
    <xf numFmtId="0" fontId="3" fillId="5" borderId="0" xfId="36" applyNumberFormat="1">
      <alignment vertical="center"/>
    </xf>
    <xf numFmtId="0" fontId="19" fillId="0" borderId="0" xfId="69" applyAlignment="1">
      <alignment vertical="center"/>
    </xf>
    <xf numFmtId="188" fontId="3" fillId="0" borderId="1" xfId="33" applyNumberFormat="1">
      <alignment vertical="center"/>
    </xf>
    <xf numFmtId="169" fontId="6" fillId="0" borderId="1" xfId="54" applyNumberFormat="1" applyBorder="1">
      <alignment vertical="center"/>
    </xf>
    <xf numFmtId="187" fontId="3" fillId="5" borderId="0" xfId="36" applyNumberFormat="1">
      <alignment vertical="center"/>
    </xf>
    <xf numFmtId="187" fontId="3" fillId="5" borderId="0" xfId="36" applyNumberFormat="1" applyAlignment="1">
      <alignment vertical="center"/>
    </xf>
    <xf numFmtId="187" fontId="6" fillId="0" borderId="0" xfId="54" applyNumberFormat="1">
      <alignment vertical="center"/>
    </xf>
    <xf numFmtId="0" fontId="6" fillId="2" borderId="0" xfId="3">
      <alignment horizontal="center" vertical="top" wrapText="1"/>
    </xf>
    <xf numFmtId="168" fontId="9" fillId="0" borderId="0" xfId="2" applyNumberFormat="1">
      <alignment vertical="center"/>
    </xf>
    <xf numFmtId="168" fontId="3" fillId="4" borderId="2" xfId="44" applyFill="1" applyBorder="1" applyAlignment="1" applyProtection="1">
      <alignment vertical="center"/>
      <protection locked="0"/>
    </xf>
    <xf numFmtId="187" fontId="3" fillId="0" borderId="1" xfId="33" applyNumberFormat="1">
      <alignment vertical="center"/>
    </xf>
    <xf numFmtId="187" fontId="3" fillId="0" borderId="0" xfId="1" applyNumberFormat="1">
      <alignment vertical="center"/>
    </xf>
    <xf numFmtId="169" fontId="3" fillId="0" borderId="3" xfId="45" applyBorder="1" applyAlignment="1" applyProtection="1">
      <alignment vertical="center"/>
      <protection locked="0"/>
    </xf>
    <xf numFmtId="169" fontId="3" fillId="5" borderId="0" xfId="45" applyFill="1" applyAlignment="1">
      <alignment vertical="center"/>
    </xf>
    <xf numFmtId="0" fontId="5" fillId="8" borderId="0" xfId="27" applyFill="1" applyAlignment="1">
      <alignment vertical="center"/>
    </xf>
    <xf numFmtId="0" fontId="0" fillId="0" borderId="0" xfId="50" applyFont="1" applyFill="1">
      <alignment vertical="center"/>
    </xf>
    <xf numFmtId="0" fontId="5" fillId="0" borderId="0" xfId="27" applyFill="1" applyAlignment="1">
      <alignment vertical="center"/>
    </xf>
    <xf numFmtId="0" fontId="27" fillId="0" borderId="0" xfId="27" applyFont="1" applyFill="1" applyAlignment="1">
      <alignment vertical="center"/>
    </xf>
    <xf numFmtId="43" fontId="3" fillId="0" borderId="2" xfId="70" applyBorder="1" applyAlignment="1" applyProtection="1">
      <alignment vertical="center"/>
      <protection locked="0"/>
    </xf>
    <xf numFmtId="0" fontId="0" fillId="0" borderId="2" xfId="34" applyFont="1" applyAlignment="1">
      <alignment horizontal="right" vertical="center"/>
      <protection locked="0"/>
    </xf>
    <xf numFmtId="0" fontId="0" fillId="0" borderId="2" xfId="34" applyFont="1" applyFill="1" applyAlignment="1">
      <alignment horizontal="right" vertical="center"/>
      <protection locked="0"/>
    </xf>
    <xf numFmtId="190" fontId="3" fillId="0" borderId="2" xfId="70" applyNumberFormat="1" applyBorder="1" applyAlignment="1" applyProtection="1">
      <alignment vertical="center"/>
      <protection locked="0"/>
    </xf>
    <xf numFmtId="0" fontId="6" fillId="0" borderId="0" xfId="29" applyAlignment="1">
      <alignment vertical="center"/>
    </xf>
    <xf numFmtId="0" fontId="6" fillId="0" borderId="0" xfId="0" applyFont="1" applyAlignment="1">
      <alignment horizontal="left" vertical="center"/>
    </xf>
    <xf numFmtId="0" fontId="3" fillId="0" borderId="2" xfId="34" applyAlignment="1">
      <alignment horizontal="left" vertical="center"/>
      <protection locked="0"/>
    </xf>
    <xf numFmtId="0" fontId="6" fillId="0" borderId="0" xfId="0" applyFont="1" applyAlignment="1">
      <alignment horizontal="right" vertical="center"/>
    </xf>
    <xf numFmtId="190" fontId="0" fillId="0" borderId="0" xfId="70" applyNumberFormat="1" applyFont="1" applyAlignment="1">
      <alignment vertical="center"/>
    </xf>
    <xf numFmtId="171" fontId="6" fillId="0" borderId="0" xfId="54" applyNumberFormat="1">
      <alignment vertical="center"/>
    </xf>
    <xf numFmtId="0" fontId="6" fillId="0" borderId="2" xfId="34" applyFont="1" applyAlignment="1">
      <alignment horizontal="left" vertical="center"/>
      <protection locked="0"/>
    </xf>
    <xf numFmtId="0" fontId="6" fillId="0" borderId="2" xfId="34" applyFont="1" applyAlignment="1">
      <alignment horizontal="right" vertical="center"/>
      <protection locked="0"/>
    </xf>
    <xf numFmtId="171" fontId="6" fillId="0" borderId="2" xfId="34" applyNumberFormat="1" applyFont="1" applyAlignment="1">
      <alignment horizontal="right" vertical="center"/>
      <protection locked="0"/>
    </xf>
    <xf numFmtId="0" fontId="6" fillId="0" borderId="2" xfId="34" applyFont="1">
      <alignment vertical="center"/>
      <protection locked="0"/>
    </xf>
    <xf numFmtId="190" fontId="6" fillId="0" borderId="2" xfId="70" applyNumberFormat="1" applyFont="1" applyBorder="1" applyAlignment="1" applyProtection="1">
      <alignment vertical="center"/>
      <protection locked="0"/>
    </xf>
    <xf numFmtId="190" fontId="6" fillId="0" borderId="2" xfId="70" applyNumberFormat="1" applyFont="1" applyBorder="1" applyAlignment="1" applyProtection="1">
      <alignment horizontal="right" vertical="center"/>
      <protection locked="0"/>
    </xf>
    <xf numFmtId="0" fontId="15" fillId="0" borderId="0" xfId="0" applyNumberFormat="1" applyFont="1">
      <alignment vertical="center"/>
    </xf>
    <xf numFmtId="0" fontId="15" fillId="0" borderId="0" xfId="34" applyFont="1" applyFill="1" applyBorder="1" applyAlignment="1">
      <alignment horizontal="left" vertical="center"/>
      <protection locked="0"/>
    </xf>
    <xf numFmtId="0" fontId="0" fillId="0" borderId="0" xfId="0" applyAlignment="1"/>
    <xf numFmtId="0" fontId="0" fillId="0" borderId="21" xfId="0" applyBorder="1" applyAlignment="1"/>
    <xf numFmtId="0" fontId="0" fillId="0" borderId="22" xfId="0" applyBorder="1" applyAlignment="1"/>
    <xf numFmtId="0" fontId="0" fillId="0" borderId="23" xfId="0" applyBorder="1" applyAlignment="1"/>
    <xf numFmtId="0" fontId="0" fillId="0" borderId="23" xfId="0" applyBorder="1" applyAlignment="1">
      <alignment horizontal="right"/>
    </xf>
    <xf numFmtId="0" fontId="0" fillId="0" borderId="26" xfId="0" applyBorder="1" applyAlignment="1"/>
    <xf numFmtId="49" fontId="0" fillId="0" borderId="0" xfId="0" applyNumberFormat="1" applyAlignment="1"/>
    <xf numFmtId="0" fontId="0" fillId="0" borderId="27" xfId="0" applyBorder="1" applyAlignment="1"/>
    <xf numFmtId="0" fontId="0" fillId="0" borderId="29" xfId="0" applyBorder="1" applyAlignment="1"/>
    <xf numFmtId="0" fontId="0" fillId="0" borderId="28" xfId="0" applyBorder="1" applyAlignment="1"/>
    <xf numFmtId="0" fontId="0" fillId="0" borderId="0" xfId="0" applyBorder="1" applyAlignment="1"/>
    <xf numFmtId="0" fontId="0" fillId="0" borderId="22" xfId="0" applyBorder="1" applyAlignment="1">
      <alignment horizontal="center"/>
    </xf>
    <xf numFmtId="0" fontId="0" fillId="0" borderId="23" xfId="0" applyBorder="1" applyAlignment="1">
      <alignment horizontal="center"/>
    </xf>
    <xf numFmtId="0" fontId="0" fillId="0" borderId="32" xfId="0" applyBorder="1" applyAlignment="1"/>
    <xf numFmtId="0" fontId="0" fillId="0" borderId="33" xfId="0" applyBorder="1" applyAlignment="1"/>
    <xf numFmtId="0" fontId="0" fillId="0" borderId="34" xfId="0" applyBorder="1" applyAlignment="1"/>
    <xf numFmtId="0" fontId="0" fillId="0" borderId="25" xfId="0" applyBorder="1" applyAlignment="1"/>
    <xf numFmtId="0" fontId="0" fillId="0" borderId="0" xfId="0" applyFill="1" applyBorder="1" applyAlignment="1"/>
    <xf numFmtId="0" fontId="0" fillId="0" borderId="23" xfId="0" applyBorder="1" applyAlignment="1">
      <alignment horizontal="center" vertical="center"/>
    </xf>
    <xf numFmtId="0" fontId="0" fillId="67" borderId="0" xfId="71" applyFont="1" applyFill="1"/>
    <xf numFmtId="190" fontId="0" fillId="67" borderId="0" xfId="698" applyNumberFormat="1" applyFont="1" applyFill="1"/>
    <xf numFmtId="0" fontId="128" fillId="67" borderId="0" xfId="71" applyFont="1" applyFill="1" applyBorder="1"/>
    <xf numFmtId="190" fontId="0" fillId="67" borderId="0" xfId="698" applyNumberFormat="1" applyFont="1" applyFill="1" applyBorder="1"/>
    <xf numFmtId="0" fontId="0" fillId="67" borderId="0" xfId="71" applyFont="1" applyFill="1" applyBorder="1"/>
    <xf numFmtId="0" fontId="129" fillId="67" borderId="0" xfId="71" applyFont="1" applyFill="1" applyBorder="1"/>
    <xf numFmtId="0" fontId="130" fillId="67" borderId="0" xfId="71" applyFont="1" applyFill="1" applyBorder="1"/>
    <xf numFmtId="0" fontId="128" fillId="67" borderId="12" xfId="71" applyFont="1" applyFill="1" applyBorder="1"/>
    <xf numFmtId="190" fontId="0" fillId="67" borderId="12" xfId="698" applyNumberFormat="1" applyFont="1" applyFill="1" applyBorder="1"/>
    <xf numFmtId="0" fontId="0" fillId="67" borderId="0" xfId="71" applyFont="1" applyFill="1" applyAlignment="1">
      <alignment horizontal="right"/>
    </xf>
    <xf numFmtId="0" fontId="128" fillId="67" borderId="53" xfId="71" applyFont="1" applyFill="1" applyBorder="1"/>
    <xf numFmtId="190" fontId="0" fillId="68" borderId="59" xfId="698" applyNumberFormat="1" applyFont="1" applyFill="1" applyBorder="1" applyAlignment="1">
      <alignment horizontal="center"/>
    </xf>
    <xf numFmtId="0" fontId="0" fillId="67" borderId="55" xfId="71" applyFont="1" applyFill="1" applyBorder="1"/>
    <xf numFmtId="190" fontId="0" fillId="69" borderId="56" xfId="698" applyNumberFormat="1" applyFont="1" applyFill="1" applyBorder="1"/>
    <xf numFmtId="190" fontId="0" fillId="67" borderId="0" xfId="71" applyNumberFormat="1" applyFont="1" applyFill="1"/>
    <xf numFmtId="43" fontId="0" fillId="67" borderId="0" xfId="71" applyNumberFormat="1" applyFont="1" applyFill="1"/>
    <xf numFmtId="0" fontId="128" fillId="67" borderId="55" xfId="71" applyFont="1" applyFill="1" applyBorder="1" applyAlignment="1">
      <alignment horizontal="right"/>
    </xf>
    <xf numFmtId="233" fontId="0" fillId="67" borderId="0" xfId="71" applyNumberFormat="1" applyFont="1" applyFill="1"/>
    <xf numFmtId="0" fontId="128" fillId="67" borderId="55" xfId="71" applyFont="1" applyFill="1" applyBorder="1"/>
    <xf numFmtId="190" fontId="0" fillId="68" borderId="56" xfId="698" applyNumberFormat="1" applyFont="1" applyFill="1" applyBorder="1" applyAlignment="1">
      <alignment horizontal="center"/>
    </xf>
    <xf numFmtId="0" fontId="128" fillId="67" borderId="57" xfId="71" applyFont="1" applyFill="1" applyBorder="1" applyAlignment="1">
      <alignment horizontal="right"/>
    </xf>
    <xf numFmtId="190" fontId="0" fillId="69" borderId="58" xfId="698" applyNumberFormat="1" applyFont="1" applyFill="1" applyBorder="1"/>
    <xf numFmtId="0" fontId="128" fillId="67" borderId="0" xfId="71" applyFont="1" applyFill="1" applyBorder="1" applyAlignment="1">
      <alignment horizontal="right"/>
    </xf>
    <xf numFmtId="43" fontId="0" fillId="67" borderId="0" xfId="698" applyNumberFormat="1" applyFont="1" applyFill="1"/>
    <xf numFmtId="190" fontId="0" fillId="68" borderId="62" xfId="698" applyNumberFormat="1" applyFont="1" applyFill="1" applyBorder="1" applyAlignment="1">
      <alignment horizontal="center"/>
    </xf>
    <xf numFmtId="0" fontId="128" fillId="67" borderId="63" xfId="71" applyFont="1" applyFill="1" applyBorder="1"/>
    <xf numFmtId="190" fontId="0" fillId="69" borderId="60" xfId="698" applyNumberFormat="1" applyFont="1" applyFill="1" applyBorder="1"/>
    <xf numFmtId="43" fontId="0" fillId="67" borderId="0" xfId="698" applyFont="1" applyFill="1"/>
    <xf numFmtId="190" fontId="0" fillId="0" borderId="0" xfId="698" applyNumberFormat="1" applyFont="1"/>
    <xf numFmtId="0" fontId="0" fillId="67" borderId="63" xfId="71" applyFont="1" applyFill="1" applyBorder="1"/>
    <xf numFmtId="190" fontId="0" fillId="69" borderId="64" xfId="698" applyNumberFormat="1" applyFont="1" applyFill="1" applyBorder="1"/>
    <xf numFmtId="190" fontId="0" fillId="69" borderId="56" xfId="698" applyNumberFormat="1" applyFont="1" applyFill="1" applyBorder="1" applyAlignment="1"/>
    <xf numFmtId="0" fontId="0" fillId="67" borderId="65" xfId="71" applyFont="1" applyFill="1" applyBorder="1"/>
    <xf numFmtId="190" fontId="0" fillId="68" borderId="56" xfId="698" applyNumberFormat="1" applyFont="1" applyFill="1" applyBorder="1" applyAlignment="1"/>
    <xf numFmtId="190" fontId="0" fillId="68" borderId="60" xfId="698" applyNumberFormat="1" applyFont="1" applyFill="1" applyBorder="1" applyAlignment="1"/>
    <xf numFmtId="190" fontId="0" fillId="68" borderId="62" xfId="698" applyNumberFormat="1" applyFont="1" applyFill="1" applyBorder="1" applyAlignment="1"/>
    <xf numFmtId="0" fontId="128" fillId="67" borderId="65" xfId="71" applyFont="1" applyFill="1" applyBorder="1"/>
    <xf numFmtId="190" fontId="0" fillId="68" borderId="56" xfId="698" applyNumberFormat="1" applyFont="1" applyFill="1" applyBorder="1"/>
    <xf numFmtId="0" fontId="128" fillId="67" borderId="55" xfId="71" applyFont="1" applyFill="1" applyBorder="1" applyAlignment="1">
      <alignment horizontal="left"/>
    </xf>
    <xf numFmtId="0" fontId="128" fillId="67" borderId="0" xfId="71" applyFont="1" applyFill="1"/>
    <xf numFmtId="190" fontId="128" fillId="67" borderId="0" xfId="698" applyNumberFormat="1" applyFont="1" applyFill="1"/>
    <xf numFmtId="190" fontId="128" fillId="67" borderId="0" xfId="71" applyNumberFormat="1" applyFont="1" applyFill="1"/>
    <xf numFmtId="0" fontId="132" fillId="67" borderId="0" xfId="71" applyFont="1" applyFill="1" applyBorder="1"/>
    <xf numFmtId="190" fontId="132" fillId="67" borderId="0" xfId="698" applyNumberFormat="1" applyFont="1" applyFill="1" applyBorder="1"/>
    <xf numFmtId="0" fontId="132" fillId="67" borderId="0" xfId="698" applyNumberFormat="1" applyFont="1" applyFill="1" applyBorder="1"/>
    <xf numFmtId="0" fontId="132" fillId="67" borderId="0" xfId="71" applyFont="1" applyFill="1"/>
    <xf numFmtId="0" fontId="0" fillId="67" borderId="0" xfId="698" applyNumberFormat="1" applyFont="1" applyFill="1" applyBorder="1"/>
    <xf numFmtId="0" fontId="129" fillId="67" borderId="12" xfId="71" applyFont="1" applyFill="1" applyBorder="1"/>
    <xf numFmtId="190" fontId="132" fillId="67" borderId="12" xfId="698" applyNumberFormat="1" applyFont="1" applyFill="1" applyBorder="1"/>
    <xf numFmtId="0" fontId="132" fillId="0" borderId="55" xfId="71" applyFont="1" applyBorder="1"/>
    <xf numFmtId="190" fontId="132" fillId="68" borderId="56" xfId="698" applyNumberFormat="1" applyFont="1" applyFill="1" applyBorder="1" applyAlignment="1">
      <alignment horizontal="center"/>
    </xf>
    <xf numFmtId="0" fontId="132" fillId="68" borderId="0" xfId="698" applyNumberFormat="1" applyFont="1" applyFill="1" applyBorder="1" applyAlignment="1">
      <alignment horizontal="center"/>
    </xf>
    <xf numFmtId="190" fontId="132" fillId="69" borderId="56" xfId="698" applyNumberFormat="1" applyFont="1" applyFill="1" applyBorder="1"/>
    <xf numFmtId="190" fontId="132" fillId="69" borderId="0" xfId="698" applyNumberFormat="1" applyFont="1" applyFill="1" applyBorder="1"/>
    <xf numFmtId="0" fontId="132" fillId="69" borderId="0" xfId="698" applyNumberFormat="1" applyFont="1" applyFill="1" applyBorder="1"/>
    <xf numFmtId="234" fontId="132" fillId="67" borderId="0" xfId="71" applyNumberFormat="1" applyFont="1" applyFill="1"/>
    <xf numFmtId="0" fontId="129" fillId="0" borderId="55" xfId="71" applyFont="1" applyBorder="1"/>
    <xf numFmtId="0" fontId="129" fillId="0" borderId="55" xfId="71" applyFont="1" applyBorder="1" applyAlignment="1">
      <alignment horizontal="right"/>
    </xf>
    <xf numFmtId="190" fontId="132" fillId="68" borderId="60" xfId="698" applyNumberFormat="1" applyFont="1" applyFill="1" applyBorder="1" applyAlignment="1">
      <alignment horizontal="center"/>
    </xf>
    <xf numFmtId="190" fontId="132" fillId="68" borderId="62" xfId="698" applyNumberFormat="1" applyFont="1" applyFill="1" applyBorder="1" applyAlignment="1">
      <alignment horizontal="center"/>
    </xf>
    <xf numFmtId="0" fontId="132" fillId="0" borderId="0" xfId="698" applyNumberFormat="1" applyFont="1" applyBorder="1"/>
    <xf numFmtId="0" fontId="129" fillId="0" borderId="57" xfId="71" applyFont="1" applyBorder="1" applyAlignment="1">
      <alignment horizontal="right"/>
    </xf>
    <xf numFmtId="190" fontId="132" fillId="69" borderId="58" xfId="698" applyNumberFormat="1" applyFont="1" applyFill="1" applyBorder="1"/>
    <xf numFmtId="190" fontId="132" fillId="67" borderId="0" xfId="698" applyNumberFormat="1" applyFont="1" applyFill="1"/>
    <xf numFmtId="190" fontId="132" fillId="68" borderId="0" xfId="698" applyNumberFormat="1" applyFont="1" applyFill="1" applyBorder="1" applyAlignment="1">
      <alignment horizontal="center"/>
    </xf>
    <xf numFmtId="43" fontId="132" fillId="67" borderId="0" xfId="71" applyNumberFormat="1" applyFont="1" applyFill="1"/>
    <xf numFmtId="190" fontId="132" fillId="69" borderId="60" xfId="698" applyNumberFormat="1" applyFont="1" applyFill="1" applyBorder="1"/>
    <xf numFmtId="0" fontId="129" fillId="0" borderId="63" xfId="71" applyFont="1" applyBorder="1"/>
    <xf numFmtId="190" fontId="132" fillId="69" borderId="64" xfId="698" applyNumberFormat="1" applyFont="1" applyFill="1" applyBorder="1"/>
    <xf numFmtId="190" fontId="132" fillId="0" borderId="0" xfId="698" applyNumberFormat="1" applyFont="1" applyBorder="1"/>
    <xf numFmtId="190" fontId="132" fillId="68" borderId="60" xfId="698" applyNumberFormat="1" applyFont="1" applyFill="1" applyBorder="1" applyAlignment="1"/>
    <xf numFmtId="190" fontId="132" fillId="68" borderId="0" xfId="698" applyNumberFormat="1" applyFont="1" applyFill="1" applyBorder="1" applyAlignment="1"/>
    <xf numFmtId="190" fontId="132" fillId="68" borderId="64" xfId="698" applyNumberFormat="1" applyFont="1" applyFill="1" applyBorder="1" applyAlignment="1"/>
    <xf numFmtId="0" fontId="129" fillId="0" borderId="68" xfId="71" applyFont="1" applyBorder="1"/>
    <xf numFmtId="190" fontId="132" fillId="68" borderId="64" xfId="698" applyNumberFormat="1" applyFont="1" applyFill="1" applyBorder="1" applyAlignment="1">
      <alignment horizontal="center"/>
    </xf>
    <xf numFmtId="190" fontId="132" fillId="69" borderId="56" xfId="698" applyNumberFormat="1" applyFont="1" applyFill="1" applyBorder="1" applyAlignment="1">
      <alignment horizontal="center"/>
    </xf>
    <xf numFmtId="190" fontId="132" fillId="69" borderId="0" xfId="698" applyNumberFormat="1" applyFont="1" applyFill="1" applyBorder="1" applyAlignment="1">
      <alignment horizontal="center"/>
    </xf>
    <xf numFmtId="190" fontId="132" fillId="69" borderId="64" xfId="698" applyNumberFormat="1" applyFont="1" applyFill="1" applyBorder="1" applyAlignment="1"/>
    <xf numFmtId="190" fontId="132" fillId="69" borderId="0" xfId="698" applyNumberFormat="1" applyFont="1" applyFill="1" applyBorder="1" applyAlignment="1"/>
    <xf numFmtId="190" fontId="132" fillId="69" borderId="56" xfId="698" applyNumberFormat="1" applyFont="1" applyFill="1" applyBorder="1" applyAlignment="1"/>
    <xf numFmtId="0" fontId="129" fillId="67" borderId="0" xfId="71" applyFont="1" applyFill="1"/>
    <xf numFmtId="190" fontId="129" fillId="67" borderId="0" xfId="698" applyNumberFormat="1" applyFont="1" applyFill="1"/>
    <xf numFmtId="43" fontId="3" fillId="5" borderId="0" xfId="36" applyNumberFormat="1" applyAlignment="1">
      <alignment horizontal="right" vertical="center" wrapText="1"/>
    </xf>
    <xf numFmtId="9" fontId="3" fillId="4" borderId="2" xfId="35" applyNumberFormat="1">
      <alignment vertical="center"/>
      <protection locked="0"/>
    </xf>
    <xf numFmtId="171" fontId="3" fillId="0" borderId="0" xfId="8">
      <alignment vertical="center"/>
    </xf>
    <xf numFmtId="171" fontId="3" fillId="0" borderId="1" xfId="33" applyNumberFormat="1">
      <alignment vertical="center"/>
    </xf>
    <xf numFmtId="171" fontId="3" fillId="5" borderId="0" xfId="36" applyNumberFormat="1">
      <alignment vertical="center"/>
    </xf>
    <xf numFmtId="187" fontId="0" fillId="10" borderId="0" xfId="41" applyNumberFormat="1" applyFont="1" applyFill="1">
      <alignment vertical="center"/>
    </xf>
    <xf numFmtId="188" fontId="3" fillId="10" borderId="0" xfId="1" applyNumberFormat="1" applyFill="1">
      <alignment vertical="center"/>
    </xf>
    <xf numFmtId="235" fontId="3" fillId="0" borderId="1" xfId="33" applyNumberFormat="1">
      <alignment vertical="center"/>
    </xf>
    <xf numFmtId="10" fontId="0" fillId="7" borderId="0" xfId="43" applyNumberFormat="1" applyFont="1" applyAlignment="1">
      <alignment vertical="center"/>
    </xf>
    <xf numFmtId="169" fontId="3" fillId="7" borderId="0" xfId="43" applyNumberFormat="1">
      <alignment vertical="center"/>
    </xf>
    <xf numFmtId="168" fontId="3" fillId="70" borderId="2" xfId="34" applyNumberFormat="1" applyFill="1" applyAlignment="1">
      <alignment vertical="center"/>
      <protection locked="0"/>
    </xf>
    <xf numFmtId="166" fontId="3" fillId="70" borderId="1" xfId="32" applyNumberFormat="1" applyFill="1" applyBorder="1">
      <alignment vertical="center"/>
    </xf>
    <xf numFmtId="166" fontId="3" fillId="70" borderId="1" xfId="41" applyFill="1" applyBorder="1">
      <alignment vertical="center"/>
    </xf>
    <xf numFmtId="190" fontId="3" fillId="70" borderId="2" xfId="70" applyNumberFormat="1" applyFill="1" applyBorder="1" applyAlignment="1" applyProtection="1">
      <alignment vertical="center"/>
      <protection locked="0"/>
    </xf>
    <xf numFmtId="190" fontId="0" fillId="70" borderId="2" xfId="70" applyNumberFormat="1" applyFont="1" applyFill="1" applyBorder="1" applyAlignment="1" applyProtection="1">
      <alignment vertical="center"/>
      <protection locked="0"/>
    </xf>
    <xf numFmtId="43" fontId="3" fillId="70" borderId="2" xfId="70" applyFill="1" applyBorder="1" applyAlignment="1" applyProtection="1">
      <alignment horizontal="right" vertical="center" wrapText="1"/>
      <protection locked="0"/>
    </xf>
    <xf numFmtId="43" fontId="0" fillId="70" borderId="2" xfId="70" applyFont="1" applyFill="1" applyBorder="1" applyAlignment="1" applyProtection="1">
      <alignment horizontal="right" vertical="center" wrapText="1"/>
      <protection locked="0"/>
    </xf>
    <xf numFmtId="43" fontId="3" fillId="70" borderId="2" xfId="70" applyFill="1" applyBorder="1" applyAlignment="1" applyProtection="1">
      <alignment vertical="center" wrapText="1"/>
      <protection locked="0"/>
    </xf>
    <xf numFmtId="43" fontId="3" fillId="70" borderId="2" xfId="70" applyFill="1" applyBorder="1" applyAlignment="1" applyProtection="1">
      <alignment horizontal="right" vertical="center"/>
      <protection locked="0"/>
    </xf>
    <xf numFmtId="43" fontId="0" fillId="70" borderId="2" xfId="70" applyFont="1" applyFill="1" applyBorder="1" applyAlignment="1" applyProtection="1">
      <alignment horizontal="right" vertical="center"/>
      <protection locked="0"/>
    </xf>
    <xf numFmtId="43" fontId="0" fillId="70" borderId="2" xfId="70" applyFont="1" applyFill="1" applyBorder="1" applyAlignment="1" applyProtection="1">
      <alignment vertical="center"/>
      <protection locked="0"/>
    </xf>
    <xf numFmtId="171" fontId="3" fillId="70" borderId="2" xfId="34" applyNumberFormat="1" applyFont="1" applyFill="1" applyAlignment="1">
      <alignment horizontal="right" vertical="center"/>
      <protection locked="0"/>
    </xf>
    <xf numFmtId="0" fontId="0" fillId="70" borderId="2" xfId="34" applyFont="1" applyFill="1">
      <alignment vertical="center"/>
      <protection locked="0"/>
    </xf>
    <xf numFmtId="0" fontId="3" fillId="70" borderId="2" xfId="34" applyFill="1">
      <alignment vertical="center"/>
      <protection locked="0"/>
    </xf>
    <xf numFmtId="0" fontId="0" fillId="70" borderId="0" xfId="0" applyFill="1" applyAlignment="1">
      <alignment vertical="center"/>
    </xf>
    <xf numFmtId="3" fontId="0" fillId="70" borderId="0" xfId="0" applyNumberFormat="1" applyFill="1" applyAlignment="1"/>
    <xf numFmtId="3" fontId="3" fillId="70" borderId="2" xfId="34" applyNumberFormat="1" applyFill="1" applyAlignment="1">
      <protection locked="0"/>
    </xf>
    <xf numFmtId="9" fontId="0" fillId="70" borderId="30" xfId="1593" applyNumberFormat="1" applyFont="1" applyFill="1" applyBorder="1" applyProtection="1"/>
    <xf numFmtId="9" fontId="0" fillId="70" borderId="31" xfId="1593" applyNumberFormat="1" applyFont="1" applyFill="1" applyBorder="1" applyProtection="1"/>
    <xf numFmtId="9" fontId="0" fillId="70" borderId="35" xfId="1593" applyNumberFormat="1" applyFont="1" applyFill="1" applyBorder="1" applyProtection="1"/>
    <xf numFmtId="9" fontId="0" fillId="70" borderId="21" xfId="1593" applyNumberFormat="1" applyFont="1" applyFill="1" applyBorder="1" applyProtection="1"/>
    <xf numFmtId="9" fontId="0" fillId="70" borderId="28" xfId="1593" applyNumberFormat="1" applyFont="1" applyFill="1" applyBorder="1" applyProtection="1"/>
    <xf numFmtId="9" fontId="0" fillId="70" borderId="32" xfId="1593" applyNumberFormat="1" applyFont="1" applyFill="1" applyBorder="1" applyProtection="1"/>
    <xf numFmtId="9" fontId="0" fillId="70" borderId="28" xfId="1593" applyNumberFormat="1" applyFont="1" applyFill="1" applyBorder="1" applyAlignment="1" applyProtection="1">
      <alignment horizontal="right"/>
    </xf>
    <xf numFmtId="9" fontId="0" fillId="70" borderId="32" xfId="1593" applyNumberFormat="1" applyFont="1" applyFill="1" applyBorder="1" applyAlignment="1" applyProtection="1">
      <alignment horizontal="right"/>
    </xf>
    <xf numFmtId="9" fontId="0" fillId="70" borderId="0" xfId="1593" applyNumberFormat="1" applyFont="1" applyFill="1" applyProtection="1"/>
    <xf numFmtId="9" fontId="0" fillId="70" borderId="21" xfId="1593" applyNumberFormat="1" applyFont="1" applyFill="1" applyBorder="1" applyAlignment="1" applyProtection="1">
      <alignment horizontal="right"/>
    </xf>
    <xf numFmtId="9" fontId="0" fillId="70" borderId="35" xfId="0" applyNumberFormat="1" applyFill="1" applyBorder="1" applyAlignment="1"/>
    <xf numFmtId="9" fontId="0" fillId="70" borderId="23" xfId="1593" applyNumberFormat="1" applyFont="1" applyFill="1" applyBorder="1" applyProtection="1"/>
    <xf numFmtId="9" fontId="0" fillId="70" borderId="28" xfId="0" applyNumberFormat="1" applyFill="1" applyBorder="1" applyAlignment="1"/>
    <xf numFmtId="9" fontId="0" fillId="70" borderId="32" xfId="0" applyNumberFormat="1" applyFill="1" applyBorder="1" applyAlignment="1"/>
    <xf numFmtId="169" fontId="3" fillId="70" borderId="3" xfId="45" applyFill="1" applyBorder="1" applyAlignment="1" applyProtection="1">
      <alignment vertical="center"/>
      <protection locked="0"/>
    </xf>
    <xf numFmtId="168" fontId="3" fillId="70" borderId="1" xfId="33" applyNumberFormat="1" applyFill="1" applyAlignment="1">
      <alignment vertical="center"/>
    </xf>
    <xf numFmtId="169" fontId="3" fillId="70" borderId="1" xfId="45" applyFill="1" applyBorder="1">
      <alignment vertical="center"/>
    </xf>
    <xf numFmtId="0" fontId="0" fillId="0" borderId="15" xfId="34" applyFont="1" applyBorder="1" applyAlignment="1">
      <alignment horizontal="center" vertical="center"/>
      <protection locked="0"/>
    </xf>
    <xf numFmtId="190" fontId="129" fillId="0" borderId="54" xfId="698" applyNumberFormat="1" applyFont="1" applyBorder="1" applyAlignment="1">
      <alignment horizontal="center" vertical="center" wrapText="1"/>
    </xf>
    <xf numFmtId="0" fontId="6" fillId="2" borderId="9" xfId="3" applyBorder="1" applyAlignment="1">
      <alignment vertical="top" wrapText="1"/>
    </xf>
    <xf numFmtId="0" fontId="0" fillId="0" borderId="9" xfId="0" applyBorder="1" applyAlignment="1">
      <alignment vertical="top" wrapText="1"/>
    </xf>
    <xf numFmtId="0" fontId="6" fillId="2" borderId="9" xfId="3" applyBorder="1" applyAlignment="1">
      <alignment vertical="top"/>
    </xf>
    <xf numFmtId="0" fontId="0" fillId="0" borderId="9" xfId="0" applyBorder="1" applyAlignment="1">
      <alignment vertical="top"/>
    </xf>
    <xf numFmtId="0" fontId="3" fillId="0" borderId="15" xfId="34" applyFill="1" applyBorder="1" applyAlignment="1">
      <alignment vertical="center"/>
      <protection locked="0"/>
    </xf>
    <xf numFmtId="0" fontId="3" fillId="0" borderId="16" xfId="34" applyFill="1" applyBorder="1" applyAlignment="1">
      <alignment vertical="center"/>
      <protection locked="0"/>
    </xf>
    <xf numFmtId="0" fontId="3" fillId="0" borderId="15" xfId="34" applyBorder="1" applyAlignment="1">
      <alignment vertical="center"/>
      <protection locked="0"/>
    </xf>
    <xf numFmtId="0" fontId="3" fillId="0" borderId="16" xfId="34" applyBorder="1" applyAlignment="1">
      <alignment vertical="center"/>
      <protection locked="0"/>
    </xf>
    <xf numFmtId="0" fontId="0" fillId="0" borderId="15" xfId="34" applyFont="1" applyBorder="1" applyAlignment="1">
      <alignment vertical="center"/>
      <protection locked="0"/>
    </xf>
    <xf numFmtId="0" fontId="0" fillId="0" borderId="16" xfId="34" applyFont="1" applyBorder="1" applyAlignment="1">
      <alignment vertical="center"/>
      <protection locked="0"/>
    </xf>
    <xf numFmtId="0" fontId="0" fillId="0" borderId="15" xfId="35" applyNumberFormat="1" applyFont="1" applyFill="1" applyBorder="1" applyAlignment="1">
      <alignment vertical="center"/>
      <protection locked="0"/>
    </xf>
    <xf numFmtId="0" fontId="0" fillId="0" borderId="16" xfId="35" applyNumberFormat="1" applyFont="1" applyFill="1" applyBorder="1" applyAlignment="1">
      <alignment vertical="center"/>
      <protection locked="0"/>
    </xf>
    <xf numFmtId="0" fontId="0" fillId="0" borderId="15" xfId="34" applyFont="1" applyFill="1" applyBorder="1" applyAlignment="1">
      <alignment vertical="center"/>
      <protection locked="0"/>
    </xf>
    <xf numFmtId="0" fontId="0" fillId="0" borderId="16" xfId="34" applyFont="1" applyFill="1" applyBorder="1" applyAlignment="1">
      <alignment vertical="center"/>
      <protection locked="0"/>
    </xf>
    <xf numFmtId="0" fontId="3" fillId="0" borderId="15" xfId="34" applyFill="1" applyBorder="1" applyAlignment="1">
      <alignment horizontal="left" vertical="center"/>
      <protection locked="0"/>
    </xf>
    <xf numFmtId="0" fontId="3" fillId="0" borderId="16" xfId="34" applyFill="1" applyBorder="1" applyAlignment="1">
      <alignment horizontal="left" vertical="center"/>
      <protection locked="0"/>
    </xf>
    <xf numFmtId="0" fontId="3" fillId="0" borderId="15" xfId="34" applyBorder="1" applyAlignment="1">
      <alignment horizontal="left" vertical="center"/>
      <protection locked="0"/>
    </xf>
    <xf numFmtId="0" fontId="3" fillId="0" borderId="16" xfId="34" applyBorder="1" applyAlignment="1">
      <alignment horizontal="left" vertical="center"/>
      <protection locked="0"/>
    </xf>
    <xf numFmtId="0" fontId="0" fillId="0" borderId="15" xfId="34" applyFont="1" applyBorder="1" applyAlignment="1">
      <alignment horizontal="left" vertical="center"/>
      <protection locked="0"/>
    </xf>
    <xf numFmtId="0" fontId="0" fillId="0" borderId="16" xfId="34" applyFont="1" applyBorder="1" applyAlignment="1">
      <alignment horizontal="left" vertical="center"/>
      <protection locked="0"/>
    </xf>
    <xf numFmtId="0" fontId="0" fillId="0" borderId="15" xfId="35" applyNumberFormat="1" applyFont="1" applyFill="1" applyBorder="1" applyAlignment="1">
      <alignment horizontal="left" vertical="center"/>
      <protection locked="0"/>
    </xf>
    <xf numFmtId="0" fontId="0" fillId="0" borderId="16" xfId="35" applyNumberFormat="1" applyFont="1" applyFill="1" applyBorder="1" applyAlignment="1">
      <alignment horizontal="left" vertical="center"/>
      <protection locked="0"/>
    </xf>
    <xf numFmtId="0" fontId="0" fillId="0" borderId="15" xfId="34" applyFont="1" applyFill="1" applyBorder="1" applyAlignment="1">
      <alignment horizontal="left" vertical="center"/>
      <protection locked="0"/>
    </xf>
    <xf numFmtId="0" fontId="0" fillId="0" borderId="16" xfId="34" applyFont="1" applyFill="1" applyBorder="1" applyAlignment="1">
      <alignment horizontal="left" vertical="center"/>
      <protection locked="0"/>
    </xf>
    <xf numFmtId="0" fontId="6" fillId="2" borderId="0" xfId="3" applyBorder="1" applyAlignment="1">
      <alignment horizontal="center" vertical="top" wrapText="1"/>
    </xf>
    <xf numFmtId="0" fontId="133" fillId="2" borderId="74" xfId="3" applyFont="1" applyBorder="1" applyAlignment="1">
      <alignment horizontal="center" vertical="top" wrapText="1"/>
    </xf>
    <xf numFmtId="0" fontId="133" fillId="2" borderId="75" xfId="3" applyFont="1" applyBorder="1" applyAlignment="1">
      <alignment horizontal="center" vertical="top" wrapText="1"/>
    </xf>
    <xf numFmtId="0" fontId="133" fillId="2" borderId="76" xfId="3" applyFont="1" applyBorder="1" applyAlignment="1">
      <alignment horizontal="center" vertical="top" wrapText="1"/>
    </xf>
    <xf numFmtId="0" fontId="6" fillId="2" borderId="17" xfId="3" applyBorder="1">
      <alignment horizontal="center" vertical="top" wrapText="1"/>
    </xf>
    <xf numFmtId="0" fontId="6" fillId="2" borderId="72" xfId="3" applyBorder="1" applyAlignment="1">
      <alignment horizontal="center" vertical="top" wrapText="1"/>
    </xf>
    <xf numFmtId="0" fontId="6" fillId="2" borderId="10" xfId="3" applyBorder="1" applyAlignment="1">
      <alignment horizontal="center" vertical="top" wrapText="1"/>
    </xf>
    <xf numFmtId="0" fontId="6" fillId="2" borderId="71" xfId="3" applyBorder="1">
      <alignment horizontal="center" vertical="top" wrapText="1"/>
    </xf>
    <xf numFmtId="0" fontId="6" fillId="2" borderId="77" xfId="3" applyBorder="1">
      <alignment horizontal="center" vertical="top" wrapText="1"/>
    </xf>
    <xf numFmtId="0" fontId="6" fillId="2" borderId="78" xfId="3" applyBorder="1" applyAlignment="1">
      <alignment horizontal="center" vertical="top" wrapText="1"/>
    </xf>
    <xf numFmtId="0" fontId="6" fillId="2" borderId="74" xfId="3" applyBorder="1" applyAlignment="1">
      <alignment vertical="top" wrapText="1"/>
    </xf>
    <xf numFmtId="0" fontId="6" fillId="2" borderId="76" xfId="3" applyBorder="1" applyAlignment="1">
      <alignment vertical="top" wrapText="1"/>
    </xf>
    <xf numFmtId="0" fontId="6" fillId="2" borderId="73" xfId="3" applyBorder="1">
      <alignment horizontal="center" vertical="top" wrapText="1"/>
    </xf>
    <xf numFmtId="0" fontId="6" fillId="2" borderId="74" xfId="3" applyBorder="1">
      <alignment horizontal="center" vertical="top" wrapText="1"/>
    </xf>
    <xf numFmtId="0" fontId="6" fillId="2" borderId="75" xfId="3" applyBorder="1">
      <alignment horizontal="center" vertical="top" wrapText="1"/>
    </xf>
    <xf numFmtId="0" fontId="0" fillId="0" borderId="79" xfId="34" applyFont="1" applyBorder="1" applyAlignment="1">
      <alignment vertical="center"/>
      <protection locked="0"/>
    </xf>
    <xf numFmtId="0" fontId="133" fillId="67" borderId="0" xfId="3" applyFont="1" applyFill="1" applyBorder="1" applyAlignment="1">
      <alignment horizontal="center" vertical="top" wrapText="1"/>
    </xf>
    <xf numFmtId="0" fontId="6" fillId="67" borderId="0" xfId="3" applyFill="1" applyBorder="1" applyAlignment="1">
      <alignment vertical="top" wrapText="1"/>
    </xf>
    <xf numFmtId="0" fontId="6" fillId="67" borderId="0" xfId="3" applyFill="1" applyBorder="1">
      <alignment horizontal="center" vertical="top" wrapText="1"/>
    </xf>
    <xf numFmtId="0" fontId="6" fillId="67" borderId="0" xfId="3" applyFill="1" applyBorder="1" applyAlignment="1">
      <alignment horizontal="center" vertical="top" wrapText="1"/>
    </xf>
    <xf numFmtId="0" fontId="133" fillId="2" borderId="80" xfId="3" applyFont="1" applyBorder="1" applyAlignment="1">
      <alignment horizontal="center" vertical="top" wrapText="1"/>
    </xf>
    <xf numFmtId="0" fontId="133" fillId="2" borderId="11" xfId="3" applyFont="1" applyBorder="1" applyAlignment="1">
      <alignment horizontal="center" vertical="top" wrapText="1"/>
    </xf>
    <xf numFmtId="0" fontId="133" fillId="2" borderId="81" xfId="3" applyFont="1" applyBorder="1" applyAlignment="1">
      <alignment horizontal="center" vertical="top" wrapText="1"/>
    </xf>
    <xf numFmtId="0" fontId="6" fillId="2" borderId="17" xfId="3" applyBorder="1" applyAlignment="1">
      <alignment vertical="top" wrapText="1"/>
    </xf>
    <xf numFmtId="0" fontId="6" fillId="2" borderId="19" xfId="3" applyBorder="1" applyAlignment="1">
      <alignment vertical="top" wrapText="1"/>
    </xf>
    <xf numFmtId="0" fontId="6" fillId="2" borderId="18" xfId="3" applyBorder="1" applyAlignment="1">
      <alignment vertical="top" wrapText="1"/>
    </xf>
    <xf numFmtId="189" fontId="26" fillId="0" borderId="0" xfId="0" applyNumberFormat="1" applyFont="1" applyAlignment="1">
      <alignment vertical="center" wrapText="1"/>
    </xf>
    <xf numFmtId="0" fontId="6" fillId="2" borderId="20" xfId="3" applyBorder="1" applyAlignment="1">
      <alignment vertical="top" wrapText="1"/>
    </xf>
    <xf numFmtId="0" fontId="24" fillId="11" borderId="0" xfId="0" applyFont="1" applyFill="1" applyAlignment="1"/>
    <xf numFmtId="0" fontId="25" fillId="11" borderId="0" xfId="0" applyFont="1" applyFill="1" applyAlignment="1"/>
    <xf numFmtId="0" fontId="0" fillId="0" borderId="24" xfId="0" applyBorder="1" applyAlignment="1"/>
    <xf numFmtId="9" fontId="0" fillId="70" borderId="26" xfId="1593" applyNumberFormat="1" applyFont="1" applyFill="1" applyBorder="1" applyAlignment="1" applyProtection="1"/>
    <xf numFmtId="9" fontId="0" fillId="70" borderId="30" xfId="1593" applyNumberFormat="1" applyFont="1" applyFill="1" applyBorder="1" applyAlignment="1" applyProtection="1"/>
    <xf numFmtId="9" fontId="0" fillId="70" borderId="0" xfId="1593" applyNumberFormat="1" applyFont="1" applyFill="1" applyBorder="1" applyAlignment="1" applyProtection="1"/>
    <xf numFmtId="9" fontId="0" fillId="70" borderId="31" xfId="1593" applyNumberFormat="1" applyFont="1" applyFill="1" applyBorder="1" applyAlignment="1" applyProtection="1"/>
    <xf numFmtId="9" fontId="0" fillId="70" borderId="33" xfId="1593" applyNumberFormat="1" applyFont="1" applyFill="1" applyBorder="1" applyAlignment="1" applyProtection="1"/>
    <xf numFmtId="9" fontId="0" fillId="70" borderId="35" xfId="1593" applyNumberFormat="1" applyFont="1" applyFill="1" applyBorder="1" applyAlignment="1" applyProtection="1"/>
    <xf numFmtId="0" fontId="0" fillId="0" borderId="21" xfId="0" applyBorder="1" applyAlignment="1">
      <alignment horizontal="center" vertical="center" textRotation="90" wrapText="1"/>
    </xf>
    <xf numFmtId="0" fontId="0" fillId="0" borderId="28" xfId="0" applyBorder="1" applyAlignment="1">
      <alignment horizontal="center" vertical="center" textRotation="90" wrapText="1"/>
    </xf>
    <xf numFmtId="0" fontId="0" fillId="0" borderId="32" xfId="0" applyBorder="1" applyAlignment="1">
      <alignment horizontal="center" vertical="center" textRotation="90" wrapText="1"/>
    </xf>
    <xf numFmtId="0" fontId="0" fillId="0" borderId="29" xfId="0"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0" fillId="0" borderId="35" xfId="0" applyBorder="1" applyAlignment="1">
      <alignment vertical="center"/>
    </xf>
    <xf numFmtId="189" fontId="26" fillId="70" borderId="0" xfId="1496" applyFont="1" applyFill="1" applyAlignment="1">
      <alignment vertical="center" wrapText="1"/>
    </xf>
    <xf numFmtId="0" fontId="128" fillId="67" borderId="53" xfId="71" applyFont="1" applyFill="1" applyBorder="1" applyAlignment="1">
      <alignment vertical="center"/>
    </xf>
    <xf numFmtId="0" fontId="128" fillId="67" borderId="55" xfId="71" applyFont="1" applyFill="1" applyBorder="1" applyAlignment="1">
      <alignment vertical="center"/>
    </xf>
    <xf numFmtId="0" fontId="128" fillId="67" borderId="57" xfId="71" applyFont="1" applyFill="1" applyBorder="1" applyAlignment="1">
      <alignment vertical="center"/>
    </xf>
    <xf numFmtId="190" fontId="128" fillId="0" borderId="54" xfId="698" applyNumberFormat="1" applyFont="1" applyBorder="1" applyAlignment="1">
      <alignment vertical="center" wrapText="1"/>
    </xf>
    <xf numFmtId="190" fontId="128" fillId="0" borderId="56" xfId="698" applyNumberFormat="1" applyFont="1" applyBorder="1" applyAlignment="1">
      <alignment vertical="center" wrapText="1"/>
    </xf>
    <xf numFmtId="190" fontId="128" fillId="0" borderId="58" xfId="698" applyNumberFormat="1" applyFont="1" applyBorder="1" applyAlignment="1">
      <alignment vertical="center" wrapText="1"/>
    </xf>
    <xf numFmtId="190" fontId="0" fillId="68" borderId="59" xfId="698" applyNumberFormat="1" applyFont="1" applyFill="1" applyBorder="1" applyAlignment="1"/>
    <xf numFmtId="0" fontId="128" fillId="67" borderId="61" xfId="71" applyFont="1" applyFill="1" applyBorder="1" applyAlignment="1">
      <alignment vertical="center"/>
    </xf>
    <xf numFmtId="190" fontId="0" fillId="68" borderId="64" xfId="698" applyNumberFormat="1" applyFont="1" applyFill="1" applyBorder="1" applyAlignment="1"/>
    <xf numFmtId="0" fontId="128" fillId="67" borderId="66" xfId="71" applyFont="1" applyFill="1" applyBorder="1" applyAlignment="1">
      <alignment vertical="center" wrapText="1"/>
    </xf>
    <xf numFmtId="0" fontId="128" fillId="67" borderId="67" xfId="71" applyFont="1" applyFill="1" applyBorder="1" applyAlignment="1">
      <alignment vertical="center" wrapText="1"/>
    </xf>
    <xf numFmtId="0" fontId="128" fillId="67" borderId="68" xfId="71" applyFont="1" applyFill="1" applyBorder="1" applyAlignment="1">
      <alignment vertical="center" wrapText="1"/>
    </xf>
    <xf numFmtId="189" fontId="131" fillId="70" borderId="0" xfId="1390" applyFont="1" applyFill="1" applyAlignment="1">
      <alignment vertical="center" wrapText="1"/>
    </xf>
    <xf numFmtId="0" fontId="129" fillId="0" borderId="61" xfId="71" applyFont="1" applyBorder="1" applyAlignment="1">
      <alignment vertical="center"/>
    </xf>
    <xf numFmtId="0" fontId="129" fillId="0" borderId="55" xfId="71" applyFont="1" applyBorder="1" applyAlignment="1">
      <alignment vertical="center"/>
    </xf>
    <xf numFmtId="190" fontId="129" fillId="0" borderId="69" xfId="698" applyNumberFormat="1" applyFont="1" applyBorder="1" applyAlignment="1">
      <alignment vertical="center" wrapText="1"/>
    </xf>
    <xf numFmtId="190" fontId="129" fillId="0" borderId="62" xfId="698" applyNumberFormat="1" applyFont="1" applyBorder="1" applyAlignment="1">
      <alignment vertical="center" wrapText="1"/>
    </xf>
    <xf numFmtId="190" fontId="129" fillId="0" borderId="64" xfId="698" applyNumberFormat="1" applyFont="1" applyBorder="1" applyAlignment="1">
      <alignment vertical="center" wrapText="1"/>
    </xf>
    <xf numFmtId="0" fontId="129" fillId="0" borderId="0" xfId="698" applyNumberFormat="1" applyFont="1" applyBorder="1" applyAlignment="1">
      <alignment vertical="center" wrapText="1"/>
    </xf>
    <xf numFmtId="0" fontId="129" fillId="0" borderId="66" xfId="71" applyFont="1" applyBorder="1" applyAlignment="1">
      <alignment vertical="center" wrapText="1"/>
    </xf>
    <xf numFmtId="0" fontId="129" fillId="0" borderId="67" xfId="71" applyFont="1" applyBorder="1" applyAlignment="1">
      <alignment vertical="center" wrapText="1"/>
    </xf>
    <xf numFmtId="0" fontId="129" fillId="0" borderId="68" xfId="71" applyFont="1" applyBorder="1" applyAlignment="1">
      <alignment vertical="center" wrapText="1"/>
    </xf>
    <xf numFmtId="190" fontId="129" fillId="0" borderId="54" xfId="698" applyNumberFormat="1" applyFont="1" applyBorder="1" applyAlignment="1">
      <alignment vertical="center" wrapText="1"/>
    </xf>
    <xf numFmtId="190" fontId="129" fillId="0" borderId="56" xfId="698" applyNumberFormat="1" applyFont="1" applyBorder="1" applyAlignment="1">
      <alignment vertical="center" wrapText="1"/>
    </xf>
    <xf numFmtId="190" fontId="129" fillId="0" borderId="0" xfId="698" applyNumberFormat="1" applyFont="1" applyBorder="1" applyAlignment="1">
      <alignment vertical="center" wrapText="1"/>
    </xf>
    <xf numFmtId="0" fontId="129" fillId="0" borderId="70" xfId="71" applyFont="1" applyBorder="1" applyAlignment="1">
      <alignment vertical="center" wrapText="1"/>
    </xf>
    <xf numFmtId="190" fontId="129" fillId="0" borderId="58" xfId="698" applyNumberFormat="1" applyFont="1" applyBorder="1" applyAlignment="1">
      <alignment vertical="center" wrapText="1"/>
    </xf>
  </cellXfs>
  <cellStyles count="2119">
    <cellStyle name=" 1" xfId="73"/>
    <cellStyle name=" 1 2" xfId="74"/>
    <cellStyle name=" 1 2 2" xfId="75"/>
    <cellStyle name=" 1 3" xfId="76"/>
    <cellStyle name=" 2" xfId="77"/>
    <cellStyle name="_x000a_shell=progma" xfId="78"/>
    <cellStyle name="%" xfId="63"/>
    <cellStyle name="% 2" xfId="79"/>
    <cellStyle name="%_(06) Part Relac Alca Jun'12" xfId="80"/>
    <cellStyle name="%_ANEXO PARTES RELACIONADAS AGOSTO 2010-CONSOL VAL" xfId="81"/>
    <cellStyle name="%_BALANZA USD TRIMESTRE MAR09" xfId="82"/>
    <cellStyle name="%_CATPOS  TMX HOLDINGS DIC 08 (Productos)" xfId="83"/>
    <cellStyle name="%_CATPOS  TMX INT SEP 08" xfId="84"/>
    <cellStyle name="%_CXCXP CN PR TROS" xfId="85"/>
    <cellStyle name="%_CXCXP_Abr10_Cn_xGpo" xfId="86"/>
    <cellStyle name="%_CXCXP_EPR´s_Jul 10_Cn" xfId="87"/>
    <cellStyle name="%_CXCXP_EPRs_Ago 10_Cn" xfId="88"/>
    <cellStyle name="%_CXCXP_Jun10_Cn_xGpo" xfId="89"/>
    <cellStyle name="%_CXCXP_May10_Cn_xGpo (2)" xfId="90"/>
    <cellStyle name="%_CXCXP_May10_Cn_xGpo (3)" xfId="91"/>
    <cellStyle name="%_CXCXP_PR_Dic09_TMXCN" xfId="92"/>
    <cellStyle name="%_CXCXP_PR_Dic09_TMXCN_AMX_V3" xfId="93"/>
    <cellStyle name="%_DPN-AMORT (2)" xfId="94"/>
    <cellStyle name="%_EDO RESULT DOLARES JUNIO 09" xfId="95"/>
    <cellStyle name="%_ENLACE INTERNACIONAL  2008" xfId="96"/>
    <cellStyle name="%_EPR´s" xfId="97"/>
    <cellStyle name="%_Hoja1" xfId="98"/>
    <cellStyle name="%_IMPTO ISR RECLASIF MAR07" xfId="99"/>
    <cellStyle name="%_IMPTO ISR RECLASIF MAR07 2" xfId="100"/>
    <cellStyle name="%_IMPTO ISR RECLASIF MAR07_BG Feb 09 Conciliada V1" xfId="101"/>
    <cellStyle name="%_IMPTO ISR RECLASIF MAR07_BG Feb 09 Conciliada V1 2" xfId="102"/>
    <cellStyle name="%_IMPTO ISR RECLASIF MAR07_BG Jul 09 Conciliada" xfId="103"/>
    <cellStyle name="%_IMPTO ISR RECLASIF MAR07_BG Jul 09 Conciliada 2" xfId="104"/>
    <cellStyle name="%_IMPTO ISR RECLASIF MAR07_BG May 09 Conciliada vs Estados Financieros" xfId="105"/>
    <cellStyle name="%_IMPTO ISR RECLASIF MAR07_BG May 09 Conciliada vs Estados Financieros 2" xfId="106"/>
    <cellStyle name="%_IMPTO ISR RECLASIF MAR07_CRM Reventa Mar 09" xfId="107"/>
    <cellStyle name="%_IMPTO ISR RECLASIF MAR07_CRM Reventa Mar 09 2" xfId="108"/>
    <cellStyle name="%_IMPTO ISR RECLASIF MAR07_CXCXP_posición Sep12 GESSI" xfId="109"/>
    <cellStyle name="%_IMPTO ISR RECLASIF MAR07_Mar 09 Reventa Delloitte V1" xfId="110"/>
    <cellStyle name="%_IMPTO ISR RECLASIF MAR07_Mar 09 Reventa Delloitte V1 2" xfId="111"/>
    <cellStyle name="%_IMPTO ISR RECLASIF MAR07_Mar 09 Reventa Delloitte V1 Preliminar I Trim 09 V1_2" xfId="112"/>
    <cellStyle name="%_IMPTO ISR RECLASIF MAR07_Mar 09 Reventa Delloitte V1 Preliminar I Trim 09 V1_2 2" xfId="113"/>
    <cellStyle name="%_IMPTO ISR RECLASIF MAR07_Mar 09 Reventa Delloitte V1 Preliminar I Trim 09 V2" xfId="114"/>
    <cellStyle name="%_IMPTO ISR RECLASIF MAR07_Mar 09 Reventa Delloitte V1 Preliminar I Trim 09 V2 (PRECIOS)" xfId="115"/>
    <cellStyle name="%_IMPTO ISR RECLASIF MAR07_Mar 09 Reventa Delloitte V1 Preliminar I Trim 09 V2 (PRECIOS) 2" xfId="116"/>
    <cellStyle name="%_IMPTO ISR RECLASIF MAR07_Mar 09 Reventa Delloitte V1 Preliminar I Trim 09 V2 10" xfId="117"/>
    <cellStyle name="%_IMPTO ISR RECLASIF MAR07_Mar 09 Reventa Delloitte V1 Preliminar I Trim 09 V2 11" xfId="118"/>
    <cellStyle name="%_IMPTO ISR RECLASIF MAR07_Mar 09 Reventa Delloitte V1 Preliminar I Trim 09 V2 12" xfId="119"/>
    <cellStyle name="%_IMPTO ISR RECLASIF MAR07_Mar 09 Reventa Delloitte V1 Preliminar I Trim 09 V2 13" xfId="120"/>
    <cellStyle name="%_IMPTO ISR RECLASIF MAR07_Mar 09 Reventa Delloitte V1 Preliminar I Trim 09 V2 14" xfId="121"/>
    <cellStyle name="%_IMPTO ISR RECLASIF MAR07_Mar 09 Reventa Delloitte V1 Preliminar I Trim 09 V2 15" xfId="122"/>
    <cellStyle name="%_IMPTO ISR RECLASIF MAR07_Mar 09 Reventa Delloitte V1 Preliminar I Trim 09 V2 2" xfId="123"/>
    <cellStyle name="%_IMPTO ISR RECLASIF MAR07_Mar 09 Reventa Delloitte V1 Preliminar I Trim 09 V2 3" xfId="124"/>
    <cellStyle name="%_IMPTO ISR RECLASIF MAR07_Mar 09 Reventa Delloitte V1 Preliminar I Trim 09 V2 4" xfId="125"/>
    <cellStyle name="%_IMPTO ISR RECLASIF MAR07_Mar 09 Reventa Delloitte V1 Preliminar I Trim 09 V2 5" xfId="126"/>
    <cellStyle name="%_IMPTO ISR RECLASIF MAR07_Mar 09 Reventa Delloitte V1 Preliminar I Trim 09 V2 6" xfId="127"/>
    <cellStyle name="%_IMPTO ISR RECLASIF MAR07_Mar 09 Reventa Delloitte V1 Preliminar I Trim 09 V2 7" xfId="128"/>
    <cellStyle name="%_IMPTO ISR RECLASIF MAR07_Mar 09 Reventa Delloitte V1 Preliminar I Trim 09 V2 8" xfId="129"/>
    <cellStyle name="%_IMPTO ISR RECLASIF MAR07_Mar 09 Reventa Delloitte V1 Preliminar I Trim 09 V2 9" xfId="130"/>
    <cellStyle name="%_IMPTO ISR RECLASIF MAR07_Mar 09 Reventa Delloitte V1 Preliminar I Trim 09 V2_2" xfId="131"/>
    <cellStyle name="%_IMPTO ISR RECLASIF MAR07_Mar 09 Reventa Delloitte V1 Preliminar I Trim 09 V2_2 2" xfId="132"/>
    <cellStyle name="%_IMPTO ISR RECLASIF MAR07_Mar 09 Reventa Delloitte V4" xfId="133"/>
    <cellStyle name="%_IMPTO ISR RECLASIF MAR07_Mar 09 Reventa Delloitte V4 2" xfId="134"/>
    <cellStyle name="%_IMPTO ISR RECLASIF MAR07_NOTA AF-IFRS-GPOISSA JUN2011" xfId="135"/>
    <cellStyle name="%_Int Efecto Inicial IFRS 2009 GTC mar11" xfId="136"/>
    <cellStyle name="%_Int Efecto Inicial IFRS 2009 GTC mar11_NOTA AF-IFRS-GPOISSA JUN2011" xfId="137"/>
    <cellStyle name="%_Libro1" xfId="138"/>
    <cellStyle name="%_Libro1 (3)" xfId="139"/>
    <cellStyle name="%_Libro1 (3)_NOTA AF-IFRS-GPOISSA JUN2011" xfId="140"/>
    <cellStyle name="%_Operaciones con TMX y TELINT2009 (2)" xfId="141"/>
    <cellStyle name="%_Operaciones en usd TMX Holdings dic 08" xfId="142"/>
    <cellStyle name="%_SUB-NAC CXC-CXP  CARSO  ENE-DIC 2009" xfId="143"/>
    <cellStyle name="%_SUB-NAC CXC-CXP  CARSO-AMX  ENE-JUL 2010" xfId="144"/>
    <cellStyle name="%_SUB-NAC CXC-CXP  CARSO-AMX  ENE-JUL 2010 (2)" xfId="145"/>
    <cellStyle name="%_Tarifas de Liquidación" xfId="146"/>
    <cellStyle name="%_Tarifas de Liquidación 2" xfId="147"/>
    <cellStyle name="%_Variaciones Reventa Mar 09" xfId="148"/>
    <cellStyle name="%_Variaciones Reventa Mar 09 2" xfId="149"/>
    <cellStyle name="_(1) CATPOS TELECO Ene-11" xfId="150"/>
    <cellStyle name="_(12) CATPOS CTBR-IME Dic-12" xfId="151"/>
    <cellStyle name="_(12) CATPOS TELECO Dic-10" xfId="152"/>
    <cellStyle name="_~0036734" xfId="153"/>
    <cellStyle name="_01 HT correspondiente al mes de Febrero" xfId="154"/>
    <cellStyle name="_02 HT correspondiente al mes de Marzo" xfId="155"/>
    <cellStyle name="_02 HT Ventas+Especiales+T1+REC Cierre Junio (F)" xfId="156"/>
    <cellStyle name="_02 SEG Junio POST VENTA INFINITUM" xfId="157"/>
    <cellStyle name="_03  Resultados Victor Febrero Consultores(07Mar2007)" xfId="158"/>
    <cellStyle name="_03 Insumo liquidado Febrero PLUS HERIBERTO(07Mar2007)" xfId="159"/>
    <cellStyle name="_03 Insumo liquidado Febrero PLUS VICTOR(07Mar2007)" xfId="160"/>
    <cellStyle name="_08 HT Soporte a l 31 de Mayo Cierre ver 2 (Raul Sosa)" xfId="161"/>
    <cellStyle name="_1" xfId="162"/>
    <cellStyle name="_11" xfId="163"/>
    <cellStyle name="_11 2" xfId="164"/>
    <cellStyle name="_11 3" xfId="165"/>
    <cellStyle name="_14 reporte de Jorge Suarez (posventa) Febrero" xfId="166"/>
    <cellStyle name="_2o T 2009 (4)" xfId="167"/>
    <cellStyle name="_3" xfId="168"/>
    <cellStyle name="_33" xfId="169"/>
    <cellStyle name="_8" xfId="170"/>
    <cellStyle name="_8 ANT 5" xfId="171"/>
    <cellStyle name="_AC_CATFijo_2006" xfId="172"/>
    <cellStyle name="_AC_CATFijo_2006_Variaciones Reventa Mar 09" xfId="173"/>
    <cellStyle name="_AC_CATFijo_2006_Variaciones Reventa Mar 09 2" xfId="174"/>
    <cellStyle name="_ACUMULADO DE ABRIL POSTVENTA-PAOLA" xfId="175"/>
    <cellStyle name="_AERO ANEXO PARTES RELACIONADAS SEP 2010" xfId="176"/>
    <cellStyle name="_ALCA INF PART REL DIC 09 (MILES)" xfId="177"/>
    <cellStyle name="_ALCA INF PART REL MAR 10 (2)" xfId="178"/>
    <cellStyle name="_ALCA INF PART REL MAR 10 (2)_ANEXO PARTES RELACIONADAS AGOSTO 2010-CONSOL VAL" xfId="179"/>
    <cellStyle name="_ALCA INF PART REL MAR 10 (2)_CXCXP_EPR´s_EneAbr 10_09_Cn" xfId="180"/>
    <cellStyle name="_ALCA INF PART REL MAR 10 (2)_CXCXP_EPR´s_EneDic 10_09_Cn" xfId="181"/>
    <cellStyle name="_ALCA INF PART REL MAR 10 (2)_CXCXP_EPR´s_EneDic 10_09_Cn_" xfId="182"/>
    <cellStyle name="_ALCA INF PART REL MAR 10 (2)_Libro1" xfId="183"/>
    <cellStyle name="_ALCA_Sep09" xfId="184"/>
    <cellStyle name="_ANEXO PARTES RELACIONADAS MAYO 2010" xfId="185"/>
    <cellStyle name="_ANEXO PARTES RELACIONADAS OCTUBRE 2010-CONSOL VAL" xfId="186"/>
    <cellStyle name="_ANEXOS 2,5 Y 6 ALDECA 2008" xfId="187"/>
    <cellStyle name="_ANEXOS 2,5 Y 6 ALDECA 2008 2" xfId="188"/>
    <cellStyle name="_ANEXOS 2,5 Y 6 ALDECA 2008 2 2" xfId="189"/>
    <cellStyle name="_ANEXOS 2,5 Y 6 ALDECA 2008 3" xfId="190"/>
    <cellStyle name="_ANEXOS CONSOLIDADOS 2009" xfId="191"/>
    <cellStyle name="_ANEXOS PLANTA-SUB-DIC2010-NOTA AMX" xfId="192"/>
    <cellStyle name="_ANX PR Jun10 Val_v2" xfId="193"/>
    <cellStyle name="_atencion cecor - VENTAS OCTUBRE" xfId="194"/>
    <cellStyle name="_balanza_argos_08-2010" xfId="195"/>
    <cellStyle name="_Blitz_Presupuesto_2009_Obs" xfId="196"/>
    <cellStyle name="_Book1" xfId="197"/>
    <cellStyle name="_Book3" xfId="198"/>
    <cellStyle name="_Book4" xfId="199"/>
    <cellStyle name="_Book4_Variaciones Reventa Mar 09" xfId="200"/>
    <cellStyle name="_Book4_Variaciones Reventa Mar 09 2" xfId="201"/>
    <cellStyle name="_Book5" xfId="202"/>
    <cellStyle name="_Book5_Variaciones Reventa Mar 09" xfId="203"/>
    <cellStyle name="_Book5_Variaciones Reventa Mar 09 2" xfId="204"/>
    <cellStyle name="_CAT_MAT_ATM_ADSL_LINYMODEMS" xfId="205"/>
    <cellStyle name="_CAT_MAT_ATM_ADSL_LINYMODEMS_Variaciones Reventa Mar 09" xfId="206"/>
    <cellStyle name="_CAT_MAT_ATM_ADSL_LINYMODEMS_Variaciones Reventa Mar 09 2" xfId="207"/>
    <cellStyle name="_CATPOS_FYCSA AGO 11" xfId="208"/>
    <cellStyle name="_CECOR  POST-VENTA INFINITUM MAYO 2006 (R)" xfId="209"/>
    <cellStyle name="_CECOR COBRANZA ENERO 05" xfId="210"/>
    <cellStyle name="_CECOR POST-VENTA  17-31 JULIO 2006 (R)" xfId="211"/>
    <cellStyle name="_CECOR POST-VENTA  AGOSTO 06 (R)" xfId="212"/>
    <cellStyle name="_CECOR POST-VENTA  JUNIO 2006 (R)" xfId="213"/>
    <cellStyle name="_CECOR POST-VENTA  SEPTIEMBRE 06 (e)" xfId="214"/>
    <cellStyle name="_CECOR POST-VENTA  SEPTIEMBRE 06 (R)" xfId="215"/>
    <cellStyle name="_CECOR POST-VENTA DICIEMBRE 06(R)" xfId="216"/>
    <cellStyle name="_CECOR POST-VENTA ENERO 07 (R)" xfId="217"/>
    <cellStyle name="_CECOR POST-VENTA GENERAL MAYO 2006 (R)" xfId="218"/>
    <cellStyle name="_CECOR POST-VENTA MARZO 07 (R)" xfId="219"/>
    <cellStyle name="_CECOR POST-VENTA NOVIEMBRE 06(R)" xfId="220"/>
    <cellStyle name="_CECOR POST-VENTA OCTUBRE 06 (e)" xfId="221"/>
    <cellStyle name="_CECOR SOPORTE POST-VENTA (DIVISIONALES) ABRIL 2006 (R)" xfId="222"/>
    <cellStyle name="_CECOR SOPORTE POST-VENTA ABRIL 2006 (R)" xfId="223"/>
    <cellStyle name="_CECOR SOPORTE POST-VENTA ENERO 2006" xfId="224"/>
    <cellStyle name="_CECOR SOPORTE POST-VENTA FEBRERO 2006" xfId="225"/>
    <cellStyle name="_CECOR SOPORTE POST-VENTA MARZO 2006 (R)" xfId="226"/>
    <cellStyle name="_CECOR SOPORTE QL AGOSTO 05 (R)" xfId="227"/>
    <cellStyle name="_CECOR SOPORTE QL MAYO 05 (F)" xfId="228"/>
    <cellStyle name="_Column1" xfId="229"/>
    <cellStyle name="_Column1 2" xfId="230"/>
    <cellStyle name="_Column1_BG Feb 09 Conciliada V1" xfId="231"/>
    <cellStyle name="_Column1_BG Feb 09 Conciliada V1 2" xfId="232"/>
    <cellStyle name="_Column1_BG Jul 09 Conciliada" xfId="233"/>
    <cellStyle name="_Column1_BG Jul 09 Conciliada 2" xfId="234"/>
    <cellStyle name="_Column1_BG May 09 Conciliada vs Estados Financieros" xfId="235"/>
    <cellStyle name="_Column1_BG May 09 Conciliada vs Estados Financieros 2" xfId="236"/>
    <cellStyle name="_Column1_CRM Reventa Mar 09" xfId="237"/>
    <cellStyle name="_Column1_CRM Reventa Mar 09 2" xfId="238"/>
    <cellStyle name="_Column1_CXCXP_posición Dic12 GESSI" xfId="239"/>
    <cellStyle name="_Column1_CXCXP_posición Sep12 GESSI" xfId="240"/>
    <cellStyle name="_Column1_Mar 09 Reventa Delloitte V1" xfId="241"/>
    <cellStyle name="_Column1_Mar 09 Reventa Delloitte V1 2" xfId="242"/>
    <cellStyle name="_Column1_Mar 09 Reventa Delloitte V1 Preliminar I Trim 09 V1_2" xfId="243"/>
    <cellStyle name="_Column1_Mar 09 Reventa Delloitte V1 Preliminar I Trim 09 V1_2 2" xfId="244"/>
    <cellStyle name="_Column1_Mar 09 Reventa Delloitte V1 Preliminar I Trim 09 V2" xfId="245"/>
    <cellStyle name="_Column1_Mar 09 Reventa Delloitte V1 Preliminar I Trim 09 V2 (PRECIOS)" xfId="246"/>
    <cellStyle name="_Column1_Mar 09 Reventa Delloitte V1 Preliminar I Trim 09 V2 (PRECIOS) 2" xfId="247"/>
    <cellStyle name="_Column1_Mar 09 Reventa Delloitte V1 Preliminar I Trim 09 V2 10" xfId="248"/>
    <cellStyle name="_Column1_Mar 09 Reventa Delloitte V1 Preliminar I Trim 09 V2 11" xfId="249"/>
    <cellStyle name="_Column1_Mar 09 Reventa Delloitte V1 Preliminar I Trim 09 V2 12" xfId="250"/>
    <cellStyle name="_Column1_Mar 09 Reventa Delloitte V1 Preliminar I Trim 09 V2 13" xfId="251"/>
    <cellStyle name="_Column1_Mar 09 Reventa Delloitte V1 Preliminar I Trim 09 V2 14" xfId="252"/>
    <cellStyle name="_Column1_Mar 09 Reventa Delloitte V1 Preliminar I Trim 09 V2 15" xfId="253"/>
    <cellStyle name="_Column1_Mar 09 Reventa Delloitte V1 Preliminar I Trim 09 V2 2" xfId="254"/>
    <cellStyle name="_Column1_Mar 09 Reventa Delloitte V1 Preliminar I Trim 09 V2 3" xfId="255"/>
    <cellStyle name="_Column1_Mar 09 Reventa Delloitte V1 Preliminar I Trim 09 V2 4" xfId="256"/>
    <cellStyle name="_Column1_Mar 09 Reventa Delloitte V1 Preliminar I Trim 09 V2 5" xfId="257"/>
    <cellStyle name="_Column1_Mar 09 Reventa Delloitte V1 Preliminar I Trim 09 V2 6" xfId="258"/>
    <cellStyle name="_Column1_Mar 09 Reventa Delloitte V1 Preliminar I Trim 09 V2 7" xfId="259"/>
    <cellStyle name="_Column1_Mar 09 Reventa Delloitte V1 Preliminar I Trim 09 V2 8" xfId="260"/>
    <cellStyle name="_Column1_Mar 09 Reventa Delloitte V1 Preliminar I Trim 09 V2 9" xfId="261"/>
    <cellStyle name="_Column1_Mar 09 Reventa Delloitte V1 Preliminar I Trim 09 V2_2" xfId="262"/>
    <cellStyle name="_Column1_Mar 09 Reventa Delloitte V1 Preliminar I Trim 09 V2_2 2" xfId="263"/>
    <cellStyle name="_Column1_Mar 09 Reventa Delloitte V4" xfId="264"/>
    <cellStyle name="_Column1_Mar 09 Reventa Delloitte V4 2" xfId="265"/>
    <cellStyle name="_Column1_NOTA AF-IFRS-GPOISSA JUN2011" xfId="266"/>
    <cellStyle name="_Column2" xfId="267"/>
    <cellStyle name="_Column3" xfId="268"/>
    <cellStyle name="_Column4" xfId="269"/>
    <cellStyle name="_Column5" xfId="270"/>
    <cellStyle name="_Column6" xfId="271"/>
    <cellStyle name="_Column7" xfId="272"/>
    <cellStyle name="_Column7 2" xfId="273"/>
    <cellStyle name="_Column7_BG Feb 09 Conciliada V1" xfId="274"/>
    <cellStyle name="_Column7_BG Feb 09 Conciliada V1 2" xfId="275"/>
    <cellStyle name="_Column7_BG Jul 09 Conciliada" xfId="276"/>
    <cellStyle name="_Column7_BG Jul 09 Conciliada 2" xfId="277"/>
    <cellStyle name="_Column7_BG May 09 Conciliada vs Estados Financieros" xfId="278"/>
    <cellStyle name="_Column7_BG May 09 Conciliada vs Estados Financieros 2" xfId="279"/>
    <cellStyle name="_Column7_CRM Reventa Mar 09" xfId="280"/>
    <cellStyle name="_Column7_CRM Reventa Mar 09 2" xfId="281"/>
    <cellStyle name="_Column7_Mar 09 Reventa Delloitte V1" xfId="282"/>
    <cellStyle name="_Column7_Mar 09 Reventa Delloitte V1 2" xfId="283"/>
    <cellStyle name="_Column7_Mar 09 Reventa Delloitte V1 Preliminar I Trim 09 V1_2" xfId="284"/>
    <cellStyle name="_Column7_Mar 09 Reventa Delloitte V1 Preliminar I Trim 09 V1_2 2" xfId="285"/>
    <cellStyle name="_Column7_Mar 09 Reventa Delloitte V1 Preliminar I Trim 09 V2" xfId="286"/>
    <cellStyle name="_Column7_Mar 09 Reventa Delloitte V1 Preliminar I Trim 09 V2 (PRECIOS)" xfId="287"/>
    <cellStyle name="_Column7_Mar 09 Reventa Delloitte V1 Preliminar I Trim 09 V2 (PRECIOS) 2" xfId="288"/>
    <cellStyle name="_Column7_Mar 09 Reventa Delloitte V1 Preliminar I Trim 09 V2 10" xfId="289"/>
    <cellStyle name="_Column7_Mar 09 Reventa Delloitte V1 Preliminar I Trim 09 V2 11" xfId="290"/>
    <cellStyle name="_Column7_Mar 09 Reventa Delloitte V1 Preliminar I Trim 09 V2 12" xfId="291"/>
    <cellStyle name="_Column7_Mar 09 Reventa Delloitte V1 Preliminar I Trim 09 V2 13" xfId="292"/>
    <cellStyle name="_Column7_Mar 09 Reventa Delloitte V1 Preliminar I Trim 09 V2 14" xfId="293"/>
    <cellStyle name="_Column7_Mar 09 Reventa Delloitte V1 Preliminar I Trim 09 V2 15" xfId="294"/>
    <cellStyle name="_Column7_Mar 09 Reventa Delloitte V1 Preliminar I Trim 09 V2 2" xfId="295"/>
    <cellStyle name="_Column7_Mar 09 Reventa Delloitte V1 Preliminar I Trim 09 V2 3" xfId="296"/>
    <cellStyle name="_Column7_Mar 09 Reventa Delloitte V1 Preliminar I Trim 09 V2 4" xfId="297"/>
    <cellStyle name="_Column7_Mar 09 Reventa Delloitte V1 Preliminar I Trim 09 V2 5" xfId="298"/>
    <cellStyle name="_Column7_Mar 09 Reventa Delloitte V1 Preliminar I Trim 09 V2 6" xfId="299"/>
    <cellStyle name="_Column7_Mar 09 Reventa Delloitte V1 Preliminar I Trim 09 V2 7" xfId="300"/>
    <cellStyle name="_Column7_Mar 09 Reventa Delloitte V1 Preliminar I Trim 09 V2 8" xfId="301"/>
    <cellStyle name="_Column7_Mar 09 Reventa Delloitte V1 Preliminar I Trim 09 V2 9" xfId="302"/>
    <cellStyle name="_Column7_Mar 09 Reventa Delloitte V1 Preliminar I Trim 09 V2_2" xfId="303"/>
    <cellStyle name="_Column7_Mar 09 Reventa Delloitte V1 Preliminar I Trim 09 V2_2 2" xfId="304"/>
    <cellStyle name="_Column7_Mar 09 Reventa Delloitte V4" xfId="305"/>
    <cellStyle name="_Column7_Mar 09 Reventa Delloitte V4 2" xfId="306"/>
    <cellStyle name="_CONCIL ARCHIVO MAESTRO JUNIO 2011" xfId="307"/>
    <cellStyle name="_CONCIL ARCHIVO MAESTRO MAYO 2011" xfId="308"/>
    <cellStyle name="_contactacion Atencion diciembre resumen" xfId="309"/>
    <cellStyle name="_contactacion enero resumen" xfId="310"/>
    <cellStyle name="_contactacion febrero atencion" xfId="311"/>
    <cellStyle name="_contactacion noviembre resumen" xfId="312"/>
    <cellStyle name="_CONTACTACION PERU MARZO" xfId="313"/>
    <cellStyle name="_COT-RADIO-PDH (RDA-2006) Ver2" xfId="314"/>
    <cellStyle name="_COT-RADIO-PDH (RDA-2006) Ver2 2" xfId="315"/>
    <cellStyle name="_CRU 08 A.3.1  Revisión de Estados Financieros" xfId="316"/>
    <cellStyle name="_CTBR-IME 10" xfId="317"/>
    <cellStyle name="_CTBR-IME 11" xfId="318"/>
    <cellStyle name="_CUOTAS Y UNIDADES X DIV ACTUALIZADA 20 JULIO 2004" xfId="319"/>
    <cellStyle name="_CXCXP CN PR TROS" xfId="320"/>
    <cellStyle name="_CXCXP EPR´s AGO 10 TMX" xfId="321"/>
    <cellStyle name="_CXCXP EPR´s Oct 10 TMX" xfId="322"/>
    <cellStyle name="_CXCXP EPRs Oct10 CN def" xfId="323"/>
    <cellStyle name="_CXCXP_Dic10_GISSA" xfId="324"/>
    <cellStyle name="_CXCXP_Ene11_GISSA" xfId="325"/>
    <cellStyle name="_CXCXP_EPRs_Ago 10_Cn" xfId="326"/>
    <cellStyle name="_CXCXP_Jun10_Cn_xGpo" xfId="327"/>
    <cellStyle name="_CXCXP_May10_Cn_xGpo (2)" xfId="328"/>
    <cellStyle name="_CXCXP_May10_Cn_xGpo (3)" xfId="329"/>
    <cellStyle name="_CXCXP_Nov10_GISSA" xfId="330"/>
    <cellStyle name="_CXCXP_Oct10_GISSA" xfId="331"/>
    <cellStyle name="_CXCXP_PR_Dic09_TMXCN" xfId="332"/>
    <cellStyle name="_CXCXP_PR_Dic09_TMXCN_AMX_V3" xfId="333"/>
    <cellStyle name="_Data" xfId="334"/>
    <cellStyle name="_Data 2" xfId="335"/>
    <cellStyle name="_Data_BG Feb 09 Conciliada V1" xfId="336"/>
    <cellStyle name="_Data_BG Feb 09 Conciliada V1 2" xfId="337"/>
    <cellStyle name="_Data_BG Jul 09 Conciliada" xfId="338"/>
    <cellStyle name="_Data_BG Jul 09 Conciliada 2" xfId="339"/>
    <cellStyle name="_Data_BG May 09 Conciliada vs Estados Financieros" xfId="340"/>
    <cellStyle name="_Data_BG May 09 Conciliada vs Estados Financieros 2" xfId="341"/>
    <cellStyle name="_Data_CRM Reventa Mar 09" xfId="342"/>
    <cellStyle name="_Data_CRM Reventa Mar 09 2" xfId="343"/>
    <cellStyle name="_Data_CXCXP_posición Dic12 GESSI" xfId="344"/>
    <cellStyle name="_Data_CXCXP_posición Sep12 GESSI" xfId="345"/>
    <cellStyle name="_Data_Mar 09 Reventa Delloitte V1" xfId="346"/>
    <cellStyle name="_Data_Mar 09 Reventa Delloitte V1 2" xfId="347"/>
    <cellStyle name="_Data_Mar 09 Reventa Delloitte V1 Preliminar I Trim 09 V1_2" xfId="348"/>
    <cellStyle name="_Data_Mar 09 Reventa Delloitte V1 Preliminar I Trim 09 V1_2 2" xfId="349"/>
    <cellStyle name="_Data_Mar 09 Reventa Delloitte V1 Preliminar I Trim 09 V2" xfId="350"/>
    <cellStyle name="_Data_Mar 09 Reventa Delloitte V1 Preliminar I Trim 09 V2 (PRECIOS)" xfId="351"/>
    <cellStyle name="_Data_Mar 09 Reventa Delloitte V1 Preliminar I Trim 09 V2 (PRECIOS) 2" xfId="352"/>
    <cellStyle name="_Data_Mar 09 Reventa Delloitte V1 Preliminar I Trim 09 V2 10" xfId="353"/>
    <cellStyle name="_Data_Mar 09 Reventa Delloitte V1 Preliminar I Trim 09 V2 11" xfId="354"/>
    <cellStyle name="_Data_Mar 09 Reventa Delloitte V1 Preliminar I Trim 09 V2 12" xfId="355"/>
    <cellStyle name="_Data_Mar 09 Reventa Delloitte V1 Preliminar I Trim 09 V2 13" xfId="356"/>
    <cellStyle name="_Data_Mar 09 Reventa Delloitte V1 Preliminar I Trim 09 V2 14" xfId="357"/>
    <cellStyle name="_Data_Mar 09 Reventa Delloitte V1 Preliminar I Trim 09 V2 15" xfId="358"/>
    <cellStyle name="_Data_Mar 09 Reventa Delloitte V1 Preliminar I Trim 09 V2 2" xfId="359"/>
    <cellStyle name="_Data_Mar 09 Reventa Delloitte V1 Preliminar I Trim 09 V2 3" xfId="360"/>
    <cellStyle name="_Data_Mar 09 Reventa Delloitte V1 Preliminar I Trim 09 V2 4" xfId="361"/>
    <cellStyle name="_Data_Mar 09 Reventa Delloitte V1 Preliminar I Trim 09 V2 5" xfId="362"/>
    <cellStyle name="_Data_Mar 09 Reventa Delloitte V1 Preliminar I Trim 09 V2 6" xfId="363"/>
    <cellStyle name="_Data_Mar 09 Reventa Delloitte V1 Preliminar I Trim 09 V2 7" xfId="364"/>
    <cellStyle name="_Data_Mar 09 Reventa Delloitte V1 Preliminar I Trim 09 V2 8" xfId="365"/>
    <cellStyle name="_Data_Mar 09 Reventa Delloitte V1 Preliminar I Trim 09 V2 9" xfId="366"/>
    <cellStyle name="_Data_Mar 09 Reventa Delloitte V1 Preliminar I Trim 09 V2_2" xfId="367"/>
    <cellStyle name="_Data_Mar 09 Reventa Delloitte V1 Preliminar I Trim 09 V2_2 2" xfId="368"/>
    <cellStyle name="_Data_Mar 09 Reventa Delloitte V4" xfId="369"/>
    <cellStyle name="_Data_Mar 09 Reventa Delloitte V4 2" xfId="370"/>
    <cellStyle name="_Data_NOTA AF-IFRS-GPOISSA JUN2011" xfId="371"/>
    <cellStyle name="_Depreciación" xfId="372"/>
    <cellStyle name="_DIC.CONT." xfId="373"/>
    <cellStyle name="_DICIEMBRE - SEG POST VENTA YOLANDA" xfId="374"/>
    <cellStyle name="_DICIEMBRE CECOR PLUS" xfId="375"/>
    <cellStyle name="_Edos Fins Gpo Tmx_DIC09" xfId="376"/>
    <cellStyle name="_EFECTO_NETO_CXC_CXP_PARTES_RELAC_ESCISION_JUN 10" xfId="377"/>
    <cellStyle name="_EPRs_AMX_Abr10" xfId="378"/>
    <cellStyle name="_EPRs_AMX_May10" xfId="379"/>
    <cellStyle name="_FACTURADO WTD TELMEX 2006 Dic 5" xfId="380"/>
    <cellStyle name="_FACTURADO WTD TELMEX 2006 Dic 5_Variaciones Reventa Mar 09" xfId="381"/>
    <cellStyle name="_FACTURADO WTD TELMEX 2006 Dic 5_Variaciones Reventa Mar 09 2" xfId="382"/>
    <cellStyle name="_filiales_cti_1007" xfId="383"/>
    <cellStyle name="_filiales_cti_1107" xfId="384"/>
    <cellStyle name="_Formato Cotizaciones Generadas en Febrero" xfId="385"/>
    <cellStyle name="_GASTO ING PART RELACIONADAS 2013" xfId="386"/>
    <cellStyle name="_GpoTelvista_Jun10" xfId="387"/>
    <cellStyle name="_Header" xfId="388"/>
    <cellStyle name="_HT 01 al 31 Octubre 2003 Cecor Ventas cierre final" xfId="389"/>
    <cellStyle name="_HT 03 al 30 de Nov 2003 Cecor Ventas CIERRE" xfId="390"/>
    <cellStyle name="_HT 04 Diciembre 2003 Cecor Ventas" xfId="391"/>
    <cellStyle name="_HT 04 Noviembre 2003 Cecor Ventas" xfId="392"/>
    <cellStyle name="_HT 05 Noviembre 2003 Cecor Ventas" xfId="393"/>
    <cellStyle name="_HT Cecor Especial 03 al 28 de Noviembre CIERRE" xfId="394"/>
    <cellStyle name="_HT CECOR GENERAL (01-31-Dic-04)(con compartidas)" xfId="395"/>
    <cellStyle name="_HT CV+CE del 01 al 01-31-Dic-04 CIERRE E (para validacion)" xfId="396"/>
    <cellStyle name="_Incrementales Dic 09 Local y L.D. con Resa" xfId="397"/>
    <cellStyle name="_INF PART REL CRU CONSOL JUL-10" xfId="398"/>
    <cellStyle name="_INF PART REL DIC 09 (MILES)_ALDECA_Def" xfId="399"/>
    <cellStyle name="_INSTALACION - 3 AGOSTO AL 1 DE SEPTIEMBRE" xfId="400"/>
    <cellStyle name="_INSTALADO JUNIO" xfId="401"/>
    <cellStyle name="_Insumo Febrero 06 (CECOR PLUS)" xfId="402"/>
    <cellStyle name="_Insumo Liquidado Noviembre Cecor Plus II" xfId="403"/>
    <cellStyle name="_Inversión neta Dic 2009 a JUN 2011-DEF_TMX HOLDING" xfId="404"/>
    <cellStyle name="_Inversiones_CRU diciembre" xfId="405"/>
    <cellStyle name="_ISSA Partes Relacionadas Dic 2010 c" xfId="406"/>
    <cellStyle name="_ISSA Partes Relacionadas Nov 2010 c (2)" xfId="407"/>
    <cellStyle name="_ISSA Partes Relacionadas Oct 2010 c (2)" xfId="408"/>
    <cellStyle name="_Libro11" xfId="409"/>
    <cellStyle name="_Libro3" xfId="410"/>
    <cellStyle name="_Libro4" xfId="411"/>
    <cellStyle name="_Libro5" xfId="412"/>
    <cellStyle name="_Libro7" xfId="413"/>
    <cellStyle name="_Libro8" xfId="414"/>
    <cellStyle name="_LIQUDADO OCTUBRE (2)" xfId="415"/>
    <cellStyle name="_Liquidado Diciembre Cecor Plus HERIBERTO (4)" xfId="416"/>
    <cellStyle name="_LIQUIDADO NOVIEMBRE PLUS" xfId="417"/>
    <cellStyle name="_LIQUIDADO NOVIEMBRE PLUS (3)" xfId="418"/>
    <cellStyle name="_LISTA DE PRECIOS ALCATEL EQ. RADIO 2006(Ok)" xfId="419"/>
    <cellStyle name="_LISTA DE PRECIOS ALCATEL EQ. RADIO 2006(Ok)_Variaciones Reventa Mar 09" xfId="420"/>
    <cellStyle name="_LISTA DE PRECIOS ALCATEL EQ. RADIO 2006(Ok)_Variaciones Reventa Mar 09 2" xfId="421"/>
    <cellStyle name="_LISTA DE PRECIOS ALCATEL EQ. RADIO 2007ed2" xfId="422"/>
    <cellStyle name="_LISTA DE PRECIOS ALCATEL EQ. RADIO 2007ed2_Variaciones Reventa Mar 09" xfId="423"/>
    <cellStyle name="_LISTA DE PRECIOS ALCATEL EQ. RADIO 2007ed2_Variaciones Reventa Mar 09 2" xfId="424"/>
    <cellStyle name="_LISTA DE PRECIOS ALCATEL EQ. RADIO 2007ed6" xfId="425"/>
    <cellStyle name="_LISTA DE PRECIOS ALCATEL EQ. RADIO 2007ed6_Variaciones Reventa Mar 09" xfId="426"/>
    <cellStyle name="_LISTA DE PRECIOS ALCATEL EQ. RADIO 2007ed6_Variaciones Reventa Mar 09 2" xfId="427"/>
    <cellStyle name="_LISTA DE PRECIOS ALCATEL EQ. RADIO 2007ed8" xfId="428"/>
    <cellStyle name="_LISTA DE PRECIOS ALCATEL EQ. RADIO 2007ed8_Variaciones Reventa Mar 09" xfId="429"/>
    <cellStyle name="_LISTA DE PRECIOS ALCATEL EQ. RADIO 2007ed8_Variaciones Reventa Mar 09 2" xfId="430"/>
    <cellStyle name="_Nombre-Subsidiaria CCF 2008" xfId="431"/>
    <cellStyle name="_NOV.CONT" xfId="432"/>
    <cellStyle name="_NOVIEMBRE-SEG POST VENTA YOLANDA" xfId="433"/>
    <cellStyle name="_NUEVOCOMPILADO_0407" xfId="434"/>
    <cellStyle name="_OCT.CONT" xfId="435"/>
    <cellStyle name="_OCTUBRE CECOR PLUS" xfId="436"/>
    <cellStyle name="_Operaciones con TMX y TELINT2009 (2)" xfId="437"/>
    <cellStyle name="_OPNs del 15 al 31 Jul (Uninet)" xfId="438"/>
    <cellStyle name="_Planta 2009 Final" xfId="439"/>
    <cellStyle name="_PLANTILLA CECOR SEPTIEMBRE 2006 Ver3" xfId="440"/>
    <cellStyle name="_POST VENTA SEPTIEMBRE1" xfId="441"/>
    <cellStyle name="_postventa " xfId="442"/>
    <cellStyle name="_POSTVENTA - SEPTIEMBRE - MIREYA" xfId="443"/>
    <cellStyle name="_POSTVENTA JUNIO - CLAUDIA" xfId="444"/>
    <cellStyle name="_POSTVENTA JUNIO -CLAUDIA - 3 AL 14 JULIO" xfId="445"/>
    <cellStyle name="_POSVENTA CLAUDIA (2)" xfId="446"/>
    <cellStyle name="_PR- VER 01 2013" xfId="447"/>
    <cellStyle name="_Prec Faltantes (06-09-06)TMX" xfId="448"/>
    <cellStyle name="_Precios Gpo Carso" xfId="449"/>
    <cellStyle name="_PREPASIVO 2010" xfId="450"/>
    <cellStyle name="_Presales WTD 2006 NOV-8" xfId="451"/>
    <cellStyle name="_Rcdt Uso" xfId="452"/>
    <cellStyle name="_RECUPERACION AGOSTO (MARIBEL)" xfId="453"/>
    <cellStyle name="_RECUPERACION DICIEMBRE" xfId="454"/>
    <cellStyle name="_RESULTADOS MARZO- ABRIL 11 POST VENTA INFINITUM" xfId="455"/>
    <cellStyle name="_resultados Posicion de Ajustes Cobranza" xfId="456"/>
    <cellStyle name="_Row1" xfId="457"/>
    <cellStyle name="_Row1 2" xfId="458"/>
    <cellStyle name="_Row1_BG Feb 09 Conciliada V1" xfId="459"/>
    <cellStyle name="_Row1_BG Feb 09 Conciliada V1 2" xfId="460"/>
    <cellStyle name="_Row1_BG Jul 09 Conciliada" xfId="461"/>
    <cellStyle name="_Row1_BG Jul 09 Conciliada 2" xfId="462"/>
    <cellStyle name="_Row1_BG May 09 Conciliada vs Estados Financieros" xfId="463"/>
    <cellStyle name="_Row1_BG May 09 Conciliada vs Estados Financieros 2" xfId="464"/>
    <cellStyle name="_Row1_CRM Reventa Mar 09" xfId="465"/>
    <cellStyle name="_Row1_CRM Reventa Mar 09 2" xfId="466"/>
    <cellStyle name="_Row1_CXCXP_posición Dic12 GESSI" xfId="467"/>
    <cellStyle name="_Row1_CXCXP_posición Sep12 GESSI" xfId="468"/>
    <cellStyle name="_Row1_Mar 09 Reventa Delloitte V1" xfId="469"/>
    <cellStyle name="_Row1_Mar 09 Reventa Delloitte V1 2" xfId="470"/>
    <cellStyle name="_Row1_Mar 09 Reventa Delloitte V1 Preliminar I Trim 09 V1_2" xfId="471"/>
    <cellStyle name="_Row1_Mar 09 Reventa Delloitte V1 Preliminar I Trim 09 V1_2 2" xfId="472"/>
    <cellStyle name="_Row1_Mar 09 Reventa Delloitte V1 Preliminar I Trim 09 V2" xfId="473"/>
    <cellStyle name="_Row1_Mar 09 Reventa Delloitte V1 Preliminar I Trim 09 V2 (PRECIOS)" xfId="474"/>
    <cellStyle name="_Row1_Mar 09 Reventa Delloitte V1 Preliminar I Trim 09 V2 (PRECIOS) 2" xfId="475"/>
    <cellStyle name="_Row1_Mar 09 Reventa Delloitte V1 Preliminar I Trim 09 V2 10" xfId="476"/>
    <cellStyle name="_Row1_Mar 09 Reventa Delloitte V1 Preliminar I Trim 09 V2 11" xfId="477"/>
    <cellStyle name="_Row1_Mar 09 Reventa Delloitte V1 Preliminar I Trim 09 V2 12" xfId="478"/>
    <cellStyle name="_Row1_Mar 09 Reventa Delloitte V1 Preliminar I Trim 09 V2 13" xfId="479"/>
    <cellStyle name="_Row1_Mar 09 Reventa Delloitte V1 Preliminar I Trim 09 V2 14" xfId="480"/>
    <cellStyle name="_Row1_Mar 09 Reventa Delloitte V1 Preliminar I Trim 09 V2 15" xfId="481"/>
    <cellStyle name="_Row1_Mar 09 Reventa Delloitte V1 Preliminar I Trim 09 V2 2" xfId="482"/>
    <cellStyle name="_Row1_Mar 09 Reventa Delloitte V1 Preliminar I Trim 09 V2 3" xfId="483"/>
    <cellStyle name="_Row1_Mar 09 Reventa Delloitte V1 Preliminar I Trim 09 V2 4" xfId="484"/>
    <cellStyle name="_Row1_Mar 09 Reventa Delloitte V1 Preliminar I Trim 09 V2 5" xfId="485"/>
    <cellStyle name="_Row1_Mar 09 Reventa Delloitte V1 Preliminar I Trim 09 V2 6" xfId="486"/>
    <cellStyle name="_Row1_Mar 09 Reventa Delloitte V1 Preliminar I Trim 09 V2 7" xfId="487"/>
    <cellStyle name="_Row1_Mar 09 Reventa Delloitte V1 Preliminar I Trim 09 V2 8" xfId="488"/>
    <cellStyle name="_Row1_Mar 09 Reventa Delloitte V1 Preliminar I Trim 09 V2 9" xfId="489"/>
    <cellStyle name="_Row1_Mar 09 Reventa Delloitte V1 Preliminar I Trim 09 V2_2" xfId="490"/>
    <cellStyle name="_Row1_Mar 09 Reventa Delloitte V1 Preliminar I Trim 09 V2_2 2" xfId="491"/>
    <cellStyle name="_Row1_Mar 09 Reventa Delloitte V4" xfId="492"/>
    <cellStyle name="_Row1_Mar 09 Reventa Delloitte V4 2" xfId="493"/>
    <cellStyle name="_Row1_NOTA AF-IFRS-GPOISSA JUN2011" xfId="494"/>
    <cellStyle name="_Row2" xfId="495"/>
    <cellStyle name="_Row3" xfId="496"/>
    <cellStyle name="_Row4" xfId="497"/>
    <cellStyle name="_Row5" xfId="498"/>
    <cellStyle name="_Row6" xfId="499"/>
    <cellStyle name="_Row7" xfId="500"/>
    <cellStyle name="_Row7 2" xfId="501"/>
    <cellStyle name="_Row7_BG Feb 09 Conciliada V1" xfId="502"/>
    <cellStyle name="_Row7_BG Feb 09 Conciliada V1 2" xfId="503"/>
    <cellStyle name="_Row7_BG Jul 09 Conciliada" xfId="504"/>
    <cellStyle name="_Row7_BG Jul 09 Conciliada 2" xfId="505"/>
    <cellStyle name="_Row7_BG May 09 Conciliada vs Estados Financieros" xfId="506"/>
    <cellStyle name="_Row7_BG May 09 Conciliada vs Estados Financieros 2" xfId="507"/>
    <cellStyle name="_Row7_CRM Reventa Mar 09" xfId="508"/>
    <cellStyle name="_Row7_CRM Reventa Mar 09 2" xfId="509"/>
    <cellStyle name="_Row7_Mar 09 Reventa Delloitte V1" xfId="510"/>
    <cellStyle name="_Row7_Mar 09 Reventa Delloitte V1 2" xfId="511"/>
    <cellStyle name="_Row7_Mar 09 Reventa Delloitte V1 Preliminar I Trim 09 V1_2" xfId="512"/>
    <cellStyle name="_Row7_Mar 09 Reventa Delloitte V1 Preliminar I Trim 09 V1_2 2" xfId="513"/>
    <cellStyle name="_Row7_Mar 09 Reventa Delloitte V1 Preliminar I Trim 09 V2" xfId="514"/>
    <cellStyle name="_Row7_Mar 09 Reventa Delloitte V1 Preliminar I Trim 09 V2 (PRECIOS)" xfId="515"/>
    <cellStyle name="_Row7_Mar 09 Reventa Delloitte V1 Preliminar I Trim 09 V2 (PRECIOS) 2" xfId="516"/>
    <cellStyle name="_Row7_Mar 09 Reventa Delloitte V1 Preliminar I Trim 09 V2 10" xfId="517"/>
    <cellStyle name="_Row7_Mar 09 Reventa Delloitte V1 Preliminar I Trim 09 V2 11" xfId="518"/>
    <cellStyle name="_Row7_Mar 09 Reventa Delloitte V1 Preliminar I Trim 09 V2 12" xfId="519"/>
    <cellStyle name="_Row7_Mar 09 Reventa Delloitte V1 Preliminar I Trim 09 V2 13" xfId="520"/>
    <cellStyle name="_Row7_Mar 09 Reventa Delloitte V1 Preliminar I Trim 09 V2 14" xfId="521"/>
    <cellStyle name="_Row7_Mar 09 Reventa Delloitte V1 Preliminar I Trim 09 V2 15" xfId="522"/>
    <cellStyle name="_Row7_Mar 09 Reventa Delloitte V1 Preliminar I Trim 09 V2 2" xfId="523"/>
    <cellStyle name="_Row7_Mar 09 Reventa Delloitte V1 Preliminar I Trim 09 V2 3" xfId="524"/>
    <cellStyle name="_Row7_Mar 09 Reventa Delloitte V1 Preliminar I Trim 09 V2 4" xfId="525"/>
    <cellStyle name="_Row7_Mar 09 Reventa Delloitte V1 Preliminar I Trim 09 V2 5" xfId="526"/>
    <cellStyle name="_Row7_Mar 09 Reventa Delloitte V1 Preliminar I Trim 09 V2 6" xfId="527"/>
    <cellStyle name="_Row7_Mar 09 Reventa Delloitte V1 Preliminar I Trim 09 V2 7" xfId="528"/>
    <cellStyle name="_Row7_Mar 09 Reventa Delloitte V1 Preliminar I Trim 09 V2 8" xfId="529"/>
    <cellStyle name="_Row7_Mar 09 Reventa Delloitte V1 Preliminar I Trim 09 V2 9" xfId="530"/>
    <cellStyle name="_Row7_Mar 09 Reventa Delloitte V1 Preliminar I Trim 09 V2_2" xfId="531"/>
    <cellStyle name="_Row7_Mar 09 Reventa Delloitte V1 Preliminar I Trim 09 V2_2 2" xfId="532"/>
    <cellStyle name="_Row7_Mar 09 Reventa Delloitte V4" xfId="533"/>
    <cellStyle name="_Row7_Mar 09 Reventa Delloitte V4 2" xfId="534"/>
    <cellStyle name="_SEG LLAMADAS INB" xfId="535"/>
    <cellStyle name="_SEG-ABR-POSTVENTA(jorge Suarez)" xfId="536"/>
    <cellStyle name="_SEG-MAR-POSTVENT jorge suarez" xfId="537"/>
    <cellStyle name="_SEG-MAYO-POSTVENTA-PAOLA" xfId="538"/>
    <cellStyle name="_SEG-MAY-POSTVENTA jorge" xfId="539"/>
    <cellStyle name="_Seguimiento de Cecor+especiales 02-Junio-04" xfId="540"/>
    <cellStyle name="_Seguimiento de Cecor+especiales 03-Junio-04" xfId="541"/>
    <cellStyle name="_Separación Contable 2010 V3" xfId="542"/>
    <cellStyle name="_Separación Contable Ene 10" xfId="543"/>
    <cellStyle name="_Separación Contable Feb 10" xfId="544"/>
    <cellStyle name="_Separación Contable Mar 10" xfId="545"/>
    <cellStyle name="_SEPTIEMBRE -SEG GRAL POST VENTA" xfId="546"/>
    <cellStyle name="_Subsidiarias Nacionales CCF 2008" xfId="547"/>
    <cellStyle name="_Venta de Lada 600" xfId="548"/>
    <cellStyle name="_Venta de Lada 600 1er Q" xfId="549"/>
    <cellStyle name="_Venta de Lada 600 junio" xfId="550"/>
    <cellStyle name="_Venta de Lada 600 Nov (3)" xfId="551"/>
    <cellStyle name="_Venta de Lada 600 Oct" xfId="552"/>
    <cellStyle name="_Venta de Lada 600 Sep" xfId="553"/>
    <cellStyle name="_Ventas Compartidas Diciembre" xfId="554"/>
    <cellStyle name="_Ventas de Lada 600 julio" xfId="555"/>
    <cellStyle name="_Yolanda PostVenta Octubre 2006" xfId="556"/>
    <cellStyle name="=C:\WINNT\SYSTEM32\COMMAND.COM" xfId="557"/>
    <cellStyle name="2" xfId="558"/>
    <cellStyle name="2_33" xfId="559"/>
    <cellStyle name="20% - Accent1 2" xfId="560"/>
    <cellStyle name="20% - Accent1 2 2" xfId="561"/>
    <cellStyle name="20% - Accent2 2" xfId="562"/>
    <cellStyle name="20% - Accent2 2 2" xfId="563"/>
    <cellStyle name="20% - Accent3 2" xfId="564"/>
    <cellStyle name="20% - Accent3 2 2" xfId="565"/>
    <cellStyle name="20% - Accent4 2" xfId="566"/>
    <cellStyle name="20% - Accent4 2 2" xfId="567"/>
    <cellStyle name="20% - Accent5 2" xfId="568"/>
    <cellStyle name="20% - Accent5 2 2" xfId="569"/>
    <cellStyle name="20% - Accent6 2" xfId="570"/>
    <cellStyle name="20% - Accent6 2 2" xfId="571"/>
    <cellStyle name="20% - Énfasis1 2" xfId="572"/>
    <cellStyle name="20% - Énfasis1 3" xfId="573"/>
    <cellStyle name="20% - Énfasis2 2" xfId="574"/>
    <cellStyle name="20% - Énfasis2 3" xfId="575"/>
    <cellStyle name="20% - Énfasis3 2" xfId="576"/>
    <cellStyle name="20% - Énfasis3 3" xfId="577"/>
    <cellStyle name="20% - Énfasis4 2" xfId="578"/>
    <cellStyle name="20% - Énfasis4 3" xfId="579"/>
    <cellStyle name="20% - Énfasis5 2" xfId="580"/>
    <cellStyle name="20% - Énfasis5 3" xfId="581"/>
    <cellStyle name="20% - Énfasis6 2" xfId="582"/>
    <cellStyle name="20% - Énfasis6 3" xfId="583"/>
    <cellStyle name="40% - Accent1 2" xfId="584"/>
    <cellStyle name="40% - Accent1 2 2" xfId="585"/>
    <cellStyle name="40% - Accent2 2" xfId="586"/>
    <cellStyle name="40% - Accent2 2 2" xfId="587"/>
    <cellStyle name="40% - Accent3 2" xfId="588"/>
    <cellStyle name="40% - Accent3 2 2" xfId="589"/>
    <cellStyle name="40% - Accent4 2" xfId="590"/>
    <cellStyle name="40% - Accent4 2 2" xfId="591"/>
    <cellStyle name="40% - Accent5 2" xfId="592"/>
    <cellStyle name="40% - Accent5 2 2" xfId="593"/>
    <cellStyle name="40% - Accent6 2" xfId="594"/>
    <cellStyle name="40% - Accent6 2 2" xfId="595"/>
    <cellStyle name="40% - Énfasis1 2" xfId="596"/>
    <cellStyle name="40% - Énfasis1 3" xfId="597"/>
    <cellStyle name="40% - Énfasis2 2" xfId="598"/>
    <cellStyle name="40% - Énfasis2 3" xfId="599"/>
    <cellStyle name="40% - Énfasis3 2" xfId="600"/>
    <cellStyle name="40% - Énfasis3 3" xfId="601"/>
    <cellStyle name="40% - Énfasis4 2" xfId="602"/>
    <cellStyle name="40% - Énfasis4 3" xfId="603"/>
    <cellStyle name="40% - Énfasis5 2" xfId="604"/>
    <cellStyle name="40% - Énfasis5 3" xfId="605"/>
    <cellStyle name="40% - Énfasis6 2" xfId="606"/>
    <cellStyle name="40% - Énfasis6 3" xfId="607"/>
    <cellStyle name="60% - Accent1 2" xfId="608"/>
    <cellStyle name="60% - Accent1 2 2" xfId="609"/>
    <cellStyle name="60% - Accent2 2" xfId="610"/>
    <cellStyle name="60% - Accent2 2 2" xfId="611"/>
    <cellStyle name="60% - Accent3 2" xfId="612"/>
    <cellStyle name="60% - Accent3 2 2" xfId="613"/>
    <cellStyle name="60% - Accent4 2" xfId="614"/>
    <cellStyle name="60% - Accent4 2 2" xfId="615"/>
    <cellStyle name="60% - Accent5 2" xfId="616"/>
    <cellStyle name="60% - Accent5 2 2" xfId="617"/>
    <cellStyle name="60% - Accent6 2" xfId="618"/>
    <cellStyle name="60% - Accent6 2 2" xfId="619"/>
    <cellStyle name="60% - Énfasis1 2" xfId="620"/>
    <cellStyle name="60% - Énfasis1 3" xfId="621"/>
    <cellStyle name="60% - Énfasis2 2" xfId="622"/>
    <cellStyle name="60% - Énfasis2 3" xfId="623"/>
    <cellStyle name="60% - Énfasis3 2" xfId="624"/>
    <cellStyle name="60% - Énfasis3 3" xfId="625"/>
    <cellStyle name="60% - Énfasis4 2" xfId="626"/>
    <cellStyle name="60% - Énfasis4 3" xfId="627"/>
    <cellStyle name="60% - Énfasis5 2" xfId="628"/>
    <cellStyle name="60% - Énfasis5 3" xfId="629"/>
    <cellStyle name="60% - Énfasis6 2" xfId="630"/>
    <cellStyle name="60% - Énfasis6 3" xfId="631"/>
    <cellStyle name="ac" xfId="632"/>
    <cellStyle name="Accent1 2" xfId="633"/>
    <cellStyle name="Accent1 2 2" xfId="634"/>
    <cellStyle name="Accent2 2" xfId="635"/>
    <cellStyle name="Accent2 2 2" xfId="636"/>
    <cellStyle name="Accent3 2" xfId="637"/>
    <cellStyle name="Accent3 2 2" xfId="638"/>
    <cellStyle name="Accent4 2" xfId="639"/>
    <cellStyle name="Accent4 2 2" xfId="640"/>
    <cellStyle name="Accent5 2" xfId="641"/>
    <cellStyle name="Accent5 2 2" xfId="642"/>
    <cellStyle name="Accent6 2" xfId="643"/>
    <cellStyle name="Accent6 2 2" xfId="644"/>
    <cellStyle name="active" xfId="645"/>
    <cellStyle name="active 2" xfId="646"/>
    <cellStyle name="amount" xfId="647"/>
    <cellStyle name="años" xfId="648"/>
    <cellStyle name="años 2" xfId="649"/>
    <cellStyle name="ÁöÁ¤µÇÁö ¾ÊÀ½" xfId="650"/>
    <cellStyle name="ÄÞ¸¶ [0]_±âÅ¸" xfId="651"/>
    <cellStyle name="ÄÞ¸¶_±âÅ¸" xfId="652"/>
    <cellStyle name="axlcolour" xfId="653"/>
    <cellStyle name="Bad 2" xfId="654"/>
    <cellStyle name="Bad 2 2" xfId="655"/>
    <cellStyle name="Body text" xfId="656"/>
    <cellStyle name="Buena 2" xfId="657"/>
    <cellStyle name="Buena 3" xfId="658"/>
    <cellStyle name="Ç¥ÁØ_¿ù°£¿ä¾àº¸°í" xfId="659"/>
    <cellStyle name="Cabecera 1" xfId="660"/>
    <cellStyle name="Cabecera 2" xfId="661"/>
    <cellStyle name="Calc Currency (0)" xfId="662"/>
    <cellStyle name="Calc Currency (2)" xfId="663"/>
    <cellStyle name="Calc Percent (0)" xfId="664"/>
    <cellStyle name="Calc Percent (1)" xfId="665"/>
    <cellStyle name="Calc Percent (2)" xfId="666"/>
    <cellStyle name="Calc Units (0)" xfId="667"/>
    <cellStyle name="Calc Units (1)" xfId="668"/>
    <cellStyle name="Calc Units (2)" xfId="669"/>
    <cellStyle name="Calculation 2" xfId="670"/>
    <cellStyle name="Calculation 2 2" xfId="671"/>
    <cellStyle name="Cálculo" xfId="1" builtinId="22" customBuiltin="1"/>
    <cellStyle name="Cálculo 2" xfId="672"/>
    <cellStyle name="Cálculo 3" xfId="673"/>
    <cellStyle name="Celda de comprobación 2" xfId="674"/>
    <cellStyle name="Celda de comprobación 3" xfId="675"/>
    <cellStyle name="Celda vinculada 2" xfId="676"/>
    <cellStyle name="Celda vinculada 3" xfId="677"/>
    <cellStyle name="Check Cell 2" xfId="678"/>
    <cellStyle name="Checksum" xfId="2"/>
    <cellStyle name="Column Heading" xfId="64"/>
    <cellStyle name="Column label" xfId="3"/>
    <cellStyle name="Column label (left aligned)" xfId="4"/>
    <cellStyle name="Column label (no wrap)" xfId="5"/>
    <cellStyle name="Column label (not bold)" xfId="6"/>
    <cellStyle name="Comma  - Style1" xfId="679"/>
    <cellStyle name="Comma  - Style2" xfId="680"/>
    <cellStyle name="Comma  - Style3" xfId="681"/>
    <cellStyle name="Comma  - Style4" xfId="682"/>
    <cellStyle name="Comma  - Style5" xfId="683"/>
    <cellStyle name="Comma  - Style6" xfId="684"/>
    <cellStyle name="Comma  - Style7" xfId="685"/>
    <cellStyle name="Comma  - Style8" xfId="686"/>
    <cellStyle name="Comma [00]" xfId="687"/>
    <cellStyle name="Comma 10" xfId="688"/>
    <cellStyle name="Comma 11" xfId="689"/>
    <cellStyle name="Comma 12" xfId="690"/>
    <cellStyle name="Comma 13" xfId="691"/>
    <cellStyle name="Comma 14" xfId="692"/>
    <cellStyle name="Comma 15" xfId="693"/>
    <cellStyle name="Comma 16" xfId="694"/>
    <cellStyle name="Comma 17" xfId="695"/>
    <cellStyle name="Comma 18" xfId="696"/>
    <cellStyle name="Comma 19" xfId="697"/>
    <cellStyle name="Comma 2" xfId="698"/>
    <cellStyle name="Comma 2 2" xfId="699"/>
    <cellStyle name="Comma 2 2 2" xfId="700"/>
    <cellStyle name="Comma 2 3" xfId="701"/>
    <cellStyle name="Comma 2 4" xfId="702"/>
    <cellStyle name="Comma 20" xfId="703"/>
    <cellStyle name="Comma 21" xfId="704"/>
    <cellStyle name="Comma 22" xfId="705"/>
    <cellStyle name="Comma 23" xfId="706"/>
    <cellStyle name="Comma 24" xfId="707"/>
    <cellStyle name="Comma 25" xfId="708"/>
    <cellStyle name="Comma 26" xfId="709"/>
    <cellStyle name="Comma 27" xfId="710"/>
    <cellStyle name="Comma 28" xfId="711"/>
    <cellStyle name="Comma 29" xfId="712"/>
    <cellStyle name="Comma 3" xfId="713"/>
    <cellStyle name="Comma 3 2" xfId="714"/>
    <cellStyle name="Comma 3 2 2" xfId="715"/>
    <cellStyle name="Comma 3 3" xfId="716"/>
    <cellStyle name="Comma 3 4" xfId="717"/>
    <cellStyle name="Comma 30" xfId="718"/>
    <cellStyle name="Comma 31" xfId="719"/>
    <cellStyle name="Comma 32" xfId="720"/>
    <cellStyle name="Comma 33" xfId="721"/>
    <cellStyle name="Comma 34" xfId="722"/>
    <cellStyle name="Comma 35" xfId="723"/>
    <cellStyle name="Comma 36" xfId="724"/>
    <cellStyle name="Comma 37" xfId="725"/>
    <cellStyle name="Comma 38" xfId="726"/>
    <cellStyle name="Comma 4" xfId="727"/>
    <cellStyle name="Comma 4 2" xfId="728"/>
    <cellStyle name="Comma 4 3" xfId="729"/>
    <cellStyle name="Comma 5" xfId="730"/>
    <cellStyle name="Comma 5 2" xfId="731"/>
    <cellStyle name="Comma 5 3" xfId="732"/>
    <cellStyle name="Comma 5 4" xfId="733"/>
    <cellStyle name="Comma 6" xfId="734"/>
    <cellStyle name="Comma 7" xfId="735"/>
    <cellStyle name="Comma 8" xfId="736"/>
    <cellStyle name="Comma 9" xfId="737"/>
    <cellStyle name="Comma0" xfId="738"/>
    <cellStyle name="Currency (0dp)" xfId="8"/>
    <cellStyle name="Currency (2dp)" xfId="9"/>
    <cellStyle name="Currency [00]" xfId="739"/>
    <cellStyle name="Currency 2" xfId="740"/>
    <cellStyle name="Currency 3" xfId="741"/>
    <cellStyle name="Currency Dollar" xfId="10"/>
    <cellStyle name="Currency Dollar (2dp)" xfId="11"/>
    <cellStyle name="Currency EUR" xfId="12"/>
    <cellStyle name="Currency EUR (2dp)" xfId="13"/>
    <cellStyle name="Currency Euro" xfId="14"/>
    <cellStyle name="Currency Euro (2dp)" xfId="15"/>
    <cellStyle name="Currency GBP" xfId="16"/>
    <cellStyle name="Currency GBP (2dp)" xfId="17"/>
    <cellStyle name="Currency Pound" xfId="18"/>
    <cellStyle name="Currency Pound (2dp)" xfId="19"/>
    <cellStyle name="Currency USD" xfId="20"/>
    <cellStyle name="Currency USD (2dp)" xfId="21"/>
    <cellStyle name="Currency0" xfId="742"/>
    <cellStyle name="Date" xfId="22"/>
    <cellStyle name="Date (Month)" xfId="23"/>
    <cellStyle name="Date (Year)" xfId="24"/>
    <cellStyle name="Date Short" xfId="743"/>
    <cellStyle name="Date_(06) Part Relac Alca Jun'12" xfId="744"/>
    <cellStyle name="DAV" xfId="745"/>
    <cellStyle name="DELTA" xfId="746"/>
    <cellStyle name="Dezimal [0]" xfId="747"/>
    <cellStyle name="Dezimal_IPIS-generique" xfId="748"/>
    <cellStyle name="Dia" xfId="749"/>
    <cellStyle name="Diseño" xfId="750"/>
    <cellStyle name="Diseño 2" xfId="751"/>
    <cellStyle name="Encabez1" xfId="752"/>
    <cellStyle name="Encabez2" xfId="753"/>
    <cellStyle name="Encabezado 1" xfId="30" builtinId="16"/>
    <cellStyle name="Encabezado 4" xfId="69" builtinId="19"/>
    <cellStyle name="Encabezado 4 2" xfId="754"/>
    <cellStyle name="Encabezado 4 3" xfId="755"/>
    <cellStyle name="Énfasis 1" xfId="756"/>
    <cellStyle name="Énfasis 2" xfId="757"/>
    <cellStyle name="Énfasis 3" xfId="758"/>
    <cellStyle name="Énfasis1 - 20%" xfId="759"/>
    <cellStyle name="Énfasis1 - 40%" xfId="760"/>
    <cellStyle name="Énfasis1 - 60%" xfId="761"/>
    <cellStyle name="Énfasis1 2" xfId="762"/>
    <cellStyle name="Énfasis1 3" xfId="763"/>
    <cellStyle name="Énfasis2 - 20%" xfId="764"/>
    <cellStyle name="Énfasis2 - 40%" xfId="765"/>
    <cellStyle name="Énfasis2 - 60%" xfId="766"/>
    <cellStyle name="Énfasis2 2" xfId="767"/>
    <cellStyle name="Énfasis2 3" xfId="768"/>
    <cellStyle name="Énfasis3 - 20%" xfId="769"/>
    <cellStyle name="Énfasis3 - 40%" xfId="770"/>
    <cellStyle name="Énfasis3 - 60%" xfId="771"/>
    <cellStyle name="Énfasis3 2" xfId="772"/>
    <cellStyle name="Énfasis3 3" xfId="773"/>
    <cellStyle name="Énfasis4 - 20%" xfId="774"/>
    <cellStyle name="Énfasis4 - 40%" xfId="775"/>
    <cellStyle name="Énfasis4 - 60%" xfId="776"/>
    <cellStyle name="Énfasis4 2" xfId="777"/>
    <cellStyle name="Énfasis4 3" xfId="778"/>
    <cellStyle name="Énfasis5 - 20%" xfId="779"/>
    <cellStyle name="Énfasis5 - 40%" xfId="780"/>
    <cellStyle name="Énfasis5 - 60%" xfId="781"/>
    <cellStyle name="Énfasis5 2" xfId="782"/>
    <cellStyle name="Énfasis5 3" xfId="783"/>
    <cellStyle name="Énfasis6 - 20%" xfId="784"/>
    <cellStyle name="Énfasis6 - 40%" xfId="785"/>
    <cellStyle name="Énfasis6 - 60%" xfId="786"/>
    <cellStyle name="Énfasis6 2" xfId="787"/>
    <cellStyle name="Énfasis6 3" xfId="788"/>
    <cellStyle name="Enter Currency (0)" xfId="789"/>
    <cellStyle name="Enter Currency (2)" xfId="790"/>
    <cellStyle name="Enter Units (0)" xfId="791"/>
    <cellStyle name="Enter Units (1)" xfId="792"/>
    <cellStyle name="Enter Units (2)" xfId="793"/>
    <cellStyle name="Entrada 2" xfId="794"/>
    <cellStyle name="Entrada 3" xfId="795"/>
    <cellStyle name="Estilo 1" xfId="796"/>
    <cellStyle name="Estilo 1 2" xfId="797"/>
    <cellStyle name="Estilo 1 2 2" xfId="798"/>
    <cellStyle name="Estilo 1 3" xfId="799"/>
    <cellStyle name="Estilo 1 4" xfId="800"/>
    <cellStyle name="Estilo 1 5" xfId="801"/>
    <cellStyle name="Estilo 1 6" xfId="802"/>
    <cellStyle name="Estilo 1_(06) Part Relac Alca Jun'12" xfId="803"/>
    <cellStyle name="Estilo 10" xfId="804"/>
    <cellStyle name="Estilo 10 2" xfId="805"/>
    <cellStyle name="Estilo 100" xfId="806"/>
    <cellStyle name="Estilo 100 2" xfId="807"/>
    <cellStyle name="Estilo 101" xfId="808"/>
    <cellStyle name="Estilo 101 2" xfId="809"/>
    <cellStyle name="Estilo 102" xfId="810"/>
    <cellStyle name="Estilo 102 2" xfId="811"/>
    <cellStyle name="Estilo 103" xfId="812"/>
    <cellStyle name="Estilo 103 2" xfId="813"/>
    <cellStyle name="Estilo 104" xfId="814"/>
    <cellStyle name="Estilo 105" xfId="815"/>
    <cellStyle name="Estilo 105 2" xfId="816"/>
    <cellStyle name="Estilo 106" xfId="817"/>
    <cellStyle name="Estilo 106 2" xfId="818"/>
    <cellStyle name="Estilo 107" xfId="819"/>
    <cellStyle name="Estilo 107 2" xfId="820"/>
    <cellStyle name="Estilo 108" xfId="821"/>
    <cellStyle name="Estilo 108 2" xfId="822"/>
    <cellStyle name="Estilo 109" xfId="823"/>
    <cellStyle name="Estilo 109 2" xfId="824"/>
    <cellStyle name="Estilo 11" xfId="825"/>
    <cellStyle name="Estilo 11 2" xfId="826"/>
    <cellStyle name="Estilo 110" xfId="827"/>
    <cellStyle name="Estilo 110 2" xfId="828"/>
    <cellStyle name="Estilo 111" xfId="829"/>
    <cellStyle name="Estilo 111 2" xfId="830"/>
    <cellStyle name="Estilo 112" xfId="831"/>
    <cellStyle name="Estilo 112 2" xfId="832"/>
    <cellStyle name="Estilo 113" xfId="833"/>
    <cellStyle name="Estilo 114" xfId="834"/>
    <cellStyle name="Estilo 115" xfId="835"/>
    <cellStyle name="Estilo 115 2" xfId="836"/>
    <cellStyle name="Estilo 116" xfId="837"/>
    <cellStyle name="Estilo 116 2" xfId="838"/>
    <cellStyle name="Estilo 117" xfId="839"/>
    <cellStyle name="Estilo 117 2" xfId="840"/>
    <cellStyle name="Estilo 118" xfId="841"/>
    <cellStyle name="Estilo 118 2" xfId="842"/>
    <cellStyle name="Estilo 119" xfId="843"/>
    <cellStyle name="Estilo 119 2" xfId="844"/>
    <cellStyle name="Estilo 12" xfId="845"/>
    <cellStyle name="Estilo 12 2" xfId="846"/>
    <cellStyle name="Estilo 120" xfId="847"/>
    <cellStyle name="Estilo 120 2" xfId="848"/>
    <cellStyle name="Estilo 121" xfId="849"/>
    <cellStyle name="Estilo 121 2" xfId="850"/>
    <cellStyle name="Estilo 122" xfId="851"/>
    <cellStyle name="Estilo 122 2" xfId="852"/>
    <cellStyle name="Estilo 123" xfId="853"/>
    <cellStyle name="Estilo 124" xfId="854"/>
    <cellStyle name="Estilo 124 2" xfId="855"/>
    <cellStyle name="Estilo 125" xfId="856"/>
    <cellStyle name="Estilo 126" xfId="857"/>
    <cellStyle name="Estilo 126 2" xfId="858"/>
    <cellStyle name="Estilo 127" xfId="859"/>
    <cellStyle name="Estilo 127 2" xfId="860"/>
    <cellStyle name="Estilo 128" xfId="861"/>
    <cellStyle name="Estilo 128 2" xfId="862"/>
    <cellStyle name="Estilo 129" xfId="863"/>
    <cellStyle name="Estilo 129 2" xfId="864"/>
    <cellStyle name="Estilo 13" xfId="865"/>
    <cellStyle name="Estilo 13 2" xfId="866"/>
    <cellStyle name="Estilo 130" xfId="867"/>
    <cellStyle name="Estilo 130 2" xfId="868"/>
    <cellStyle name="Estilo 131" xfId="869"/>
    <cellStyle name="Estilo 131 2" xfId="870"/>
    <cellStyle name="Estilo 132" xfId="871"/>
    <cellStyle name="Estilo 132 2" xfId="872"/>
    <cellStyle name="Estilo 133" xfId="873"/>
    <cellStyle name="Estilo 133 2" xfId="874"/>
    <cellStyle name="Estilo 134" xfId="875"/>
    <cellStyle name="Estilo 135" xfId="876"/>
    <cellStyle name="Estilo 135 2" xfId="877"/>
    <cellStyle name="Estilo 136" xfId="878"/>
    <cellStyle name="Estilo 136 2" xfId="879"/>
    <cellStyle name="Estilo 137" xfId="880"/>
    <cellStyle name="Estilo 137 2" xfId="881"/>
    <cellStyle name="Estilo 138" xfId="882"/>
    <cellStyle name="Estilo 138 2" xfId="883"/>
    <cellStyle name="Estilo 139" xfId="884"/>
    <cellStyle name="Estilo 139 2" xfId="885"/>
    <cellStyle name="Estilo 14" xfId="886"/>
    <cellStyle name="Estilo 140" xfId="887"/>
    <cellStyle name="Estilo 140 2" xfId="888"/>
    <cellStyle name="Estilo 141" xfId="889"/>
    <cellStyle name="Estilo 141 2" xfId="890"/>
    <cellStyle name="Estilo 142" xfId="891"/>
    <cellStyle name="Estilo 143" xfId="892"/>
    <cellStyle name="Estilo 143 2" xfId="893"/>
    <cellStyle name="Estilo 144" xfId="894"/>
    <cellStyle name="Estilo 144 2" xfId="895"/>
    <cellStyle name="Estilo 145" xfId="896"/>
    <cellStyle name="Estilo 145 2" xfId="897"/>
    <cellStyle name="Estilo 146" xfId="898"/>
    <cellStyle name="Estilo 146 2" xfId="899"/>
    <cellStyle name="Estilo 147" xfId="900"/>
    <cellStyle name="Estilo 147 2" xfId="901"/>
    <cellStyle name="Estilo 148" xfId="902"/>
    <cellStyle name="Estilo 148 2" xfId="903"/>
    <cellStyle name="Estilo 149" xfId="904"/>
    <cellStyle name="Estilo 149 2" xfId="905"/>
    <cellStyle name="Estilo 15" xfId="906"/>
    <cellStyle name="Estilo 15 2" xfId="907"/>
    <cellStyle name="Estilo 150" xfId="908"/>
    <cellStyle name="Estilo 150 2" xfId="909"/>
    <cellStyle name="Estilo 151" xfId="910"/>
    <cellStyle name="Estilo 152" xfId="911"/>
    <cellStyle name="Estilo 153" xfId="912"/>
    <cellStyle name="Estilo 153 2" xfId="913"/>
    <cellStyle name="Estilo 154" xfId="914"/>
    <cellStyle name="Estilo 154 2" xfId="915"/>
    <cellStyle name="Estilo 155" xfId="916"/>
    <cellStyle name="Estilo 155 2" xfId="917"/>
    <cellStyle name="Estilo 156" xfId="918"/>
    <cellStyle name="Estilo 156 2" xfId="919"/>
    <cellStyle name="Estilo 157" xfId="920"/>
    <cellStyle name="Estilo 157 2" xfId="921"/>
    <cellStyle name="Estilo 158" xfId="922"/>
    <cellStyle name="Estilo 158 2" xfId="923"/>
    <cellStyle name="Estilo 159" xfId="924"/>
    <cellStyle name="Estilo 159 2" xfId="925"/>
    <cellStyle name="Estilo 16" xfId="926"/>
    <cellStyle name="Estilo 160" xfId="927"/>
    <cellStyle name="Estilo 160 2" xfId="928"/>
    <cellStyle name="Estilo 161" xfId="929"/>
    <cellStyle name="Estilo 162" xfId="930"/>
    <cellStyle name="Estilo 162 2" xfId="931"/>
    <cellStyle name="Estilo 163" xfId="932"/>
    <cellStyle name="Estilo 164" xfId="933"/>
    <cellStyle name="Estilo 164 2" xfId="934"/>
    <cellStyle name="Estilo 165" xfId="935"/>
    <cellStyle name="Estilo 165 2" xfId="936"/>
    <cellStyle name="Estilo 166" xfId="937"/>
    <cellStyle name="Estilo 166 2" xfId="938"/>
    <cellStyle name="Estilo 167" xfId="939"/>
    <cellStyle name="Estilo 167 2" xfId="940"/>
    <cellStyle name="Estilo 168" xfId="941"/>
    <cellStyle name="Estilo 168 2" xfId="942"/>
    <cellStyle name="Estilo 169" xfId="943"/>
    <cellStyle name="Estilo 169 2" xfId="944"/>
    <cellStyle name="Estilo 17" xfId="945"/>
    <cellStyle name="Estilo 17 2" xfId="946"/>
    <cellStyle name="Estilo 170" xfId="947"/>
    <cellStyle name="Estilo 170 2" xfId="948"/>
    <cellStyle name="Estilo 171" xfId="949"/>
    <cellStyle name="Estilo 171 2" xfId="950"/>
    <cellStyle name="Estilo 172" xfId="951"/>
    <cellStyle name="Estilo 173" xfId="952"/>
    <cellStyle name="Estilo 173 2" xfId="953"/>
    <cellStyle name="Estilo 174" xfId="954"/>
    <cellStyle name="Estilo 174 2" xfId="955"/>
    <cellStyle name="Estilo 175" xfId="956"/>
    <cellStyle name="Estilo 175 2" xfId="957"/>
    <cellStyle name="Estilo 176" xfId="958"/>
    <cellStyle name="Estilo 176 2" xfId="959"/>
    <cellStyle name="Estilo 177" xfId="960"/>
    <cellStyle name="Estilo 177 2" xfId="961"/>
    <cellStyle name="Estilo 178" xfId="962"/>
    <cellStyle name="Estilo 178 2" xfId="963"/>
    <cellStyle name="Estilo 179" xfId="964"/>
    <cellStyle name="Estilo 179 2" xfId="965"/>
    <cellStyle name="Estilo 18" xfId="966"/>
    <cellStyle name="Estilo 18 2" xfId="967"/>
    <cellStyle name="Estilo 180" xfId="968"/>
    <cellStyle name="Estilo 181" xfId="969"/>
    <cellStyle name="Estilo 181 2" xfId="970"/>
    <cellStyle name="Estilo 182" xfId="971"/>
    <cellStyle name="Estilo 182 2" xfId="972"/>
    <cellStyle name="Estilo 183" xfId="973"/>
    <cellStyle name="Estilo 183 2" xfId="974"/>
    <cellStyle name="Estilo 184" xfId="975"/>
    <cellStyle name="Estilo 184 2" xfId="976"/>
    <cellStyle name="Estilo 185" xfId="977"/>
    <cellStyle name="Estilo 185 2" xfId="978"/>
    <cellStyle name="Estilo 186" xfId="979"/>
    <cellStyle name="Estilo 186 2" xfId="980"/>
    <cellStyle name="Estilo 187" xfId="981"/>
    <cellStyle name="Estilo 187 2" xfId="982"/>
    <cellStyle name="Estilo 188" xfId="983"/>
    <cellStyle name="Estilo 188 2" xfId="984"/>
    <cellStyle name="Estilo 189" xfId="985"/>
    <cellStyle name="Estilo 19" xfId="986"/>
    <cellStyle name="Estilo 19 2" xfId="987"/>
    <cellStyle name="Estilo 190" xfId="988"/>
    <cellStyle name="Estilo 191" xfId="989"/>
    <cellStyle name="Estilo 191 2" xfId="990"/>
    <cellStyle name="Estilo 192" xfId="991"/>
    <cellStyle name="Estilo 192 2" xfId="992"/>
    <cellStyle name="Estilo 193" xfId="993"/>
    <cellStyle name="Estilo 193 2" xfId="994"/>
    <cellStyle name="Estilo 194" xfId="995"/>
    <cellStyle name="Estilo 194 2" xfId="996"/>
    <cellStyle name="Estilo 195" xfId="997"/>
    <cellStyle name="Estilo 195 2" xfId="998"/>
    <cellStyle name="Estilo 196" xfId="999"/>
    <cellStyle name="Estilo 196 2" xfId="1000"/>
    <cellStyle name="Estilo 197" xfId="1001"/>
    <cellStyle name="Estilo 197 2" xfId="1002"/>
    <cellStyle name="Estilo 198" xfId="1003"/>
    <cellStyle name="Estilo 198 2" xfId="1004"/>
    <cellStyle name="Estilo 199" xfId="1005"/>
    <cellStyle name="Estilo 2" xfId="1006"/>
    <cellStyle name="Estilo 2 2" xfId="1007"/>
    <cellStyle name="Estilo 2 2 2" xfId="1008"/>
    <cellStyle name="Estilo 2 3" xfId="1009"/>
    <cellStyle name="Estilo 2 4" xfId="1010"/>
    <cellStyle name="Estilo 2 5" xfId="1011"/>
    <cellStyle name="Estilo 2 6" xfId="1012"/>
    <cellStyle name="Estilo 2_(06) Part Relac Alca Jun'12" xfId="1013"/>
    <cellStyle name="Estilo 20" xfId="1014"/>
    <cellStyle name="Estilo 20 2" xfId="1015"/>
    <cellStyle name="Estilo 200" xfId="1016"/>
    <cellStyle name="Estilo 200 2" xfId="1017"/>
    <cellStyle name="Estilo 201" xfId="1018"/>
    <cellStyle name="Estilo 202" xfId="1019"/>
    <cellStyle name="Estilo 202 2" xfId="1020"/>
    <cellStyle name="Estilo 203" xfId="1021"/>
    <cellStyle name="Estilo 203 2" xfId="1022"/>
    <cellStyle name="Estilo 204" xfId="1023"/>
    <cellStyle name="Estilo 204 2" xfId="1024"/>
    <cellStyle name="Estilo 205" xfId="1025"/>
    <cellStyle name="Estilo 205 2" xfId="1026"/>
    <cellStyle name="Estilo 206" xfId="1027"/>
    <cellStyle name="Estilo 206 2" xfId="1028"/>
    <cellStyle name="Estilo 207" xfId="1029"/>
    <cellStyle name="Estilo 207 2" xfId="1030"/>
    <cellStyle name="Estilo 208" xfId="1031"/>
    <cellStyle name="Estilo 208 2" xfId="1032"/>
    <cellStyle name="Estilo 209" xfId="1033"/>
    <cellStyle name="Estilo 209 2" xfId="1034"/>
    <cellStyle name="Estilo 21" xfId="1035"/>
    <cellStyle name="Estilo 21 2" xfId="1036"/>
    <cellStyle name="Estilo 210" xfId="1037"/>
    <cellStyle name="Estilo 211" xfId="1038"/>
    <cellStyle name="Estilo 211 2" xfId="1039"/>
    <cellStyle name="Estilo 212" xfId="1040"/>
    <cellStyle name="Estilo 212 2" xfId="1041"/>
    <cellStyle name="Estilo 213" xfId="1042"/>
    <cellStyle name="Estilo 213 2" xfId="1043"/>
    <cellStyle name="Estilo 214" xfId="1044"/>
    <cellStyle name="Estilo 214 2" xfId="1045"/>
    <cellStyle name="Estilo 215" xfId="1046"/>
    <cellStyle name="Estilo 215 2" xfId="1047"/>
    <cellStyle name="Estilo 216" xfId="1048"/>
    <cellStyle name="Estilo 216 2" xfId="1049"/>
    <cellStyle name="Estilo 217" xfId="1050"/>
    <cellStyle name="Estilo 217 2" xfId="1051"/>
    <cellStyle name="Estilo 218" xfId="1052"/>
    <cellStyle name="Estilo 219" xfId="1053"/>
    <cellStyle name="Estilo 219 2" xfId="1054"/>
    <cellStyle name="Estilo 22" xfId="1055"/>
    <cellStyle name="Estilo 22 2" xfId="1056"/>
    <cellStyle name="Estilo 220" xfId="1057"/>
    <cellStyle name="Estilo 220 2" xfId="1058"/>
    <cellStyle name="Estilo 221" xfId="1059"/>
    <cellStyle name="Estilo 221 2" xfId="1060"/>
    <cellStyle name="Estilo 222" xfId="1061"/>
    <cellStyle name="Estilo 222 2" xfId="1062"/>
    <cellStyle name="Estilo 223" xfId="1063"/>
    <cellStyle name="Estilo 223 2" xfId="1064"/>
    <cellStyle name="Estilo 224" xfId="1065"/>
    <cellStyle name="Estilo 224 2" xfId="1066"/>
    <cellStyle name="Estilo 225" xfId="1067"/>
    <cellStyle name="Estilo 225 2" xfId="1068"/>
    <cellStyle name="Estilo 226" xfId="1069"/>
    <cellStyle name="Estilo 226 2" xfId="1070"/>
    <cellStyle name="Estilo 227" xfId="1071"/>
    <cellStyle name="Estilo 228" xfId="1072"/>
    <cellStyle name="Estilo 229" xfId="1073"/>
    <cellStyle name="Estilo 229 2" xfId="1074"/>
    <cellStyle name="Estilo 23" xfId="1075"/>
    <cellStyle name="Estilo 230" xfId="1076"/>
    <cellStyle name="Estilo 230 2" xfId="1077"/>
    <cellStyle name="Estilo 231" xfId="1078"/>
    <cellStyle name="Estilo 231 2" xfId="1079"/>
    <cellStyle name="Estilo 232" xfId="1080"/>
    <cellStyle name="Estilo 232 2" xfId="1081"/>
    <cellStyle name="Estilo 233" xfId="1082"/>
    <cellStyle name="Estilo 233 2" xfId="1083"/>
    <cellStyle name="Estilo 234" xfId="1084"/>
    <cellStyle name="Estilo 234 2" xfId="1085"/>
    <cellStyle name="Estilo 235" xfId="1086"/>
    <cellStyle name="Estilo 235 2" xfId="1087"/>
    <cellStyle name="Estilo 236" xfId="1088"/>
    <cellStyle name="Estilo 236 2" xfId="1089"/>
    <cellStyle name="Estilo 237" xfId="1090"/>
    <cellStyle name="Estilo 238" xfId="1091"/>
    <cellStyle name="Estilo 238 2" xfId="1092"/>
    <cellStyle name="Estilo 239" xfId="1093"/>
    <cellStyle name="Estilo 24" xfId="1094"/>
    <cellStyle name="Estilo 24 2" xfId="1095"/>
    <cellStyle name="Estilo 240" xfId="1096"/>
    <cellStyle name="Estilo 240 2" xfId="1097"/>
    <cellStyle name="Estilo 241" xfId="1098"/>
    <cellStyle name="Estilo 241 2" xfId="1099"/>
    <cellStyle name="Estilo 242" xfId="1100"/>
    <cellStyle name="Estilo 242 2" xfId="1101"/>
    <cellStyle name="Estilo 243" xfId="1102"/>
    <cellStyle name="Estilo 243 2" xfId="1103"/>
    <cellStyle name="Estilo 244" xfId="1104"/>
    <cellStyle name="Estilo 244 2" xfId="1105"/>
    <cellStyle name="Estilo 245" xfId="1106"/>
    <cellStyle name="Estilo 245 2" xfId="1107"/>
    <cellStyle name="Estilo 246" xfId="1108"/>
    <cellStyle name="Estilo 246 2" xfId="1109"/>
    <cellStyle name="Estilo 247" xfId="1110"/>
    <cellStyle name="Estilo 247 2" xfId="1111"/>
    <cellStyle name="Estilo 248" xfId="1112"/>
    <cellStyle name="Estilo 249" xfId="1113"/>
    <cellStyle name="Estilo 249 2" xfId="1114"/>
    <cellStyle name="Estilo 25" xfId="1115"/>
    <cellStyle name="Estilo 25 2" xfId="1116"/>
    <cellStyle name="Estilo 250" xfId="1117"/>
    <cellStyle name="Estilo 251" xfId="1118"/>
    <cellStyle name="Estilo 251 2" xfId="1119"/>
    <cellStyle name="Estilo 252" xfId="1120"/>
    <cellStyle name="Estilo 252 2" xfId="1121"/>
    <cellStyle name="Estilo 253" xfId="1122"/>
    <cellStyle name="Estilo 253 2" xfId="1123"/>
    <cellStyle name="Estilo 254" xfId="1124"/>
    <cellStyle name="Estilo 254 2" xfId="1125"/>
    <cellStyle name="Estilo 255" xfId="1126"/>
    <cellStyle name="Estilo 255 2" xfId="1127"/>
    <cellStyle name="Estilo 26" xfId="1128"/>
    <cellStyle name="Estilo 26 2" xfId="1129"/>
    <cellStyle name="Estilo 27" xfId="1130"/>
    <cellStyle name="Estilo 27 2" xfId="1131"/>
    <cellStyle name="Estilo 28" xfId="1132"/>
    <cellStyle name="Estilo 28 2" xfId="1133"/>
    <cellStyle name="Estilo 29" xfId="1134"/>
    <cellStyle name="Estilo 29 2" xfId="1135"/>
    <cellStyle name="Estilo 3" xfId="1136"/>
    <cellStyle name="Estilo 3 2" xfId="1137"/>
    <cellStyle name="Estilo 30" xfId="1138"/>
    <cellStyle name="Estilo 30 2" xfId="1139"/>
    <cellStyle name="Estilo 31" xfId="1140"/>
    <cellStyle name="Estilo 31 2" xfId="1141"/>
    <cellStyle name="Estilo 32" xfId="1142"/>
    <cellStyle name="Estilo 33" xfId="1143"/>
    <cellStyle name="Estilo 34" xfId="1144"/>
    <cellStyle name="Estilo 34 2" xfId="1145"/>
    <cellStyle name="Estilo 35" xfId="1146"/>
    <cellStyle name="Estilo 35 2" xfId="1147"/>
    <cellStyle name="Estilo 36" xfId="1148"/>
    <cellStyle name="Estilo 36 2" xfId="1149"/>
    <cellStyle name="Estilo 37" xfId="1150"/>
    <cellStyle name="Estilo 37 2" xfId="1151"/>
    <cellStyle name="Estilo 38" xfId="1152"/>
    <cellStyle name="Estilo 38 2" xfId="1153"/>
    <cellStyle name="Estilo 39" xfId="1154"/>
    <cellStyle name="Estilo 39 2" xfId="1155"/>
    <cellStyle name="Estilo 4" xfId="1156"/>
    <cellStyle name="Estilo 4 2" xfId="1157"/>
    <cellStyle name="Estilo 40" xfId="1158"/>
    <cellStyle name="Estilo 40 2" xfId="1159"/>
    <cellStyle name="Estilo 41" xfId="1160"/>
    <cellStyle name="Estilo 41 2" xfId="1161"/>
    <cellStyle name="Estilo 42" xfId="1162"/>
    <cellStyle name="Estilo 43" xfId="1163"/>
    <cellStyle name="Estilo 43 2" xfId="1164"/>
    <cellStyle name="Estilo 44" xfId="1165"/>
    <cellStyle name="Estilo 44 2" xfId="1166"/>
    <cellStyle name="Estilo 45" xfId="1167"/>
    <cellStyle name="Estilo 45 2" xfId="1168"/>
    <cellStyle name="Estilo 46" xfId="1169"/>
    <cellStyle name="Estilo 46 2" xfId="1170"/>
    <cellStyle name="Estilo 47" xfId="1171"/>
    <cellStyle name="Estilo 47 2" xfId="1172"/>
    <cellStyle name="Estilo 48" xfId="1173"/>
    <cellStyle name="Estilo 49" xfId="1174"/>
    <cellStyle name="Estilo 49 2" xfId="1175"/>
    <cellStyle name="Estilo 5" xfId="1176"/>
    <cellStyle name="Estilo 50" xfId="1177"/>
    <cellStyle name="Estilo 50 2" xfId="1178"/>
    <cellStyle name="Estilo 51" xfId="1179"/>
    <cellStyle name="Estilo 51 2" xfId="1180"/>
    <cellStyle name="Estilo 52" xfId="1181"/>
    <cellStyle name="Estilo 52 2" xfId="1182"/>
    <cellStyle name="Estilo 53" xfId="1183"/>
    <cellStyle name="Estilo 53 2" xfId="1184"/>
    <cellStyle name="Estilo 54" xfId="1185"/>
    <cellStyle name="Estilo 54 2" xfId="1186"/>
    <cellStyle name="Estilo 55" xfId="1187"/>
    <cellStyle name="Estilo 55 2" xfId="1188"/>
    <cellStyle name="Estilo 56" xfId="1189"/>
    <cellStyle name="Estilo 56 2" xfId="1190"/>
    <cellStyle name="Estilo 57" xfId="1191"/>
    <cellStyle name="Estilo 58" xfId="1192"/>
    <cellStyle name="Estilo 58 2" xfId="1193"/>
    <cellStyle name="Estilo 59" xfId="1194"/>
    <cellStyle name="Estilo 59 2" xfId="1195"/>
    <cellStyle name="Estilo 6" xfId="1196"/>
    <cellStyle name="Estilo 6 2" xfId="1197"/>
    <cellStyle name="Estilo 60" xfId="1198"/>
    <cellStyle name="Estilo 60 2" xfId="1199"/>
    <cellStyle name="Estilo 61" xfId="1200"/>
    <cellStyle name="Estilo 61 2" xfId="1201"/>
    <cellStyle name="Estilo 62" xfId="1202"/>
    <cellStyle name="Estilo 62 2" xfId="1203"/>
    <cellStyle name="Estilo 63" xfId="1204"/>
    <cellStyle name="Estilo 63 2" xfId="1205"/>
    <cellStyle name="Estilo 64" xfId="1206"/>
    <cellStyle name="Estilo 64 2" xfId="1207"/>
    <cellStyle name="Estilo 65" xfId="1208"/>
    <cellStyle name="Estilo 66" xfId="1209"/>
    <cellStyle name="Estilo 66 2" xfId="1210"/>
    <cellStyle name="Estilo 67" xfId="1211"/>
    <cellStyle name="Estilo 67 2" xfId="1212"/>
    <cellStyle name="Estilo 68" xfId="1213"/>
    <cellStyle name="Estilo 68 2" xfId="1214"/>
    <cellStyle name="Estilo 69" xfId="1215"/>
    <cellStyle name="Estilo 69 2" xfId="1216"/>
    <cellStyle name="Estilo 7" xfId="1217"/>
    <cellStyle name="Estilo 7 2" xfId="1218"/>
    <cellStyle name="Estilo 70" xfId="1219"/>
    <cellStyle name="Estilo 70 2" xfId="1220"/>
    <cellStyle name="Estilo 71" xfId="1221"/>
    <cellStyle name="Estilo 71 2" xfId="1222"/>
    <cellStyle name="Estilo 72" xfId="1223"/>
    <cellStyle name="Estilo 72 2" xfId="1224"/>
    <cellStyle name="Estilo 73" xfId="1225"/>
    <cellStyle name="Estilo 73 2" xfId="1226"/>
    <cellStyle name="Estilo 74" xfId="1227"/>
    <cellStyle name="Estilo 75" xfId="1228"/>
    <cellStyle name="Estilo 76" xfId="1229"/>
    <cellStyle name="Estilo 76 2" xfId="1230"/>
    <cellStyle name="Estilo 77" xfId="1231"/>
    <cellStyle name="Estilo 77 2" xfId="1232"/>
    <cellStyle name="Estilo 78" xfId="1233"/>
    <cellStyle name="Estilo 78 2" xfId="1234"/>
    <cellStyle name="Estilo 79" xfId="1235"/>
    <cellStyle name="Estilo 79 2" xfId="1236"/>
    <cellStyle name="Estilo 8" xfId="1237"/>
    <cellStyle name="Estilo 8 2" xfId="1238"/>
    <cellStyle name="Estilo 80" xfId="1239"/>
    <cellStyle name="Estilo 80 2" xfId="1240"/>
    <cellStyle name="Estilo 81" xfId="1241"/>
    <cellStyle name="Estilo 81 2" xfId="1242"/>
    <cellStyle name="Estilo 82" xfId="1243"/>
    <cellStyle name="Estilo 82 2" xfId="1244"/>
    <cellStyle name="Estilo 83" xfId="1245"/>
    <cellStyle name="Estilo 83 2" xfId="1246"/>
    <cellStyle name="Estilo 84" xfId="1247"/>
    <cellStyle name="Estilo 85" xfId="1248"/>
    <cellStyle name="Estilo 86" xfId="1249"/>
    <cellStyle name="Estilo 86 2" xfId="1250"/>
    <cellStyle name="Estilo 87" xfId="1251"/>
    <cellStyle name="Estilo 88" xfId="1252"/>
    <cellStyle name="Estilo 88 2" xfId="1253"/>
    <cellStyle name="Estilo 89" xfId="1254"/>
    <cellStyle name="Estilo 89 2" xfId="1255"/>
    <cellStyle name="Estilo 9" xfId="1256"/>
    <cellStyle name="Estilo 9 2" xfId="1257"/>
    <cellStyle name="Estilo 90" xfId="1258"/>
    <cellStyle name="Estilo 90 2" xfId="1259"/>
    <cellStyle name="Estilo 91" xfId="1260"/>
    <cellStyle name="Estilo 91 2" xfId="1261"/>
    <cellStyle name="Estilo 92" xfId="1262"/>
    <cellStyle name="Estilo 92 2" xfId="1263"/>
    <cellStyle name="Estilo 93" xfId="1264"/>
    <cellStyle name="Estilo 93 2" xfId="1265"/>
    <cellStyle name="Estilo 94" xfId="1266"/>
    <cellStyle name="Estilo 94 2" xfId="1267"/>
    <cellStyle name="Estilo 95" xfId="1268"/>
    <cellStyle name="Estilo 95 2" xfId="1269"/>
    <cellStyle name="Estilo 96" xfId="1270"/>
    <cellStyle name="Estilo 97" xfId="1271"/>
    <cellStyle name="Estilo 97 2" xfId="1272"/>
    <cellStyle name="Estilo 98" xfId="1273"/>
    <cellStyle name="Estilo 98 2" xfId="1274"/>
    <cellStyle name="Estilo 99" xfId="1275"/>
    <cellStyle name="Estilo 99 2" xfId="1276"/>
    <cellStyle name="Euro" xfId="1277"/>
    <cellStyle name="Euro 2" xfId="1278"/>
    <cellStyle name="Euro 2 2" xfId="1279"/>
    <cellStyle name="Euro 2 3" xfId="1280"/>
    <cellStyle name="Euro 3" xfId="1281"/>
    <cellStyle name="Euro 3 2" xfId="1282"/>
    <cellStyle name="Euro 4" xfId="1283"/>
    <cellStyle name="Euro 5" xfId="1284"/>
    <cellStyle name="Euro_(06) Part Relac Alca Jun'12" xfId="1285"/>
    <cellStyle name="Excel.Chart" xfId="1286"/>
    <cellStyle name="Excel.Chart 2" xfId="1287"/>
    <cellStyle name="Excel.Chart 2 2" xfId="1288"/>
    <cellStyle name="Excel.Chart 3" xfId="1289"/>
    <cellStyle name="Explanatory Text 2" xfId="1290"/>
    <cellStyle name="Explanatory Text 2 2" xfId="1291"/>
    <cellStyle name="Fecha" xfId="1292"/>
    <cellStyle name="fechaA" xfId="1293"/>
    <cellStyle name="Fijo" xfId="1294"/>
    <cellStyle name="Financiero" xfId="1295"/>
    <cellStyle name="Fixed" xfId="1296"/>
    <cellStyle name="Followed Hyperlink" xfId="1297"/>
    <cellStyle name="Good 2" xfId="1298"/>
    <cellStyle name="Grey" xfId="1299"/>
    <cellStyle name="Grey 2" xfId="1300"/>
    <cellStyle name="H0" xfId="25"/>
    <cellStyle name="H1" xfId="26"/>
    <cellStyle name="H2" xfId="27"/>
    <cellStyle name="H3" xfId="28"/>
    <cellStyle name="H4" xfId="29"/>
    <cellStyle name="header" xfId="1301"/>
    <cellStyle name="Header Total" xfId="1302"/>
    <cellStyle name="header_Cash Flow Forecast, 12 Months1" xfId="1303"/>
    <cellStyle name="Header1" xfId="1304"/>
    <cellStyle name="Header2" xfId="1305"/>
    <cellStyle name="Header3" xfId="1306"/>
    <cellStyle name="Header4" xfId="1307"/>
    <cellStyle name="HEADING" xfId="1308"/>
    <cellStyle name="Heading 1 2" xfId="1309"/>
    <cellStyle name="Heading 1 2 2" xfId="1310"/>
    <cellStyle name="Heading 2 2" xfId="1311"/>
    <cellStyle name="Heading 2 2 2" xfId="1312"/>
    <cellStyle name="Heading 3 2" xfId="1313"/>
    <cellStyle name="Heading 3 2 2" xfId="1314"/>
    <cellStyle name="Heading 4 2" xfId="1315"/>
    <cellStyle name="Heading1" xfId="1316"/>
    <cellStyle name="Heading2" xfId="1317"/>
    <cellStyle name="Highlight" xfId="32"/>
    <cellStyle name="Hipervínculo" xfId="58" builtinId="8"/>
    <cellStyle name="Hipervínculo 2" xfId="1318"/>
    <cellStyle name="Hipervínculo 8" xfId="1319"/>
    <cellStyle name="Hyperlink 2" xfId="1320"/>
    <cellStyle name="Hyperlink 3" xfId="1321"/>
    <cellStyle name="Hyperlink 4" xfId="1322"/>
    <cellStyle name="Incorrecto 2" xfId="1323"/>
    <cellStyle name="Incorrecto 3" xfId="1324"/>
    <cellStyle name="Input [yellow]" xfId="1325"/>
    <cellStyle name="Input [yellow] 2" xfId="1326"/>
    <cellStyle name="Input 2" xfId="1327"/>
    <cellStyle name="Input 3" xfId="1328"/>
    <cellStyle name="Input 4" xfId="1329"/>
    <cellStyle name="Input 5" xfId="1330"/>
    <cellStyle name="Input 6" xfId="1331"/>
    <cellStyle name="Input 7" xfId="1332"/>
    <cellStyle name="Input 8" xfId="1333"/>
    <cellStyle name="Input 9" xfId="1334"/>
    <cellStyle name="Input calculation" xfId="33"/>
    <cellStyle name="Input data" xfId="34"/>
    <cellStyle name="Input data 3" xfId="62"/>
    <cellStyle name="Input estimate" xfId="35"/>
    <cellStyle name="Input link" xfId="36"/>
    <cellStyle name="Input link (different workbook)" xfId="37"/>
    <cellStyle name="Input parameter" xfId="38"/>
    <cellStyle name="L_BORDER_A" xfId="1335"/>
    <cellStyle name="L_BORDER_A_Soporte para  notas 2007 GT Conc Cont-Fis 07" xfId="1336"/>
    <cellStyle name="L_BORDER_A_Soporte para  notas 2007 GTS Conc Cont-Fis 07" xfId="1337"/>
    <cellStyle name="Link Currency (0)" xfId="1338"/>
    <cellStyle name="Link Currency (2)" xfId="1339"/>
    <cellStyle name="Link Units (0)" xfId="1340"/>
    <cellStyle name="Link Units (1)" xfId="1341"/>
    <cellStyle name="Link Units (2)" xfId="1342"/>
    <cellStyle name="Linked Cell 2" xfId="1343"/>
    <cellStyle name="lugares" xfId="1344"/>
    <cellStyle name="MARQ" xfId="1345"/>
    <cellStyle name="Migliaia (0)_1_netsi9" xfId="1346"/>
    <cellStyle name="Migliaia_1_netsi9" xfId="1347"/>
    <cellStyle name="Millares" xfId="70" builtinId="3"/>
    <cellStyle name="Millares [0] 2" xfId="1348"/>
    <cellStyle name="Millares 2" xfId="1349"/>
    <cellStyle name="Millares 2 2" xfId="1350"/>
    <cellStyle name="Millares 2 2 2" xfId="1351"/>
    <cellStyle name="Millares 2 2 2 2" xfId="1352"/>
    <cellStyle name="Millares 2 2 3" xfId="1353"/>
    <cellStyle name="Millares 2 2 3 2" xfId="1354"/>
    <cellStyle name="Millares 2 2 4" xfId="1355"/>
    <cellStyle name="Millares 2 3" xfId="1356"/>
    <cellStyle name="Millares 2_BALCON" xfId="1357"/>
    <cellStyle name="Millares 3" xfId="1358"/>
    <cellStyle name="Millares 3 2" xfId="1359"/>
    <cellStyle name="Millares 3 3" xfId="1360"/>
    <cellStyle name="Millares 4" xfId="1361"/>
    <cellStyle name="Millares 5" xfId="1362"/>
    <cellStyle name="Millares 6" xfId="1363"/>
    <cellStyle name="Millares 7" xfId="1364"/>
    <cellStyle name="Millares 8" xfId="1365"/>
    <cellStyle name="Millares 9" xfId="1366"/>
    <cellStyle name="Milliers [0]_AR1194" xfId="1367"/>
    <cellStyle name="Milliers_AR1194" xfId="1368"/>
    <cellStyle name="minnum" xfId="1369"/>
    <cellStyle name="Moeda [0]_2003" xfId="1370"/>
    <cellStyle name="Moeda_2003" xfId="1371"/>
    <cellStyle name="Moneda" xfId="7" builtinId="4"/>
    <cellStyle name="Moneda 2" xfId="1372"/>
    <cellStyle name="Moneda 3" xfId="1373"/>
    <cellStyle name="Monétaire [0]_AR1194" xfId="1374"/>
    <cellStyle name="Monétaire_AR1194" xfId="1375"/>
    <cellStyle name="Monetario" xfId="1376"/>
    <cellStyle name="Monetario0" xfId="1377"/>
    <cellStyle name="Mon彋aire [0]_AR1194" xfId="1378"/>
    <cellStyle name="Mon彋aire_AR1194" xfId="1379"/>
    <cellStyle name="Name" xfId="39"/>
    <cellStyle name="Neutral 2" xfId="1380"/>
    <cellStyle name="Neutral 3" xfId="1381"/>
    <cellStyle name="no dec" xfId="1382"/>
    <cellStyle name="No-definido" xfId="1383"/>
    <cellStyle name="NonPrint_Heading" xfId="1384"/>
    <cellStyle name="Normal" xfId="0" builtinId="0"/>
    <cellStyle name="Normal - Style1" xfId="1385"/>
    <cellStyle name="Normal - Style1 2" xfId="1386"/>
    <cellStyle name="Normal - Style1 2 2" xfId="1387"/>
    <cellStyle name="Normal - Style1 2 3" xfId="1388"/>
    <cellStyle name="Normal - Style1 3" xfId="1389"/>
    <cellStyle name="Normal 10" xfId="1390"/>
    <cellStyle name="Normal 10 2" xfId="1391"/>
    <cellStyle name="Normal 10 3" xfId="1392"/>
    <cellStyle name="Normal 10_CXCXP_posición Sep12 GESSI" xfId="1393"/>
    <cellStyle name="Normal 11" xfId="1394"/>
    <cellStyle name="Normal 11 2" xfId="1395"/>
    <cellStyle name="Normal 11 2 2" xfId="1396"/>
    <cellStyle name="Normal 11 3" xfId="1397"/>
    <cellStyle name="Normal 12" xfId="1398"/>
    <cellStyle name="Normal 12 2" xfId="1399"/>
    <cellStyle name="Normal 12 3" xfId="1400"/>
    <cellStyle name="Normal 13" xfId="1401"/>
    <cellStyle name="Normal 13 2" xfId="1402"/>
    <cellStyle name="Normal 14" xfId="1403"/>
    <cellStyle name="Normal 14 2" xfId="1404"/>
    <cellStyle name="Normal 15" xfId="1405"/>
    <cellStyle name="Normal 15 2" xfId="1406"/>
    <cellStyle name="Normal 16" xfId="1407"/>
    <cellStyle name="Normal 16 2" xfId="1408"/>
    <cellStyle name="Normal 17" xfId="1409"/>
    <cellStyle name="Normal 17 2" xfId="1410"/>
    <cellStyle name="Normal 18" xfId="1411"/>
    <cellStyle name="Normal 18 2" xfId="1412"/>
    <cellStyle name="Normal 18 3" xfId="1413"/>
    <cellStyle name="Normal 19" xfId="1414"/>
    <cellStyle name="Normal 19 2" xfId="1415"/>
    <cellStyle name="Normal 2" xfId="59"/>
    <cellStyle name="Normal 2 2" xfId="61"/>
    <cellStyle name="Normal 2 2 2" xfId="1416"/>
    <cellStyle name="Normal 2 3" xfId="1417"/>
    <cellStyle name="Normal 2 4" xfId="1418"/>
    <cellStyle name="Normal 2_CXCXP CN PR TROS" xfId="1419"/>
    <cellStyle name="Normal 20" xfId="1420"/>
    <cellStyle name="Normal 20 2" xfId="1421"/>
    <cellStyle name="Normal 21" xfId="71"/>
    <cellStyle name="Normal 21 2" xfId="1422"/>
    <cellStyle name="Normal 22" xfId="1423"/>
    <cellStyle name="Normal 22 2" xfId="1424"/>
    <cellStyle name="Normal 23" xfId="1425"/>
    <cellStyle name="Normal 23 2" xfId="1426"/>
    <cellStyle name="Normal 24" xfId="1427"/>
    <cellStyle name="Normal 24 2" xfId="1428"/>
    <cellStyle name="Normal 25" xfId="1429"/>
    <cellStyle name="Normal 25 2" xfId="1430"/>
    <cellStyle name="Normal 26" xfId="1431"/>
    <cellStyle name="Normal 26 2" xfId="1432"/>
    <cellStyle name="Normal 27" xfId="1433"/>
    <cellStyle name="Normal 27 2" xfId="1434"/>
    <cellStyle name="Normal 28" xfId="1435"/>
    <cellStyle name="Normal 28 2" xfId="1436"/>
    <cellStyle name="Normal 29" xfId="1437"/>
    <cellStyle name="Normal 29 2" xfId="1438"/>
    <cellStyle name="Normal 3" xfId="65"/>
    <cellStyle name="Normal 3 10" xfId="1439"/>
    <cellStyle name="Normal 3 11" xfId="1440"/>
    <cellStyle name="Normal 3 12" xfId="1441"/>
    <cellStyle name="Normal 3 13" xfId="1442"/>
    <cellStyle name="Normal 3 14" xfId="1443"/>
    <cellStyle name="Normal 3 15" xfId="1444"/>
    <cellStyle name="Normal 3 16" xfId="1445"/>
    <cellStyle name="Normal 3 17" xfId="1446"/>
    <cellStyle name="Normal 3 18" xfId="1447"/>
    <cellStyle name="Normal 3 19" xfId="1448"/>
    <cellStyle name="Normal 3 2" xfId="1449"/>
    <cellStyle name="Normal 3 20" xfId="1450"/>
    <cellStyle name="Normal 3 21" xfId="1451"/>
    <cellStyle name="Normal 3 22" xfId="1452"/>
    <cellStyle name="Normal 3 23" xfId="1453"/>
    <cellStyle name="Normal 3 24" xfId="1454"/>
    <cellStyle name="Normal 3 25" xfId="1455"/>
    <cellStyle name="Normal 3 3" xfId="1456"/>
    <cellStyle name="Normal 3 4" xfId="1457"/>
    <cellStyle name="Normal 3 5" xfId="1458"/>
    <cellStyle name="Normal 3 6" xfId="1459"/>
    <cellStyle name="Normal 3 7" xfId="1460"/>
    <cellStyle name="Normal 3 8" xfId="1461"/>
    <cellStyle name="Normal 3 9" xfId="1462"/>
    <cellStyle name="Normal 3_BALCON" xfId="1463"/>
    <cellStyle name="Normal 30" xfId="1464"/>
    <cellStyle name="Normal 30 2" xfId="1465"/>
    <cellStyle name="Normal 31" xfId="1466"/>
    <cellStyle name="Normal 31 2" xfId="1467"/>
    <cellStyle name="Normal 32" xfId="1468"/>
    <cellStyle name="Normal 32 2" xfId="1469"/>
    <cellStyle name="Normal 33" xfId="1470"/>
    <cellStyle name="Normal 33 2" xfId="1471"/>
    <cellStyle name="Normal 34" xfId="1472"/>
    <cellStyle name="Normal 34 2" xfId="1473"/>
    <cellStyle name="Normal 35" xfId="1474"/>
    <cellStyle name="Normal 35 2" xfId="1475"/>
    <cellStyle name="Normal 36" xfId="1476"/>
    <cellStyle name="Normal 36 2" xfId="1477"/>
    <cellStyle name="Normal 37" xfId="1478"/>
    <cellStyle name="Normal 37 2" xfId="1479"/>
    <cellStyle name="Normal 38" xfId="1480"/>
    <cellStyle name="Normal 39" xfId="1481"/>
    <cellStyle name="Normal 4" xfId="66"/>
    <cellStyle name="Normal 4 2" xfId="1482"/>
    <cellStyle name="Normal 4 2 2" xfId="1483"/>
    <cellStyle name="Normal 4 3" xfId="1484"/>
    <cellStyle name="Normal 4_BALCON" xfId="1485"/>
    <cellStyle name="Normal 40" xfId="1486"/>
    <cellStyle name="Normal 41" xfId="1487"/>
    <cellStyle name="Normal 42" xfId="1488"/>
    <cellStyle name="Normal 43" xfId="1489"/>
    <cellStyle name="Normal 44" xfId="1490"/>
    <cellStyle name="Normal 45" xfId="1491"/>
    <cellStyle name="Normal 46" xfId="1492"/>
    <cellStyle name="Normal 47" xfId="1493"/>
    <cellStyle name="Normal 48" xfId="1494"/>
    <cellStyle name="Normal 49" xfId="1495"/>
    <cellStyle name="Normal 5" xfId="1496"/>
    <cellStyle name="Normal 5 2" xfId="1497"/>
    <cellStyle name="Normal 5 2 2" xfId="1498"/>
    <cellStyle name="Normal 5 3" xfId="1499"/>
    <cellStyle name="Normal 50" xfId="1500"/>
    <cellStyle name="Normal 51" xfId="1501"/>
    <cellStyle name="Normal 52" xfId="1502"/>
    <cellStyle name="Normal 53" xfId="1503"/>
    <cellStyle name="Normal 54" xfId="1504"/>
    <cellStyle name="Normal 55" xfId="1505"/>
    <cellStyle name="Normal 56" xfId="1506"/>
    <cellStyle name="Normal 57" xfId="1507"/>
    <cellStyle name="Normal 58" xfId="1508"/>
    <cellStyle name="Normal 59" xfId="1509"/>
    <cellStyle name="Normal 6" xfId="1510"/>
    <cellStyle name="Normal 6 2" xfId="1511"/>
    <cellStyle name="Normal 6 2 2" xfId="1512"/>
    <cellStyle name="Normal 6 3" xfId="1513"/>
    <cellStyle name="Normal 6 4" xfId="1514"/>
    <cellStyle name="Normal 60" xfId="1515"/>
    <cellStyle name="Normal 61" xfId="1516"/>
    <cellStyle name="Normal 62" xfId="1517"/>
    <cellStyle name="Normal 63" xfId="1518"/>
    <cellStyle name="Normal 64" xfId="1519"/>
    <cellStyle name="Normal 65" xfId="1520"/>
    <cellStyle name="Normal 66" xfId="1521"/>
    <cellStyle name="Normal 67" xfId="1522"/>
    <cellStyle name="Normal 68" xfId="1523"/>
    <cellStyle name="Normal 69" xfId="1524"/>
    <cellStyle name="Normal 7" xfId="1525"/>
    <cellStyle name="Normal 7 2" xfId="1526"/>
    <cellStyle name="Normal 7 2 2" xfId="1527"/>
    <cellStyle name="Normal 7 3" xfId="1528"/>
    <cellStyle name="Normal 7 4" xfId="1529"/>
    <cellStyle name="Normal 7_CXCXP_posición Dic12 GESSI" xfId="1530"/>
    <cellStyle name="Normal 70" xfId="1531"/>
    <cellStyle name="Normal 71" xfId="1532"/>
    <cellStyle name="Normal 72" xfId="1533"/>
    <cellStyle name="Normal 73" xfId="1534"/>
    <cellStyle name="Normal 74" xfId="1535"/>
    <cellStyle name="Normal 75" xfId="1536"/>
    <cellStyle name="Normal 76" xfId="1537"/>
    <cellStyle name="Normal 77" xfId="1538"/>
    <cellStyle name="Normal 78" xfId="1539"/>
    <cellStyle name="Normal 79" xfId="1540"/>
    <cellStyle name="Normal 8" xfId="1541"/>
    <cellStyle name="Normal 8 2" xfId="1542"/>
    <cellStyle name="Normal 8 2 2" xfId="1543"/>
    <cellStyle name="Normal 8 3" xfId="1544"/>
    <cellStyle name="Normal 8_CXCXP_posición Dic12 GESSI" xfId="1545"/>
    <cellStyle name="Normal 80" xfId="1546"/>
    <cellStyle name="Normal 81" xfId="1547"/>
    <cellStyle name="Normal 82" xfId="1548"/>
    <cellStyle name="Normal 9" xfId="1549"/>
    <cellStyle name="Normal 9 2" xfId="1550"/>
    <cellStyle name="Normal 9 2 2" xfId="1551"/>
    <cellStyle name="Normal 9 3" xfId="1552"/>
    <cellStyle name="Normal 9_CXCXP_posición Sep12 GESSI" xfId="1553"/>
    <cellStyle name="Normale_1_netsi9" xfId="1554"/>
    <cellStyle name="Notas" xfId="40" builtinId="10" customBuiltin="1"/>
    <cellStyle name="Notas 2" xfId="1555"/>
    <cellStyle name="Notas 2 2" xfId="1556"/>
    <cellStyle name="Notas 3" xfId="1557"/>
    <cellStyle name="Note 2" xfId="1558"/>
    <cellStyle name="Note 3" xfId="1559"/>
    <cellStyle name="Note 3 2" xfId="1560"/>
    <cellStyle name="Note 4" xfId="1561"/>
    <cellStyle name="Note 5" xfId="1562"/>
    <cellStyle name="Number" xfId="41"/>
    <cellStyle name="Number (2dp)" xfId="42"/>
    <cellStyle name="Number 2" xfId="72"/>
    <cellStyle name="NumMIN" xfId="1563"/>
    <cellStyle name="Output 2" xfId="1564"/>
    <cellStyle name="Output 2 2" xfId="1565"/>
    <cellStyle name="pattern" xfId="1566"/>
    <cellStyle name="PEPE" xfId="1567"/>
    <cellStyle name="Percent [0]" xfId="1568"/>
    <cellStyle name="Percent [00]" xfId="1569"/>
    <cellStyle name="Percent [2]" xfId="1570"/>
    <cellStyle name="Percent [2] 2" xfId="1571"/>
    <cellStyle name="Percent [2] 2 2" xfId="1572"/>
    <cellStyle name="Percent [2] 3" xfId="1573"/>
    <cellStyle name="Percent 10" xfId="1574"/>
    <cellStyle name="Percent 11" xfId="1575"/>
    <cellStyle name="Percent 12" xfId="1576"/>
    <cellStyle name="Percent 13" xfId="1577"/>
    <cellStyle name="Percent 14" xfId="1578"/>
    <cellStyle name="Percent 15" xfId="1579"/>
    <cellStyle name="Percent 16" xfId="1580"/>
    <cellStyle name="Percent 2" xfId="1581"/>
    <cellStyle name="Percent 2 2" xfId="1582"/>
    <cellStyle name="Percent 2 3" xfId="1583"/>
    <cellStyle name="Percent 3" xfId="1584"/>
    <cellStyle name="Percent 3 2" xfId="1585"/>
    <cellStyle name="Percent 3 3" xfId="1586"/>
    <cellStyle name="Percent 4" xfId="1587"/>
    <cellStyle name="Percent 5" xfId="1588"/>
    <cellStyle name="Percent 6" xfId="1589"/>
    <cellStyle name="Percent 7" xfId="1590"/>
    <cellStyle name="Percent 8" xfId="1591"/>
    <cellStyle name="Percent 9" xfId="1592"/>
    <cellStyle name="Percentage" xfId="44"/>
    <cellStyle name="Percentage (2dp)" xfId="45"/>
    <cellStyle name="Porcentaje" xfId="1593" builtinId="5"/>
    <cellStyle name="Porcentaje 2" xfId="1594"/>
    <cellStyle name="Porcentaje 2 2" xfId="1595"/>
    <cellStyle name="Porcentaje 3" xfId="1596"/>
    <cellStyle name="Porcentual 2" xfId="1597"/>
    <cellStyle name="Porcentual 2 2" xfId="1598"/>
    <cellStyle name="Porcentual 3" xfId="1599"/>
    <cellStyle name="Porcentual 3 2" xfId="1600"/>
    <cellStyle name="Porcentual 4" xfId="1601"/>
    <cellStyle name="Pourcentage 2" xfId="60"/>
    <cellStyle name="Preisliste" xfId="1602"/>
    <cellStyle name="PrePop Currency (0)" xfId="1603"/>
    <cellStyle name="PrePop Currency (2)" xfId="1604"/>
    <cellStyle name="PrePop Units (0)" xfId="1605"/>
    <cellStyle name="PrePop Units (1)" xfId="1606"/>
    <cellStyle name="PrePop Units (2)" xfId="1607"/>
    <cellStyle name="Product Header" xfId="1608"/>
    <cellStyle name="Product Title" xfId="1609"/>
    <cellStyle name="PropGenCurrencyFormat" xfId="1610"/>
    <cellStyle name="PSChar" xfId="1611"/>
    <cellStyle name="PSDate" xfId="1612"/>
    <cellStyle name="PSDec" xfId="1613"/>
    <cellStyle name="PSHeading" xfId="1614"/>
    <cellStyle name="PSInt" xfId="1615"/>
    <cellStyle name="PSSpacer" xfId="1616"/>
    <cellStyle name="Punto" xfId="1617"/>
    <cellStyle name="Punto0" xfId="1618"/>
    <cellStyle name="Row Heading" xfId="67"/>
    <cellStyle name="Row label" xfId="46"/>
    <cellStyle name="Row label (indent)" xfId="47"/>
    <cellStyle name="Saldos" xfId="1619"/>
    <cellStyle name="Saldos 2" xfId="1620"/>
    <cellStyle name="Saldos 2 2" xfId="1621"/>
    <cellStyle name="Saldos 3" xfId="1622"/>
    <cellStyle name="Saldos_CXCXP CN PR TROS" xfId="1623"/>
    <cellStyle name="Salida" xfId="43" builtinId="21" customBuiltin="1"/>
    <cellStyle name="Salida 2" xfId="1624"/>
    <cellStyle name="Salida 3" xfId="1625"/>
    <cellStyle name="SAPBEXaggData" xfId="1626"/>
    <cellStyle name="SAPBEXaggData 2" xfId="1627"/>
    <cellStyle name="SAPBEXaggDataEmph" xfId="1628"/>
    <cellStyle name="SAPBEXaggItem" xfId="1629"/>
    <cellStyle name="SAPBEXaggItem 2" xfId="1630"/>
    <cellStyle name="SAPBEXaggItemX" xfId="1631"/>
    <cellStyle name="SAPBEXaggItemX 2" xfId="1632"/>
    <cellStyle name="SAPBEXchaText" xfId="1633"/>
    <cellStyle name="SAPBEXchaText 2" xfId="1634"/>
    <cellStyle name="SAPBEXchaText 2 2" xfId="1635"/>
    <cellStyle name="SAPBEXchaText 3" xfId="1636"/>
    <cellStyle name="SAPBEXchaText 4" xfId="1637"/>
    <cellStyle name="SAPBEXchaText_CXCXP_posición Sep12 GESSI" xfId="1638"/>
    <cellStyle name="SAPBEXexcBad7" xfId="1639"/>
    <cellStyle name="SAPBEXexcBad7 2" xfId="1640"/>
    <cellStyle name="SAPBEXexcBad8" xfId="1641"/>
    <cellStyle name="SAPBEXexcBad8 2" xfId="1642"/>
    <cellStyle name="SAPBEXexcBad9" xfId="1643"/>
    <cellStyle name="SAPBEXexcBad9 2" xfId="1644"/>
    <cellStyle name="SAPBEXexcCritical4" xfId="1645"/>
    <cellStyle name="SAPBEXexcCritical4 2" xfId="1646"/>
    <cellStyle name="SAPBEXexcCritical5" xfId="1647"/>
    <cellStyle name="SAPBEXexcCritical5 2" xfId="1648"/>
    <cellStyle name="SAPBEXexcCritical6" xfId="1649"/>
    <cellStyle name="SAPBEXexcCritical6 2" xfId="1650"/>
    <cellStyle name="SAPBEXexcGood1" xfId="1651"/>
    <cellStyle name="SAPBEXexcGood1 2" xfId="1652"/>
    <cellStyle name="SAPBEXexcGood2" xfId="1653"/>
    <cellStyle name="SAPBEXexcGood2 2" xfId="1654"/>
    <cellStyle name="SAPBEXexcGood3" xfId="1655"/>
    <cellStyle name="SAPBEXexcGood3 2" xfId="1656"/>
    <cellStyle name="SAPBEXfilterDrill" xfId="1657"/>
    <cellStyle name="SAPBEXfilterItem" xfId="1658"/>
    <cellStyle name="SAPBEXfilterItem 2" xfId="1659"/>
    <cellStyle name="SAPBEXfilterText" xfId="1660"/>
    <cellStyle name="SAPBEXformats" xfId="1661"/>
    <cellStyle name="SAPBEXformats 2" xfId="1662"/>
    <cellStyle name="SAPBEXformats 2 2" xfId="1663"/>
    <cellStyle name="SAPBEXheaderItem" xfId="1664"/>
    <cellStyle name="SAPBEXheaderItem 2" xfId="1665"/>
    <cellStyle name="SAPBEXheaderItem_CXCXP_posición Dic12 GESSI" xfId="1666"/>
    <cellStyle name="SAPBEXheaderText" xfId="1667"/>
    <cellStyle name="SAPBEXheaderText 2" xfId="1668"/>
    <cellStyle name="SAPBEXheaderText_CXCXP_posición Dic12 GESSI" xfId="1669"/>
    <cellStyle name="SAPBEXHLevel0" xfId="1670"/>
    <cellStyle name="SAPBEXHLevel0 2" xfId="1671"/>
    <cellStyle name="SAPBEXHLevel0 2 2" xfId="1672"/>
    <cellStyle name="SAPBEXHLevel0X" xfId="1673"/>
    <cellStyle name="SAPBEXHLevel0X 2" xfId="1674"/>
    <cellStyle name="SAPBEXHLevel0X 2 2" xfId="1675"/>
    <cellStyle name="SAPBEXHLevel0X_CXCXP_posición Sep12 GESSI" xfId="1676"/>
    <cellStyle name="SAPBEXHLevel1" xfId="1677"/>
    <cellStyle name="SAPBEXHLevel1 2" xfId="1678"/>
    <cellStyle name="SAPBEXHLevel1 2 2" xfId="1679"/>
    <cellStyle name="SAPBEXHLevel1X" xfId="1680"/>
    <cellStyle name="SAPBEXHLevel1X 2" xfId="1681"/>
    <cellStyle name="SAPBEXHLevel1X 2 2" xfId="1682"/>
    <cellStyle name="SAPBEXHLevel2" xfId="1683"/>
    <cellStyle name="SAPBEXHLevel2 2" xfId="1684"/>
    <cellStyle name="SAPBEXHLevel2 2 2" xfId="1685"/>
    <cellStyle name="SAPBEXHLevel2X" xfId="1686"/>
    <cellStyle name="SAPBEXHLevel2X 2" xfId="1687"/>
    <cellStyle name="SAPBEXHLevel2X 2 2" xfId="1688"/>
    <cellStyle name="SAPBEXHLevel3" xfId="1689"/>
    <cellStyle name="SAPBEXHLevel3 2" xfId="1690"/>
    <cellStyle name="SAPBEXHLevel3 2 2" xfId="1691"/>
    <cellStyle name="SAPBEXHLevel3X" xfId="1692"/>
    <cellStyle name="SAPBEXHLevel3X 2" xfId="1693"/>
    <cellStyle name="SAPBEXHLevel3X 2 2" xfId="1694"/>
    <cellStyle name="SAPBEXresData" xfId="1695"/>
    <cellStyle name="SAPBEXresData 2" xfId="1696"/>
    <cellStyle name="SAPBEXresDataEmph" xfId="1697"/>
    <cellStyle name="SAPBEXresItem" xfId="1698"/>
    <cellStyle name="SAPBEXresItem 2" xfId="1699"/>
    <cellStyle name="SAPBEXresItemX" xfId="1700"/>
    <cellStyle name="SAPBEXresItemX 2" xfId="1701"/>
    <cellStyle name="SAPBEXstdData" xfId="1702"/>
    <cellStyle name="SAPBEXstdData 2" xfId="1703"/>
    <cellStyle name="SAPBEXstdData_CXCXP_posición Dic12 GESSI" xfId="1704"/>
    <cellStyle name="SAPBEXstdDataEmph" xfId="1705"/>
    <cellStyle name="SAPBEXstdItem" xfId="1706"/>
    <cellStyle name="SAPBEXstdItem 2" xfId="1707"/>
    <cellStyle name="SAPBEXstdItem 2 2" xfId="1708"/>
    <cellStyle name="SAPBEXstdItem 3" xfId="1709"/>
    <cellStyle name="SAPBEXstdItem 4" xfId="1710"/>
    <cellStyle name="SAPBEXstdItem_CXCXP_posición Sep12 GESSI" xfId="1711"/>
    <cellStyle name="SAPBEXstdItemX" xfId="1712"/>
    <cellStyle name="SAPBEXstdItemX 2" xfId="1713"/>
    <cellStyle name="SAPBEXstdItemX 2 2" xfId="1714"/>
    <cellStyle name="SAPBEXstdItemX 3" xfId="1715"/>
    <cellStyle name="SAPBEXstdItemX 4" xfId="1716"/>
    <cellStyle name="SAPBEXtitle" xfId="1717"/>
    <cellStyle name="SAPBEXundefined" xfId="1718"/>
    <cellStyle name="SAPError" xfId="1719"/>
    <cellStyle name="SAPError 2" xfId="1720"/>
    <cellStyle name="SAPError 2 2" xfId="1721"/>
    <cellStyle name="SAPKey" xfId="1722"/>
    <cellStyle name="SAPKey 2" xfId="1723"/>
    <cellStyle name="SAPKey 2 2" xfId="1724"/>
    <cellStyle name="SAPLocked" xfId="1725"/>
    <cellStyle name="SAPLocked 2" xfId="1726"/>
    <cellStyle name="SAPLocked 2 2" xfId="1727"/>
    <cellStyle name="SAPOutput" xfId="1728"/>
    <cellStyle name="SAPOutput 2" xfId="1729"/>
    <cellStyle name="SAPOutput 2 2" xfId="1730"/>
    <cellStyle name="SAPSpace" xfId="1731"/>
    <cellStyle name="SAPSpace 2" xfId="1732"/>
    <cellStyle name="SAPSpace 2 2" xfId="1733"/>
    <cellStyle name="SAPText" xfId="1734"/>
    <cellStyle name="SAPText 2" xfId="1735"/>
    <cellStyle name="SAPText 2 2" xfId="1736"/>
    <cellStyle name="SAPUnLocked" xfId="1737"/>
    <cellStyle name="SAPUnLocked 2" xfId="1738"/>
    <cellStyle name="SAPUnLocked 2 2" xfId="1739"/>
    <cellStyle name="Separador de milhares [0]_Global" xfId="1740"/>
    <cellStyle name="Separador de milhares 2" xfId="1741"/>
    <cellStyle name="Separador de milhares_Análisis Pasivo Documentado_jul-04 x jul-05" xfId="1742"/>
    <cellStyle name="Short $" xfId="1743"/>
    <cellStyle name="Standard_IMPL10" xfId="1744"/>
    <cellStyle name="Style 1" xfId="1745"/>
    <cellStyle name="Style 1 2" xfId="1746"/>
    <cellStyle name="Style 1 2 2" xfId="1747"/>
    <cellStyle name="Style 1 2 2 2" xfId="1748"/>
    <cellStyle name="Style 1 3" xfId="1749"/>
    <cellStyle name="Style 1_CXCXP EPRs Oct10 CN def" xfId="1750"/>
    <cellStyle name="Style 10" xfId="1751"/>
    <cellStyle name="Style 10 2" xfId="1752"/>
    <cellStyle name="Style 10 2 2" xfId="1753"/>
    <cellStyle name="Style 10 3" xfId="1754"/>
    <cellStyle name="Style 100" xfId="1755"/>
    <cellStyle name="Style 101" xfId="1756"/>
    <cellStyle name="Style 102" xfId="1757"/>
    <cellStyle name="Style 103" xfId="1758"/>
    <cellStyle name="Style 104" xfId="1759"/>
    <cellStyle name="Style 105" xfId="1760"/>
    <cellStyle name="Style 106" xfId="1761"/>
    <cellStyle name="Style 107" xfId="1762"/>
    <cellStyle name="Style 108" xfId="1763"/>
    <cellStyle name="Style 109" xfId="1764"/>
    <cellStyle name="Style 109 2" xfId="1765"/>
    <cellStyle name="Style 11" xfId="1766"/>
    <cellStyle name="Style 11 2" xfId="1767"/>
    <cellStyle name="Style 11 3" xfId="1768"/>
    <cellStyle name="Style 110" xfId="1769"/>
    <cellStyle name="Style 110 2" xfId="1770"/>
    <cellStyle name="Style 111" xfId="1771"/>
    <cellStyle name="Style 112" xfId="1772"/>
    <cellStyle name="Style 113" xfId="1773"/>
    <cellStyle name="Style 114" xfId="1774"/>
    <cellStyle name="Style 115" xfId="1775"/>
    <cellStyle name="Style 116" xfId="1776"/>
    <cellStyle name="Style 117" xfId="1777"/>
    <cellStyle name="Style 118" xfId="1778"/>
    <cellStyle name="Style 119" xfId="1779"/>
    <cellStyle name="Style 12" xfId="1780"/>
    <cellStyle name="Style 12 2" xfId="1781"/>
    <cellStyle name="Style 12 3" xfId="1782"/>
    <cellStyle name="Style 12 4" xfId="1783"/>
    <cellStyle name="Style 120" xfId="1784"/>
    <cellStyle name="Style 120 2" xfId="1785"/>
    <cellStyle name="Style 121" xfId="1786"/>
    <cellStyle name="Style 122" xfId="1787"/>
    <cellStyle name="Style 123" xfId="1788"/>
    <cellStyle name="Style 124" xfId="1789"/>
    <cellStyle name="Style 125" xfId="1790"/>
    <cellStyle name="Style 126" xfId="1791"/>
    <cellStyle name="Style 127" xfId="1792"/>
    <cellStyle name="Style 128" xfId="1793"/>
    <cellStyle name="Style 129" xfId="1794"/>
    <cellStyle name="Style 13" xfId="1795"/>
    <cellStyle name="Style 13 2" xfId="1796"/>
    <cellStyle name="Style 13 2 2" xfId="1797"/>
    <cellStyle name="Style 13 3" xfId="1798"/>
    <cellStyle name="Style 130" xfId="1799"/>
    <cellStyle name="Style 131" xfId="1800"/>
    <cellStyle name="Style 132" xfId="1801"/>
    <cellStyle name="Style 133" xfId="1802"/>
    <cellStyle name="Style 134" xfId="1803"/>
    <cellStyle name="Style 135" xfId="1804"/>
    <cellStyle name="Style 136" xfId="1805"/>
    <cellStyle name="Style 137" xfId="1806"/>
    <cellStyle name="Style 138" xfId="1807"/>
    <cellStyle name="Style 139" xfId="1808"/>
    <cellStyle name="Style 14" xfId="1809"/>
    <cellStyle name="Style 14 2" xfId="1810"/>
    <cellStyle name="Style 140" xfId="1811"/>
    <cellStyle name="Style 141" xfId="1812"/>
    <cellStyle name="Style 142" xfId="1813"/>
    <cellStyle name="Style 143" xfId="1814"/>
    <cellStyle name="Style 144" xfId="1815"/>
    <cellStyle name="Style 145" xfId="1816"/>
    <cellStyle name="Style 146" xfId="1817"/>
    <cellStyle name="Style 147" xfId="1818"/>
    <cellStyle name="Style 148" xfId="1819"/>
    <cellStyle name="Style 149" xfId="1820"/>
    <cellStyle name="Style 15" xfId="1821"/>
    <cellStyle name="Style 15 2" xfId="1822"/>
    <cellStyle name="Style 15 3" xfId="1823"/>
    <cellStyle name="Style 150" xfId="1824"/>
    <cellStyle name="Style 151" xfId="1825"/>
    <cellStyle name="Style 152" xfId="1826"/>
    <cellStyle name="Style 153" xfId="1827"/>
    <cellStyle name="Style 154" xfId="1828"/>
    <cellStyle name="Style 155" xfId="1829"/>
    <cellStyle name="Style 156" xfId="1830"/>
    <cellStyle name="Style 157" xfId="1831"/>
    <cellStyle name="Style 158" xfId="1832"/>
    <cellStyle name="Style 158 2" xfId="1833"/>
    <cellStyle name="Style 159" xfId="1834"/>
    <cellStyle name="Style 16" xfId="1835"/>
    <cellStyle name="Style 16 2" xfId="1836"/>
    <cellStyle name="Style 16 3" xfId="1837"/>
    <cellStyle name="Style 16 4" xfId="1838"/>
    <cellStyle name="Style 160" xfId="1839"/>
    <cellStyle name="Style 161" xfId="1840"/>
    <cellStyle name="Style 162" xfId="1841"/>
    <cellStyle name="Style 163" xfId="1842"/>
    <cellStyle name="Style 164" xfId="1843"/>
    <cellStyle name="Style 164 2" xfId="1844"/>
    <cellStyle name="Style 165" xfId="1845"/>
    <cellStyle name="Style 165 2" xfId="1846"/>
    <cellStyle name="Style 166" xfId="1847"/>
    <cellStyle name="Style 166 2" xfId="1848"/>
    <cellStyle name="Style 167" xfId="1849"/>
    <cellStyle name="Style 167 2" xfId="1850"/>
    <cellStyle name="Style 168" xfId="1851"/>
    <cellStyle name="Style 169" xfId="1852"/>
    <cellStyle name="Style 169 2" xfId="1853"/>
    <cellStyle name="Style 17" xfId="1854"/>
    <cellStyle name="Style 17 2" xfId="1855"/>
    <cellStyle name="Style 170" xfId="1856"/>
    <cellStyle name="Style 170 2" xfId="1857"/>
    <cellStyle name="Style 171" xfId="1858"/>
    <cellStyle name="Style 172" xfId="1859"/>
    <cellStyle name="Style 172 2" xfId="1860"/>
    <cellStyle name="Style 173" xfId="1861"/>
    <cellStyle name="Style 173 2" xfId="1862"/>
    <cellStyle name="Style 174" xfId="1863"/>
    <cellStyle name="Style 175" xfId="1864"/>
    <cellStyle name="Style 176" xfId="1865"/>
    <cellStyle name="Style 176 2" xfId="1866"/>
    <cellStyle name="Style 177" xfId="1867"/>
    <cellStyle name="Style 178" xfId="1868"/>
    <cellStyle name="Style 179" xfId="1869"/>
    <cellStyle name="Style 179 2" xfId="1870"/>
    <cellStyle name="Style 18" xfId="1871"/>
    <cellStyle name="Style 18 2" xfId="1872"/>
    <cellStyle name="Style 18 2 2" xfId="1873"/>
    <cellStyle name="Style 18 2 3" xfId="1874"/>
    <cellStyle name="Style 18 3" xfId="1875"/>
    <cellStyle name="Style 18 3 2" xfId="1876"/>
    <cellStyle name="Style 18 4" xfId="1877"/>
    <cellStyle name="Style 180" xfId="1878"/>
    <cellStyle name="Style 180 2" xfId="1879"/>
    <cellStyle name="Style 181" xfId="1880"/>
    <cellStyle name="Style 182" xfId="1881"/>
    <cellStyle name="Style 182 2" xfId="1882"/>
    <cellStyle name="Style 183" xfId="1883"/>
    <cellStyle name="Style 183 2" xfId="1884"/>
    <cellStyle name="Style 184" xfId="1885"/>
    <cellStyle name="Style 184 2" xfId="1886"/>
    <cellStyle name="Style 185" xfId="1887"/>
    <cellStyle name="Style 186" xfId="1888"/>
    <cellStyle name="Style 187" xfId="1889"/>
    <cellStyle name="Style 188" xfId="1890"/>
    <cellStyle name="Style 189" xfId="1891"/>
    <cellStyle name="Style 19" xfId="1892"/>
    <cellStyle name="Style 19 2" xfId="1893"/>
    <cellStyle name="Style 19 2 2" xfId="1894"/>
    <cellStyle name="Style 19 3" xfId="1895"/>
    <cellStyle name="Style 19 4" xfId="1896"/>
    <cellStyle name="Style 190" xfId="1897"/>
    <cellStyle name="Style 191" xfId="1898"/>
    <cellStyle name="Style 192" xfId="1899"/>
    <cellStyle name="Style 192 2" xfId="1900"/>
    <cellStyle name="Style 193" xfId="1901"/>
    <cellStyle name="Style 194" xfId="1902"/>
    <cellStyle name="Style 194 2" xfId="1903"/>
    <cellStyle name="Style 195" xfId="1904"/>
    <cellStyle name="Style 195 2" xfId="1905"/>
    <cellStyle name="Style 196" xfId="1906"/>
    <cellStyle name="Style 196 2" xfId="1907"/>
    <cellStyle name="Style 197" xfId="1908"/>
    <cellStyle name="Style 197 2" xfId="1909"/>
    <cellStyle name="Style 198" xfId="1910"/>
    <cellStyle name="Style 199" xfId="1911"/>
    <cellStyle name="Style 2" xfId="1912"/>
    <cellStyle name="Style 2 2" xfId="1913"/>
    <cellStyle name="Style 2 2 2" xfId="1914"/>
    <cellStyle name="Style 2 3" xfId="1915"/>
    <cellStyle name="Style 2 3 2" xfId="1916"/>
    <cellStyle name="Style 2_CXCXP CN PR TROS" xfId="1917"/>
    <cellStyle name="Style 20" xfId="1918"/>
    <cellStyle name="Style 20 2" xfId="1919"/>
    <cellStyle name="Style 20 3" xfId="1920"/>
    <cellStyle name="Style 200" xfId="1921"/>
    <cellStyle name="Style 201" xfId="1922"/>
    <cellStyle name="Style 201 2" xfId="1923"/>
    <cellStyle name="Style 202" xfId="1924"/>
    <cellStyle name="Style 202 2" xfId="1925"/>
    <cellStyle name="Style 203" xfId="1926"/>
    <cellStyle name="Style 203 2" xfId="1927"/>
    <cellStyle name="Style 204" xfId="1928"/>
    <cellStyle name="Style 204 2" xfId="1929"/>
    <cellStyle name="Style 205" xfId="1930"/>
    <cellStyle name="Style 205 2" xfId="1931"/>
    <cellStyle name="Style 206" xfId="1932"/>
    <cellStyle name="Style 206 2" xfId="1933"/>
    <cellStyle name="Style 207" xfId="1934"/>
    <cellStyle name="Style 208" xfId="1935"/>
    <cellStyle name="Style 208 2" xfId="1936"/>
    <cellStyle name="Style 209" xfId="1937"/>
    <cellStyle name="Style 209 2" xfId="1938"/>
    <cellStyle name="Style 21" xfId="1939"/>
    <cellStyle name="Style 21 2" xfId="1940"/>
    <cellStyle name="Style 210" xfId="1941"/>
    <cellStyle name="Style 210 2" xfId="1942"/>
    <cellStyle name="Style 211" xfId="1943"/>
    <cellStyle name="Style 211 2" xfId="1944"/>
    <cellStyle name="Style 212" xfId="1945"/>
    <cellStyle name="Style 213" xfId="1946"/>
    <cellStyle name="Style 214" xfId="1947"/>
    <cellStyle name="Style 214 2" xfId="1948"/>
    <cellStyle name="Style 215" xfId="1949"/>
    <cellStyle name="Style 216" xfId="1950"/>
    <cellStyle name="Style 216 2" xfId="1951"/>
    <cellStyle name="Style 217" xfId="1952"/>
    <cellStyle name="Style 218" xfId="1953"/>
    <cellStyle name="Style 219" xfId="1954"/>
    <cellStyle name="Style 22" xfId="1955"/>
    <cellStyle name="Style 22 2" xfId="1956"/>
    <cellStyle name="Style 220" xfId="1957"/>
    <cellStyle name="Style 221" xfId="1958"/>
    <cellStyle name="Style 222" xfId="1959"/>
    <cellStyle name="Style 223" xfId="1960"/>
    <cellStyle name="Style 224" xfId="1961"/>
    <cellStyle name="Style 225" xfId="1962"/>
    <cellStyle name="Style 226" xfId="1963"/>
    <cellStyle name="Style 227" xfId="1964"/>
    <cellStyle name="Style 228" xfId="1965"/>
    <cellStyle name="Style 229" xfId="1966"/>
    <cellStyle name="Style 23" xfId="1967"/>
    <cellStyle name="Style 23 2" xfId="1968"/>
    <cellStyle name="Style 230" xfId="1969"/>
    <cellStyle name="Style 231" xfId="1970"/>
    <cellStyle name="Style 232" xfId="1971"/>
    <cellStyle name="Style 233" xfId="1972"/>
    <cellStyle name="Style 234" xfId="1973"/>
    <cellStyle name="Style 235" xfId="1974"/>
    <cellStyle name="Style 236" xfId="1975"/>
    <cellStyle name="Style 24" xfId="1976"/>
    <cellStyle name="Style 24 2" xfId="1977"/>
    <cellStyle name="Style 25" xfId="1978"/>
    <cellStyle name="Style 25 2" xfId="1979"/>
    <cellStyle name="Style 26" xfId="1980"/>
    <cellStyle name="Style 26 2" xfId="1981"/>
    <cellStyle name="Style 27" xfId="1982"/>
    <cellStyle name="Style 27 2" xfId="1983"/>
    <cellStyle name="Style 28" xfId="1984"/>
    <cellStyle name="Style 29" xfId="1985"/>
    <cellStyle name="Style 3" xfId="1986"/>
    <cellStyle name="Style 3 2" xfId="1987"/>
    <cellStyle name="Style 3 2 2" xfId="1988"/>
    <cellStyle name="Style 3 2 3" xfId="1989"/>
    <cellStyle name="Style 3 3" xfId="1990"/>
    <cellStyle name="Style 30" xfId="1991"/>
    <cellStyle name="Style 31" xfId="1992"/>
    <cellStyle name="Style 32" xfId="1993"/>
    <cellStyle name="Style 33" xfId="1994"/>
    <cellStyle name="Style 34" xfId="1995"/>
    <cellStyle name="Style 35" xfId="1996"/>
    <cellStyle name="Style 36" xfId="1997"/>
    <cellStyle name="Style 37" xfId="1998"/>
    <cellStyle name="Style 38" xfId="1999"/>
    <cellStyle name="Style 39" xfId="2000"/>
    <cellStyle name="Style 4" xfId="2001"/>
    <cellStyle name="Style 4 2" xfId="2002"/>
    <cellStyle name="Style 4 3" xfId="2003"/>
    <cellStyle name="Style 40" xfId="2004"/>
    <cellStyle name="Style 41" xfId="2005"/>
    <cellStyle name="Style 42" xfId="2006"/>
    <cellStyle name="Style 43" xfId="2007"/>
    <cellStyle name="Style 44" xfId="2008"/>
    <cellStyle name="Style 45" xfId="2009"/>
    <cellStyle name="Style 46" xfId="2010"/>
    <cellStyle name="Style 47" xfId="2011"/>
    <cellStyle name="Style 48" xfId="2012"/>
    <cellStyle name="Style 49" xfId="2013"/>
    <cellStyle name="Style 5" xfId="2014"/>
    <cellStyle name="Style 5 2" xfId="2015"/>
    <cellStyle name="Style 5 3" xfId="2016"/>
    <cellStyle name="Style 5 4" xfId="2017"/>
    <cellStyle name="Style 50" xfId="2018"/>
    <cellStyle name="Style 51" xfId="2019"/>
    <cellStyle name="Style 52" xfId="2020"/>
    <cellStyle name="Style 53" xfId="2021"/>
    <cellStyle name="Style 54" xfId="2022"/>
    <cellStyle name="Style 55" xfId="2023"/>
    <cellStyle name="Style 56" xfId="2024"/>
    <cellStyle name="Style 57" xfId="2025"/>
    <cellStyle name="Style 58" xfId="2026"/>
    <cellStyle name="Style 59" xfId="2027"/>
    <cellStyle name="Style 6" xfId="2028"/>
    <cellStyle name="Style 6 2" xfId="2029"/>
    <cellStyle name="Style 6 3" xfId="2030"/>
    <cellStyle name="Style 60" xfId="2031"/>
    <cellStyle name="Style 61" xfId="2032"/>
    <cellStyle name="Style 61 2" xfId="2033"/>
    <cellStyle name="Style 62" xfId="2034"/>
    <cellStyle name="Style 63" xfId="2035"/>
    <cellStyle name="Style 64" xfId="2036"/>
    <cellStyle name="Style 65" xfId="2037"/>
    <cellStyle name="Style 66" xfId="2038"/>
    <cellStyle name="Style 67" xfId="2039"/>
    <cellStyle name="Style 68" xfId="2040"/>
    <cellStyle name="Style 69" xfId="2041"/>
    <cellStyle name="Style 7" xfId="2042"/>
    <cellStyle name="Style 7 2" xfId="2043"/>
    <cellStyle name="Style 7 2 2" xfId="2044"/>
    <cellStyle name="Style 7 3" xfId="2045"/>
    <cellStyle name="Style 70" xfId="2046"/>
    <cellStyle name="Style 71" xfId="2047"/>
    <cellStyle name="Style 71 2" xfId="2048"/>
    <cellStyle name="Style 72" xfId="2049"/>
    <cellStyle name="Style 73" xfId="2050"/>
    <cellStyle name="Style 74" xfId="2051"/>
    <cellStyle name="Style 75" xfId="2052"/>
    <cellStyle name="Style 76" xfId="2053"/>
    <cellStyle name="Style 77" xfId="2054"/>
    <cellStyle name="Style 78" xfId="2055"/>
    <cellStyle name="Style 79" xfId="2056"/>
    <cellStyle name="Style 8" xfId="2057"/>
    <cellStyle name="Style 8 2" xfId="2058"/>
    <cellStyle name="Style 8 3" xfId="2059"/>
    <cellStyle name="Style 80" xfId="2060"/>
    <cellStyle name="Style 81" xfId="2061"/>
    <cellStyle name="Style 82" xfId="2062"/>
    <cellStyle name="Style 83" xfId="2063"/>
    <cellStyle name="Style 84" xfId="2064"/>
    <cellStyle name="Style 85" xfId="2065"/>
    <cellStyle name="Style 86" xfId="2066"/>
    <cellStyle name="Style 87" xfId="2067"/>
    <cellStyle name="Style 88" xfId="2068"/>
    <cellStyle name="Style 89" xfId="2069"/>
    <cellStyle name="Style 9" xfId="2070"/>
    <cellStyle name="Style 9 2" xfId="2071"/>
    <cellStyle name="Style 9 3" xfId="2072"/>
    <cellStyle name="Style 90" xfId="2073"/>
    <cellStyle name="Style 91" xfId="2074"/>
    <cellStyle name="Style 92" xfId="2075"/>
    <cellStyle name="Style 93" xfId="2076"/>
    <cellStyle name="Style 94" xfId="2077"/>
    <cellStyle name="Style 95" xfId="2078"/>
    <cellStyle name="Style 96" xfId="2079"/>
    <cellStyle name="Style 97" xfId="2080"/>
    <cellStyle name="Style 98" xfId="2081"/>
    <cellStyle name="Style 99" xfId="2082"/>
    <cellStyle name="Style 99 2" xfId="2083"/>
    <cellStyle name="Sub-total row" xfId="48"/>
    <cellStyle name="SUPPR" xfId="2084"/>
    <cellStyle name="Table finish row" xfId="49"/>
    <cellStyle name="Table shading" xfId="50"/>
    <cellStyle name="Table unfinish row" xfId="51"/>
    <cellStyle name="Table unshading" xfId="52"/>
    <cellStyle name="Text" xfId="53"/>
    <cellStyle name="Text Indent A" xfId="2085"/>
    <cellStyle name="Text Indent B" xfId="2086"/>
    <cellStyle name="Text Indent C" xfId="2087"/>
    <cellStyle name="texto" xfId="2088"/>
    <cellStyle name="Texto de advertencia 2" xfId="2089"/>
    <cellStyle name="Texto de advertencia 3" xfId="2090"/>
    <cellStyle name="Texto explicativo 2" xfId="2091"/>
    <cellStyle name="Texto explicativo 3" xfId="2092"/>
    <cellStyle name="THIN" xfId="2093"/>
    <cellStyle name="tipo" xfId="2094"/>
    <cellStyle name="Title 2" xfId="2095"/>
    <cellStyle name="Title 2 2" xfId="2096"/>
    <cellStyle name="Título 1 2" xfId="2097"/>
    <cellStyle name="Título 1 3" xfId="2098"/>
    <cellStyle name="Título 2" xfId="31" builtinId="17"/>
    <cellStyle name="Título 2 2" xfId="2099"/>
    <cellStyle name="Título 2 3" xfId="2100"/>
    <cellStyle name="Título 3" xfId="68" builtinId="18"/>
    <cellStyle name="Título 3 2" xfId="2101"/>
    <cellStyle name="Título 3 3" xfId="2102"/>
    <cellStyle name="Título 4" xfId="2103"/>
    <cellStyle name="Título de hoja" xfId="2104"/>
    <cellStyle name="Total" xfId="54" builtinId="25" customBuiltin="1"/>
    <cellStyle name="Total 2" xfId="2105"/>
    <cellStyle name="Total 3" xfId="2106"/>
    <cellStyle name="Total row" xfId="55"/>
    <cellStyle name="Unhighlight" xfId="56"/>
    <cellStyle name="Untotal row" xfId="57"/>
    <cellStyle name="Valuta (0)_1 new STM 16 ring" xfId="2107"/>
    <cellStyle name="Valuta_1 new STM 16 ring" xfId="2108"/>
    <cellStyle name="Währung [0]" xfId="2109"/>
    <cellStyle name="Währung_IPIS-generique" xfId="2110"/>
    <cellStyle name="Warning Text 2" xfId="2111"/>
    <cellStyle name="ZAMORA" xfId="2112"/>
    <cellStyle name="一般_laroux" xfId="2113"/>
    <cellStyle name="千分位[0]_laroux" xfId="2114"/>
    <cellStyle name="千分位_laroux" xfId="2115"/>
    <cellStyle name="標準_level &amp; connection rev1" xfId="2116"/>
    <cellStyle name="貨幣 [0]_laroux" xfId="2117"/>
    <cellStyle name="貨幣_laroux" xfId="2118"/>
  </cellStyles>
  <dxfs count="3">
    <dxf>
      <font>
        <b/>
        <i val="0"/>
      </font>
      <fill>
        <patternFill>
          <bgColor rgb="FFD7D7D7"/>
        </patternFill>
      </fill>
    </dxf>
    <dxf>
      <font>
        <b val="0"/>
        <i val="0"/>
      </font>
      <fill>
        <patternFill patternType="none">
          <bgColor indexed="65"/>
        </patternFill>
      </fill>
    </dxf>
    <dxf>
      <font>
        <b/>
        <i/>
        <condense val="0"/>
        <extend val="0"/>
        <color indexed="13"/>
      </font>
      <fill>
        <patternFill>
          <bgColor indexed="10"/>
        </patternFill>
      </fill>
    </dxf>
  </dxfs>
  <tableStyles count="1" defaultTableStyle="TableStyleMedium2" defaultPivotStyle="PivotStyleLight16">
    <tableStyle name="MySqlDefault" pivot="0" table="0" count="2">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DDB9D8"/>
      <rgbColor rgb="00CDDCEF"/>
      <rgbColor rgb="00A6BEDA"/>
      <rgbColor rgb="00F6DCC2"/>
      <rgbColor rgb="00EFC2C1"/>
      <rgbColor rgb="00DBD7DB"/>
      <rgbColor rgb="00C2CAAA"/>
      <rgbColor rgb="00F5EEB9"/>
      <rgbColor rgb="00A670A1"/>
      <rgbColor rgb="0099CEFF"/>
      <rgbColor rgb="0000679A"/>
      <rgbColor rgb="00ECB088"/>
      <rgbColor rgb="00ED7F7F"/>
      <rgbColor rgb="00A79FAF"/>
      <rgbColor rgb="0049BB3D"/>
      <rgbColor rgb="00E3DE15"/>
      <rgbColor rgb="00C0C0FF"/>
      <rgbColor rgb="00CCECFF"/>
      <rgbColor rgb="00D0FFD0"/>
      <rgbColor rgb="00FFFFA0"/>
      <rgbColor rgb="00E0E0FF"/>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arabia\c\Mis%20documentos\MIFLEX\99\octubre\prod\REVSOTOCT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CTprod-pagos99"/>
    </sheetNames>
    <sheetDataSet>
      <sheetData sheetId="0"/>
    </sheetDataSet>
  </externalBook>
</externalLink>
</file>

<file path=xl/theme/theme1.xml><?xml version="1.0" encoding="utf-8"?>
<a:theme xmlns:a="http://schemas.openxmlformats.org/drawingml/2006/main" name="AnalysysMasonXL">
  <a:themeElements>
    <a:clrScheme name="AnalysysMasonXL">
      <a:dk1>
        <a:srgbClr val="003352"/>
      </a:dk1>
      <a:lt1>
        <a:srgbClr val="FFFFFF"/>
      </a:lt1>
      <a:dk2>
        <a:srgbClr val="003352"/>
      </a:dk2>
      <a:lt2>
        <a:srgbClr val="61586C"/>
      </a:lt2>
      <a:accent1>
        <a:srgbClr val="221F72"/>
      </a:accent1>
      <a:accent2>
        <a:srgbClr val="6762D4"/>
      </a:accent2>
      <a:accent3>
        <a:srgbClr val="A5A2E6"/>
      </a:accent3>
      <a:accent4>
        <a:srgbClr val="5A2149"/>
      </a:accent4>
      <a:accent5>
        <a:srgbClr val="9F3B80"/>
      </a:accent5>
      <a:accent6>
        <a:srgbClr val="D284BA"/>
      </a:accent6>
      <a:hlink>
        <a:srgbClr val="013352"/>
      </a:hlink>
      <a:folHlink>
        <a:srgbClr val="003352"/>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eamble1">
    <outlinePr summaryBelow="0"/>
    <pageSetUpPr autoPageBreaks="0"/>
  </sheetPr>
  <dimension ref="A1:E16"/>
  <sheetViews>
    <sheetView showGridLines="0" tabSelected="1" defaultGridColor="0" colorId="22" zoomScaleNormal="95" zoomScaleSheetLayoutView="75" workbookViewId="0">
      <pane ySplit="16" topLeftCell="A17" activePane="bottomLeft" state="frozen"/>
      <selection pane="bottomLeft" activeCell="B6" sqref="B6"/>
    </sheetView>
  </sheetViews>
  <sheetFormatPr baseColWidth="10" defaultColWidth="12.7109375" defaultRowHeight="12"/>
  <cols>
    <col min="1" max="1" width="21.7109375" style="60" customWidth="1"/>
    <col min="2" max="2" width="16.7109375" style="60" customWidth="1"/>
    <col min="3" max="3" width="39.7109375" style="60" customWidth="1"/>
    <col min="4" max="4" width="16.7109375" style="60" customWidth="1"/>
    <col min="5" max="5" width="62.7109375" style="60" customWidth="1"/>
    <col min="6" max="16384" width="12.7109375" style="299"/>
  </cols>
  <sheetData>
    <row r="1" spans="1:5" s="71" customFormat="1" ht="33.75" customHeight="1">
      <c r="C1" s="72" t="str">
        <f>Workbook.Title</f>
        <v>Modelo de costos de costos evitados ED</v>
      </c>
    </row>
    <row r="2" spans="1:5" s="75" customFormat="1" ht="12" customHeight="1"/>
    <row r="3" spans="1:5" s="2" customFormat="1" ht="18">
      <c r="A3" s="55" t="s">
        <v>15</v>
      </c>
      <c r="C3" s="299"/>
    </row>
    <row r="4" spans="1:5" ht="6" customHeight="1">
      <c r="A4" s="299"/>
      <c r="B4" s="299"/>
      <c r="C4" s="299"/>
      <c r="D4" s="299"/>
      <c r="E4" s="299"/>
    </row>
    <row r="5" spans="1:5">
      <c r="A5" s="56" t="s">
        <v>13</v>
      </c>
      <c r="B5" s="60" t="s">
        <v>836</v>
      </c>
      <c r="C5" s="299"/>
      <c r="D5" s="299"/>
      <c r="E5" s="299"/>
    </row>
    <row r="6" spans="1:5">
      <c r="A6" s="56" t="s">
        <v>12</v>
      </c>
      <c r="B6" s="60" t="s">
        <v>837</v>
      </c>
      <c r="C6" s="299"/>
      <c r="D6" s="299"/>
      <c r="E6" s="299"/>
    </row>
    <row r="7" spans="1:5">
      <c r="A7" s="299"/>
      <c r="B7" s="299"/>
      <c r="C7" s="299"/>
      <c r="D7" s="299"/>
      <c r="E7" s="299"/>
    </row>
    <row r="8" spans="1:5">
      <c r="A8" s="56" t="s">
        <v>11</v>
      </c>
      <c r="B8" s="60" t="s">
        <v>842</v>
      </c>
      <c r="C8" s="299"/>
      <c r="D8" s="299"/>
      <c r="E8" s="299"/>
    </row>
    <row r="9" spans="1:5">
      <c r="A9" s="56" t="s">
        <v>0</v>
      </c>
      <c r="B9" s="60" t="s">
        <v>18</v>
      </c>
      <c r="C9" s="299"/>
      <c r="D9" s="299"/>
      <c r="E9" s="299"/>
    </row>
    <row r="10" spans="1:5" hidden="1">
      <c r="A10" s="56"/>
      <c r="B10" s="60" t="s">
        <v>17</v>
      </c>
      <c r="C10" s="299"/>
      <c r="D10" s="299"/>
      <c r="E10" s="299"/>
    </row>
    <row r="11" spans="1:5" hidden="1">
      <c r="A11" s="56"/>
      <c r="B11" s="60" t="s">
        <v>16</v>
      </c>
      <c r="C11" s="299"/>
      <c r="D11" s="299"/>
      <c r="E11" s="299"/>
    </row>
    <row r="12" spans="1:5" hidden="1">
      <c r="A12" s="56"/>
      <c r="B12" s="60" t="s">
        <v>22</v>
      </c>
      <c r="C12" s="299"/>
      <c r="D12" s="299"/>
      <c r="E12" s="299"/>
    </row>
    <row r="13" spans="1:5" hidden="1">
      <c r="A13" s="56"/>
      <c r="B13" s="60" t="s">
        <v>18</v>
      </c>
      <c r="C13" s="299"/>
      <c r="D13" s="299"/>
      <c r="E13" s="299"/>
    </row>
    <row r="14" spans="1:5">
      <c r="A14" s="56" t="s">
        <v>14</v>
      </c>
      <c r="C14" s="299"/>
      <c r="D14" s="299"/>
      <c r="E14" s="299"/>
    </row>
    <row r="15" spans="1:5">
      <c r="A15" s="56" t="s">
        <v>19</v>
      </c>
      <c r="B15" s="113"/>
      <c r="C15" s="299"/>
      <c r="D15" s="299"/>
      <c r="E15" s="299"/>
    </row>
    <row r="16" spans="1:5">
      <c r="A16" s="299"/>
      <c r="B16" s="192"/>
      <c r="C16" s="299"/>
      <c r="D16" s="299"/>
      <c r="E16" s="299"/>
    </row>
  </sheetData>
  <phoneticPr fontId="0" type="noConversion"/>
  <dataValidations count="1">
    <dataValidation type="list" allowBlank="1" sqref="B9">
      <formula1>$B$10:$B$13</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autoPageBreaks="0" fitToPage="1"/>
  </sheetPr>
  <dimension ref="A1:M141"/>
  <sheetViews>
    <sheetView showGridLines="0" defaultGridColor="0" colorId="22" zoomScaleNormal="100" workbookViewId="0">
      <pane ySplit="1" topLeftCell="A2" activePane="bottomLeft" state="frozen"/>
      <selection pane="bottomLeft"/>
    </sheetView>
  </sheetViews>
  <sheetFormatPr baseColWidth="10" defaultColWidth="12.7109375" defaultRowHeight="12"/>
  <cols>
    <col min="1" max="1" width="2.7109375" style="299" customWidth="1"/>
    <col min="2" max="2" width="36.140625" style="299" customWidth="1"/>
    <col min="3" max="4" width="12.7109375" style="299"/>
    <col min="5" max="5" width="12.7109375" style="299" customWidth="1"/>
    <col min="6" max="256" width="12.7109375" style="299"/>
    <col min="257" max="257" width="2.7109375" style="299" customWidth="1"/>
    <col min="258" max="258" width="36.140625" style="299" customWidth="1"/>
    <col min="259" max="260" width="12.7109375" style="299"/>
    <col min="261" max="261" width="12.7109375" style="299" customWidth="1"/>
    <col min="262" max="512" width="12.7109375" style="299"/>
    <col min="513" max="513" width="2.7109375" style="299" customWidth="1"/>
    <col min="514" max="514" width="36.140625" style="299" customWidth="1"/>
    <col min="515" max="516" width="12.7109375" style="299"/>
    <col min="517" max="517" width="12.7109375" style="299" customWidth="1"/>
    <col min="518" max="768" width="12.7109375" style="299"/>
    <col min="769" max="769" width="2.7109375" style="299" customWidth="1"/>
    <col min="770" max="770" width="36.140625" style="299" customWidth="1"/>
    <col min="771" max="772" width="12.7109375" style="299"/>
    <col min="773" max="773" width="12.7109375" style="299" customWidth="1"/>
    <col min="774" max="1024" width="12.7109375" style="299"/>
    <col min="1025" max="1025" width="2.7109375" style="299" customWidth="1"/>
    <col min="1026" max="1026" width="36.140625" style="299" customWidth="1"/>
    <col min="1027" max="1028" width="12.7109375" style="299"/>
    <col min="1029" max="1029" width="12.7109375" style="299" customWidth="1"/>
    <col min="1030" max="1280" width="12.7109375" style="299"/>
    <col min="1281" max="1281" width="2.7109375" style="299" customWidth="1"/>
    <col min="1282" max="1282" width="36.140625" style="299" customWidth="1"/>
    <col min="1283" max="1284" width="12.7109375" style="299"/>
    <col min="1285" max="1285" width="12.7109375" style="299" customWidth="1"/>
    <col min="1286" max="1536" width="12.7109375" style="299"/>
    <col min="1537" max="1537" width="2.7109375" style="299" customWidth="1"/>
    <col min="1538" max="1538" width="36.140625" style="299" customWidth="1"/>
    <col min="1539" max="1540" width="12.7109375" style="299"/>
    <col min="1541" max="1541" width="12.7109375" style="299" customWidth="1"/>
    <col min="1542" max="1792" width="12.7109375" style="299"/>
    <col min="1793" max="1793" width="2.7109375" style="299" customWidth="1"/>
    <col min="1794" max="1794" width="36.140625" style="299" customWidth="1"/>
    <col min="1795" max="1796" width="12.7109375" style="299"/>
    <col min="1797" max="1797" width="12.7109375" style="299" customWidth="1"/>
    <col min="1798" max="2048" width="12.7109375" style="299"/>
    <col min="2049" max="2049" width="2.7109375" style="299" customWidth="1"/>
    <col min="2050" max="2050" width="36.140625" style="299" customWidth="1"/>
    <col min="2051" max="2052" width="12.7109375" style="299"/>
    <col min="2053" max="2053" width="12.7109375" style="299" customWidth="1"/>
    <col min="2054" max="2304" width="12.7109375" style="299"/>
    <col min="2305" max="2305" width="2.7109375" style="299" customWidth="1"/>
    <col min="2306" max="2306" width="36.140625" style="299" customWidth="1"/>
    <col min="2307" max="2308" width="12.7109375" style="299"/>
    <col min="2309" max="2309" width="12.7109375" style="299" customWidth="1"/>
    <col min="2310" max="2560" width="12.7109375" style="299"/>
    <col min="2561" max="2561" width="2.7109375" style="299" customWidth="1"/>
    <col min="2562" max="2562" width="36.140625" style="299" customWidth="1"/>
    <col min="2563" max="2564" width="12.7109375" style="299"/>
    <col min="2565" max="2565" width="12.7109375" style="299" customWidth="1"/>
    <col min="2566" max="2816" width="12.7109375" style="299"/>
    <col min="2817" max="2817" width="2.7109375" style="299" customWidth="1"/>
    <col min="2818" max="2818" width="36.140625" style="299" customWidth="1"/>
    <col min="2819" max="2820" width="12.7109375" style="299"/>
    <col min="2821" max="2821" width="12.7109375" style="299" customWidth="1"/>
    <col min="2822" max="3072" width="12.7109375" style="299"/>
    <col min="3073" max="3073" width="2.7109375" style="299" customWidth="1"/>
    <col min="3074" max="3074" width="36.140625" style="299" customWidth="1"/>
    <col min="3075" max="3076" width="12.7109375" style="299"/>
    <col min="3077" max="3077" width="12.7109375" style="299" customWidth="1"/>
    <col min="3078" max="3328" width="12.7109375" style="299"/>
    <col min="3329" max="3329" width="2.7109375" style="299" customWidth="1"/>
    <col min="3330" max="3330" width="36.140625" style="299" customWidth="1"/>
    <col min="3331" max="3332" width="12.7109375" style="299"/>
    <col min="3333" max="3333" width="12.7109375" style="299" customWidth="1"/>
    <col min="3334" max="3584" width="12.7109375" style="299"/>
    <col min="3585" max="3585" width="2.7109375" style="299" customWidth="1"/>
    <col min="3586" max="3586" width="36.140625" style="299" customWidth="1"/>
    <col min="3587" max="3588" width="12.7109375" style="299"/>
    <col min="3589" max="3589" width="12.7109375" style="299" customWidth="1"/>
    <col min="3590" max="3840" width="12.7109375" style="299"/>
    <col min="3841" max="3841" width="2.7109375" style="299" customWidth="1"/>
    <col min="3842" max="3842" width="36.140625" style="299" customWidth="1"/>
    <col min="3843" max="3844" width="12.7109375" style="299"/>
    <col min="3845" max="3845" width="12.7109375" style="299" customWidth="1"/>
    <col min="3846" max="4096" width="12.7109375" style="299"/>
    <col min="4097" max="4097" width="2.7109375" style="299" customWidth="1"/>
    <col min="4098" max="4098" width="36.140625" style="299" customWidth="1"/>
    <col min="4099" max="4100" width="12.7109375" style="299"/>
    <col min="4101" max="4101" width="12.7109375" style="299" customWidth="1"/>
    <col min="4102" max="4352" width="12.7109375" style="299"/>
    <col min="4353" max="4353" width="2.7109375" style="299" customWidth="1"/>
    <col min="4354" max="4354" width="36.140625" style="299" customWidth="1"/>
    <col min="4355" max="4356" width="12.7109375" style="299"/>
    <col min="4357" max="4357" width="12.7109375" style="299" customWidth="1"/>
    <col min="4358" max="4608" width="12.7109375" style="299"/>
    <col min="4609" max="4609" width="2.7109375" style="299" customWidth="1"/>
    <col min="4610" max="4610" width="36.140625" style="299" customWidth="1"/>
    <col min="4611" max="4612" width="12.7109375" style="299"/>
    <col min="4613" max="4613" width="12.7109375" style="299" customWidth="1"/>
    <col min="4614" max="4864" width="12.7109375" style="299"/>
    <col min="4865" max="4865" width="2.7109375" style="299" customWidth="1"/>
    <col min="4866" max="4866" width="36.140625" style="299" customWidth="1"/>
    <col min="4867" max="4868" width="12.7109375" style="299"/>
    <col min="4869" max="4869" width="12.7109375" style="299" customWidth="1"/>
    <col min="4870" max="5120" width="12.7109375" style="299"/>
    <col min="5121" max="5121" width="2.7109375" style="299" customWidth="1"/>
    <col min="5122" max="5122" width="36.140625" style="299" customWidth="1"/>
    <col min="5123" max="5124" width="12.7109375" style="299"/>
    <col min="5125" max="5125" width="12.7109375" style="299" customWidth="1"/>
    <col min="5126" max="5376" width="12.7109375" style="299"/>
    <col min="5377" max="5377" width="2.7109375" style="299" customWidth="1"/>
    <col min="5378" max="5378" width="36.140625" style="299" customWidth="1"/>
    <col min="5379" max="5380" width="12.7109375" style="299"/>
    <col min="5381" max="5381" width="12.7109375" style="299" customWidth="1"/>
    <col min="5382" max="5632" width="12.7109375" style="299"/>
    <col min="5633" max="5633" width="2.7109375" style="299" customWidth="1"/>
    <col min="5634" max="5634" width="36.140625" style="299" customWidth="1"/>
    <col min="5635" max="5636" width="12.7109375" style="299"/>
    <col min="5637" max="5637" width="12.7109375" style="299" customWidth="1"/>
    <col min="5638" max="5888" width="12.7109375" style="299"/>
    <col min="5889" max="5889" width="2.7109375" style="299" customWidth="1"/>
    <col min="5890" max="5890" width="36.140625" style="299" customWidth="1"/>
    <col min="5891" max="5892" width="12.7109375" style="299"/>
    <col min="5893" max="5893" width="12.7109375" style="299" customWidth="1"/>
    <col min="5894" max="6144" width="12.7109375" style="299"/>
    <col min="6145" max="6145" width="2.7109375" style="299" customWidth="1"/>
    <col min="6146" max="6146" width="36.140625" style="299" customWidth="1"/>
    <col min="6147" max="6148" width="12.7109375" style="299"/>
    <col min="6149" max="6149" width="12.7109375" style="299" customWidth="1"/>
    <col min="6150" max="6400" width="12.7109375" style="299"/>
    <col min="6401" max="6401" width="2.7109375" style="299" customWidth="1"/>
    <col min="6402" max="6402" width="36.140625" style="299" customWidth="1"/>
    <col min="6403" max="6404" width="12.7109375" style="299"/>
    <col min="6405" max="6405" width="12.7109375" style="299" customWidth="1"/>
    <col min="6406" max="6656" width="12.7109375" style="299"/>
    <col min="6657" max="6657" width="2.7109375" style="299" customWidth="1"/>
    <col min="6658" max="6658" width="36.140625" style="299" customWidth="1"/>
    <col min="6659" max="6660" width="12.7109375" style="299"/>
    <col min="6661" max="6661" width="12.7109375" style="299" customWidth="1"/>
    <col min="6662" max="6912" width="12.7109375" style="299"/>
    <col min="6913" max="6913" width="2.7109375" style="299" customWidth="1"/>
    <col min="6914" max="6914" width="36.140625" style="299" customWidth="1"/>
    <col min="6915" max="6916" width="12.7109375" style="299"/>
    <col min="6917" max="6917" width="12.7109375" style="299" customWidth="1"/>
    <col min="6918" max="7168" width="12.7109375" style="299"/>
    <col min="7169" max="7169" width="2.7109375" style="299" customWidth="1"/>
    <col min="7170" max="7170" width="36.140625" style="299" customWidth="1"/>
    <col min="7171" max="7172" width="12.7109375" style="299"/>
    <col min="7173" max="7173" width="12.7109375" style="299" customWidth="1"/>
    <col min="7174" max="7424" width="12.7109375" style="299"/>
    <col min="7425" max="7425" width="2.7109375" style="299" customWidth="1"/>
    <col min="7426" max="7426" width="36.140625" style="299" customWidth="1"/>
    <col min="7427" max="7428" width="12.7109375" style="299"/>
    <col min="7429" max="7429" width="12.7109375" style="299" customWidth="1"/>
    <col min="7430" max="7680" width="12.7109375" style="299"/>
    <col min="7681" max="7681" width="2.7109375" style="299" customWidth="1"/>
    <col min="7682" max="7682" width="36.140625" style="299" customWidth="1"/>
    <col min="7683" max="7684" width="12.7109375" style="299"/>
    <col min="7685" max="7685" width="12.7109375" style="299" customWidth="1"/>
    <col min="7686" max="7936" width="12.7109375" style="299"/>
    <col min="7937" max="7937" width="2.7109375" style="299" customWidth="1"/>
    <col min="7938" max="7938" width="36.140625" style="299" customWidth="1"/>
    <col min="7939" max="7940" width="12.7109375" style="299"/>
    <col min="7941" max="7941" width="12.7109375" style="299" customWidth="1"/>
    <col min="7942" max="8192" width="12.7109375" style="299"/>
    <col min="8193" max="8193" width="2.7109375" style="299" customWidth="1"/>
    <col min="8194" max="8194" width="36.140625" style="299" customWidth="1"/>
    <col min="8195" max="8196" width="12.7109375" style="299"/>
    <col min="8197" max="8197" width="12.7109375" style="299" customWidth="1"/>
    <col min="8198" max="8448" width="12.7109375" style="299"/>
    <col min="8449" max="8449" width="2.7109375" style="299" customWidth="1"/>
    <col min="8450" max="8450" width="36.140625" style="299" customWidth="1"/>
    <col min="8451" max="8452" width="12.7109375" style="299"/>
    <col min="8453" max="8453" width="12.7109375" style="299" customWidth="1"/>
    <col min="8454" max="8704" width="12.7109375" style="299"/>
    <col min="8705" max="8705" width="2.7109375" style="299" customWidth="1"/>
    <col min="8706" max="8706" width="36.140625" style="299" customWidth="1"/>
    <col min="8707" max="8708" width="12.7109375" style="299"/>
    <col min="8709" max="8709" width="12.7109375" style="299" customWidth="1"/>
    <col min="8710" max="8960" width="12.7109375" style="299"/>
    <col min="8961" max="8961" width="2.7109375" style="299" customWidth="1"/>
    <col min="8962" max="8962" width="36.140625" style="299" customWidth="1"/>
    <col min="8963" max="8964" width="12.7109375" style="299"/>
    <col min="8965" max="8965" width="12.7109375" style="299" customWidth="1"/>
    <col min="8966" max="9216" width="12.7109375" style="299"/>
    <col min="9217" max="9217" width="2.7109375" style="299" customWidth="1"/>
    <col min="9218" max="9218" width="36.140625" style="299" customWidth="1"/>
    <col min="9219" max="9220" width="12.7109375" style="299"/>
    <col min="9221" max="9221" width="12.7109375" style="299" customWidth="1"/>
    <col min="9222" max="9472" width="12.7109375" style="299"/>
    <col min="9473" max="9473" width="2.7109375" style="299" customWidth="1"/>
    <col min="9474" max="9474" width="36.140625" style="299" customWidth="1"/>
    <col min="9475" max="9476" width="12.7109375" style="299"/>
    <col min="9477" max="9477" width="12.7109375" style="299" customWidth="1"/>
    <col min="9478" max="9728" width="12.7109375" style="299"/>
    <col min="9729" max="9729" width="2.7109375" style="299" customWidth="1"/>
    <col min="9730" max="9730" width="36.140625" style="299" customWidth="1"/>
    <col min="9731" max="9732" width="12.7109375" style="299"/>
    <col min="9733" max="9733" width="12.7109375" style="299" customWidth="1"/>
    <col min="9734" max="9984" width="12.7109375" style="299"/>
    <col min="9985" max="9985" width="2.7109375" style="299" customWidth="1"/>
    <col min="9986" max="9986" width="36.140625" style="299" customWidth="1"/>
    <col min="9987" max="9988" width="12.7109375" style="299"/>
    <col min="9989" max="9989" width="12.7109375" style="299" customWidth="1"/>
    <col min="9990" max="10240" width="12.7109375" style="299"/>
    <col min="10241" max="10241" width="2.7109375" style="299" customWidth="1"/>
    <col min="10242" max="10242" width="36.140625" style="299" customWidth="1"/>
    <col min="10243" max="10244" width="12.7109375" style="299"/>
    <col min="10245" max="10245" width="12.7109375" style="299" customWidth="1"/>
    <col min="10246" max="10496" width="12.7109375" style="299"/>
    <col min="10497" max="10497" width="2.7109375" style="299" customWidth="1"/>
    <col min="10498" max="10498" width="36.140625" style="299" customWidth="1"/>
    <col min="10499" max="10500" width="12.7109375" style="299"/>
    <col min="10501" max="10501" width="12.7109375" style="299" customWidth="1"/>
    <col min="10502" max="10752" width="12.7109375" style="299"/>
    <col min="10753" max="10753" width="2.7109375" style="299" customWidth="1"/>
    <col min="10754" max="10754" width="36.140625" style="299" customWidth="1"/>
    <col min="10755" max="10756" width="12.7109375" style="299"/>
    <col min="10757" max="10757" width="12.7109375" style="299" customWidth="1"/>
    <col min="10758" max="11008" width="12.7109375" style="299"/>
    <col min="11009" max="11009" width="2.7109375" style="299" customWidth="1"/>
    <col min="11010" max="11010" width="36.140625" style="299" customWidth="1"/>
    <col min="11011" max="11012" width="12.7109375" style="299"/>
    <col min="11013" max="11013" width="12.7109375" style="299" customWidth="1"/>
    <col min="11014" max="11264" width="12.7109375" style="299"/>
    <col min="11265" max="11265" width="2.7109375" style="299" customWidth="1"/>
    <col min="11266" max="11266" width="36.140625" style="299" customWidth="1"/>
    <col min="11267" max="11268" width="12.7109375" style="299"/>
    <col min="11269" max="11269" width="12.7109375" style="299" customWidth="1"/>
    <col min="11270" max="11520" width="12.7109375" style="299"/>
    <col min="11521" max="11521" width="2.7109375" style="299" customWidth="1"/>
    <col min="11522" max="11522" width="36.140625" style="299" customWidth="1"/>
    <col min="11523" max="11524" width="12.7109375" style="299"/>
    <col min="11525" max="11525" width="12.7109375" style="299" customWidth="1"/>
    <col min="11526" max="11776" width="12.7109375" style="299"/>
    <col min="11777" max="11777" width="2.7109375" style="299" customWidth="1"/>
    <col min="11778" max="11778" width="36.140625" style="299" customWidth="1"/>
    <col min="11779" max="11780" width="12.7109375" style="299"/>
    <col min="11781" max="11781" width="12.7109375" style="299" customWidth="1"/>
    <col min="11782" max="12032" width="12.7109375" style="299"/>
    <col min="12033" max="12033" width="2.7109375" style="299" customWidth="1"/>
    <col min="12034" max="12034" width="36.140625" style="299" customWidth="1"/>
    <col min="12035" max="12036" width="12.7109375" style="299"/>
    <col min="12037" max="12037" width="12.7109375" style="299" customWidth="1"/>
    <col min="12038" max="12288" width="12.7109375" style="299"/>
    <col min="12289" max="12289" width="2.7109375" style="299" customWidth="1"/>
    <col min="12290" max="12290" width="36.140625" style="299" customWidth="1"/>
    <col min="12291" max="12292" width="12.7109375" style="299"/>
    <col min="12293" max="12293" width="12.7109375" style="299" customWidth="1"/>
    <col min="12294" max="12544" width="12.7109375" style="299"/>
    <col min="12545" max="12545" width="2.7109375" style="299" customWidth="1"/>
    <col min="12546" max="12546" width="36.140625" style="299" customWidth="1"/>
    <col min="12547" max="12548" width="12.7109375" style="299"/>
    <col min="12549" max="12549" width="12.7109375" style="299" customWidth="1"/>
    <col min="12550" max="12800" width="12.7109375" style="299"/>
    <col min="12801" max="12801" width="2.7109375" style="299" customWidth="1"/>
    <col min="12802" max="12802" width="36.140625" style="299" customWidth="1"/>
    <col min="12803" max="12804" width="12.7109375" style="299"/>
    <col min="12805" max="12805" width="12.7109375" style="299" customWidth="1"/>
    <col min="12806" max="13056" width="12.7109375" style="299"/>
    <col min="13057" max="13057" width="2.7109375" style="299" customWidth="1"/>
    <col min="13058" max="13058" width="36.140625" style="299" customWidth="1"/>
    <col min="13059" max="13060" width="12.7109375" style="299"/>
    <col min="13061" max="13061" width="12.7109375" style="299" customWidth="1"/>
    <col min="13062" max="13312" width="12.7109375" style="299"/>
    <col min="13313" max="13313" width="2.7109375" style="299" customWidth="1"/>
    <col min="13314" max="13314" width="36.140625" style="299" customWidth="1"/>
    <col min="13315" max="13316" width="12.7109375" style="299"/>
    <col min="13317" max="13317" width="12.7109375" style="299" customWidth="1"/>
    <col min="13318" max="13568" width="12.7109375" style="299"/>
    <col min="13569" max="13569" width="2.7109375" style="299" customWidth="1"/>
    <col min="13570" max="13570" width="36.140625" style="299" customWidth="1"/>
    <col min="13571" max="13572" width="12.7109375" style="299"/>
    <col min="13573" max="13573" width="12.7109375" style="299" customWidth="1"/>
    <col min="13574" max="13824" width="12.7109375" style="299"/>
    <col min="13825" max="13825" width="2.7109375" style="299" customWidth="1"/>
    <col min="13826" max="13826" width="36.140625" style="299" customWidth="1"/>
    <col min="13827" max="13828" width="12.7109375" style="299"/>
    <col min="13829" max="13829" width="12.7109375" style="299" customWidth="1"/>
    <col min="13830" max="14080" width="12.7109375" style="299"/>
    <col min="14081" max="14081" width="2.7109375" style="299" customWidth="1"/>
    <col min="14082" max="14082" width="36.140625" style="299" customWidth="1"/>
    <col min="14083" max="14084" width="12.7109375" style="299"/>
    <col min="14085" max="14085" width="12.7109375" style="299" customWidth="1"/>
    <col min="14086" max="14336" width="12.7109375" style="299"/>
    <col min="14337" max="14337" width="2.7109375" style="299" customWidth="1"/>
    <col min="14338" max="14338" width="36.140625" style="299" customWidth="1"/>
    <col min="14339" max="14340" width="12.7109375" style="299"/>
    <col min="14341" max="14341" width="12.7109375" style="299" customWidth="1"/>
    <col min="14342" max="14592" width="12.7109375" style="299"/>
    <col min="14593" max="14593" width="2.7109375" style="299" customWidth="1"/>
    <col min="14594" max="14594" width="36.140625" style="299" customWidth="1"/>
    <col min="14595" max="14596" width="12.7109375" style="299"/>
    <col min="14597" max="14597" width="12.7109375" style="299" customWidth="1"/>
    <col min="14598" max="14848" width="12.7109375" style="299"/>
    <col min="14849" max="14849" width="2.7109375" style="299" customWidth="1"/>
    <col min="14850" max="14850" width="36.140625" style="299" customWidth="1"/>
    <col min="14851" max="14852" width="12.7109375" style="299"/>
    <col min="14853" max="14853" width="12.7109375" style="299" customWidth="1"/>
    <col min="14854" max="15104" width="12.7109375" style="299"/>
    <col min="15105" max="15105" width="2.7109375" style="299" customWidth="1"/>
    <col min="15106" max="15106" width="36.140625" style="299" customWidth="1"/>
    <col min="15107" max="15108" width="12.7109375" style="299"/>
    <col min="15109" max="15109" width="12.7109375" style="299" customWidth="1"/>
    <col min="15110" max="15360" width="12.7109375" style="299"/>
    <col min="15361" max="15361" width="2.7109375" style="299" customWidth="1"/>
    <col min="15362" max="15362" width="36.140625" style="299" customWidth="1"/>
    <col min="15363" max="15364" width="12.7109375" style="299"/>
    <col min="15365" max="15365" width="12.7109375" style="299" customWidth="1"/>
    <col min="15366" max="15616" width="12.7109375" style="299"/>
    <col min="15617" max="15617" width="2.7109375" style="299" customWidth="1"/>
    <col min="15618" max="15618" width="36.140625" style="299" customWidth="1"/>
    <col min="15619" max="15620" width="12.7109375" style="299"/>
    <col min="15621" max="15621" width="12.7109375" style="299" customWidth="1"/>
    <col min="15622" max="15872" width="12.7109375" style="299"/>
    <col min="15873" max="15873" width="2.7109375" style="299" customWidth="1"/>
    <col min="15874" max="15874" width="36.140625" style="299" customWidth="1"/>
    <col min="15875" max="15876" width="12.7109375" style="299"/>
    <col min="15877" max="15877" width="12.7109375" style="299" customWidth="1"/>
    <col min="15878" max="16128" width="12.7109375" style="299"/>
    <col min="16129" max="16129" width="2.7109375" style="299" customWidth="1"/>
    <col min="16130" max="16130" width="36.140625" style="299" customWidth="1"/>
    <col min="16131" max="16132" width="12.7109375" style="299"/>
    <col min="16133" max="16133" width="12.7109375" style="299" customWidth="1"/>
    <col min="16134" max="16384" width="12.7109375" style="299"/>
  </cols>
  <sheetData>
    <row r="1" spans="1:13" s="69" customFormat="1" ht="33.75" customHeight="1">
      <c r="C1" s="138" t="s">
        <v>315</v>
      </c>
    </row>
    <row r="2" spans="1:13" s="129" customFormat="1" ht="12" customHeight="1"/>
    <row r="3" spans="1:13">
      <c r="A3" s="23" t="s">
        <v>316</v>
      </c>
    </row>
    <row r="4" spans="1:13">
      <c r="A4" s="44" t="s">
        <v>317</v>
      </c>
    </row>
    <row r="6" spans="1:13" ht="18.75">
      <c r="A6" s="7" t="s">
        <v>318</v>
      </c>
    </row>
    <row r="7" spans="1:13">
      <c r="A7" s="43" t="s">
        <v>319</v>
      </c>
      <c r="B7" s="42"/>
      <c r="C7" s="42"/>
      <c r="D7" s="42"/>
      <c r="E7" s="42"/>
    </row>
    <row r="8" spans="1:13">
      <c r="A8" s="23" t="s">
        <v>320</v>
      </c>
    </row>
    <row r="10" spans="1:13">
      <c r="B10" s="53" t="s">
        <v>321</v>
      </c>
      <c r="C10" s="301">
        <v>100</v>
      </c>
      <c r="D10" s="23" t="s">
        <v>322</v>
      </c>
      <c r="E10" s="299" t="s">
        <v>323</v>
      </c>
    </row>
    <row r="12" spans="1:13">
      <c r="B12" s="4" t="s">
        <v>321</v>
      </c>
      <c r="C12" s="301">
        <v>250</v>
      </c>
      <c r="D12" s="23" t="s">
        <v>322</v>
      </c>
      <c r="E12" s="49" t="s">
        <v>324</v>
      </c>
      <c r="F12" s="49"/>
      <c r="G12" s="49"/>
      <c r="H12" s="49"/>
      <c r="I12" s="49"/>
      <c r="J12" s="49"/>
      <c r="K12" s="49"/>
    </row>
    <row r="13" spans="1:13" hidden="1">
      <c r="B13" s="3" t="s">
        <v>6</v>
      </c>
      <c r="C13" s="300">
        <v>100</v>
      </c>
    </row>
    <row r="14" spans="1:13" hidden="1">
      <c r="B14" s="3" t="s">
        <v>7</v>
      </c>
      <c r="C14" s="300">
        <v>300</v>
      </c>
    </row>
    <row r="16" spans="1:13">
      <c r="B16" s="4" t="s">
        <v>321</v>
      </c>
      <c r="C16" s="301">
        <v>300</v>
      </c>
      <c r="D16" s="23" t="s">
        <v>322</v>
      </c>
      <c r="E16" s="49" t="s">
        <v>325</v>
      </c>
      <c r="F16" s="49"/>
      <c r="G16" s="49"/>
      <c r="H16" s="49"/>
      <c r="I16" s="49"/>
      <c r="J16" s="49"/>
      <c r="K16" s="49"/>
      <c r="L16" s="49"/>
      <c r="M16" s="49"/>
    </row>
    <row r="17" spans="1:5" hidden="1">
      <c r="B17" s="3" t="s">
        <v>5</v>
      </c>
      <c r="C17" s="300">
        <v>100</v>
      </c>
    </row>
    <row r="18" spans="1:5" hidden="1">
      <c r="C18" s="300">
        <v>200</v>
      </c>
    </row>
    <row r="19" spans="1:5" hidden="1">
      <c r="C19" s="300">
        <v>300</v>
      </c>
    </row>
    <row r="21" spans="1:5">
      <c r="B21" s="4" t="s">
        <v>326</v>
      </c>
      <c r="C21" s="303">
        <v>100</v>
      </c>
      <c r="D21" s="23" t="s">
        <v>322</v>
      </c>
      <c r="E21" s="299" t="s">
        <v>327</v>
      </c>
    </row>
    <row r="23" spans="1:5">
      <c r="B23" s="4" t="s">
        <v>328</v>
      </c>
      <c r="C23" s="52">
        <v>100</v>
      </c>
      <c r="D23" s="23" t="s">
        <v>322</v>
      </c>
      <c r="E23" s="299" t="s">
        <v>329</v>
      </c>
    </row>
    <row r="25" spans="1:5">
      <c r="B25" s="4" t="s">
        <v>330</v>
      </c>
      <c r="C25" s="302">
        <v>100</v>
      </c>
      <c r="D25" s="23" t="s">
        <v>331</v>
      </c>
      <c r="E25" s="299" t="s">
        <v>332</v>
      </c>
    </row>
    <row r="27" spans="1:5">
      <c r="B27" s="4" t="s">
        <v>333</v>
      </c>
      <c r="C27" s="304">
        <v>100</v>
      </c>
      <c r="D27" s="23" t="s">
        <v>331</v>
      </c>
      <c r="E27" s="299" t="s">
        <v>334</v>
      </c>
    </row>
    <row r="29" spans="1:5">
      <c r="B29" s="4" t="s">
        <v>335</v>
      </c>
      <c r="C29" s="61">
        <v>100</v>
      </c>
      <c r="D29" s="23" t="s">
        <v>331</v>
      </c>
      <c r="E29" s="299" t="s">
        <v>336</v>
      </c>
    </row>
    <row r="31" spans="1:5" ht="18">
      <c r="A31" s="7" t="s">
        <v>337</v>
      </c>
    </row>
    <row r="32" spans="1:5">
      <c r="A32" s="43" t="s">
        <v>338</v>
      </c>
      <c r="B32" s="42"/>
      <c r="C32" s="42"/>
      <c r="D32" s="42"/>
      <c r="E32" s="42"/>
    </row>
    <row r="33" spans="1:11">
      <c r="A33" s="23" t="s">
        <v>339</v>
      </c>
    </row>
    <row r="35" spans="1:11">
      <c r="B35" s="4" t="s">
        <v>340</v>
      </c>
      <c r="C35" s="305">
        <v>100</v>
      </c>
      <c r="D35" s="23" t="s">
        <v>331</v>
      </c>
      <c r="E35" s="299" t="s">
        <v>341</v>
      </c>
    </row>
    <row r="36" spans="1:11">
      <c r="C36" s="305"/>
    </row>
    <row r="37" spans="1:11">
      <c r="B37" s="4" t="s">
        <v>10</v>
      </c>
      <c r="C37" s="65">
        <v>123.45</v>
      </c>
      <c r="E37" s="299" t="s">
        <v>342</v>
      </c>
    </row>
    <row r="39" spans="1:11">
      <c r="B39" s="4" t="s">
        <v>343</v>
      </c>
      <c r="C39" s="62">
        <v>0</v>
      </c>
      <c r="D39" s="23" t="s">
        <v>331</v>
      </c>
      <c r="E39" s="299" t="s">
        <v>344</v>
      </c>
      <c r="F39" s="49"/>
      <c r="G39" s="49"/>
      <c r="H39" s="49"/>
      <c r="I39" s="49"/>
      <c r="J39" s="49"/>
      <c r="K39" s="49"/>
    </row>
    <row r="41" spans="1:11">
      <c r="B41" s="4" t="s">
        <v>343</v>
      </c>
      <c r="C41" s="62">
        <v>0.1</v>
      </c>
      <c r="D41" s="23" t="s">
        <v>331</v>
      </c>
      <c r="E41" s="49" t="s">
        <v>345</v>
      </c>
      <c r="F41" s="49"/>
      <c r="G41" s="49"/>
      <c r="H41" s="49"/>
      <c r="I41" s="49"/>
      <c r="J41" s="49"/>
      <c r="K41" s="49"/>
    </row>
    <row r="43" spans="1:11">
      <c r="B43" s="4" t="s">
        <v>346</v>
      </c>
      <c r="C43" s="306">
        <v>100</v>
      </c>
      <c r="E43" s="299" t="s">
        <v>347</v>
      </c>
    </row>
    <row r="45" spans="1:11">
      <c r="B45" s="4" t="s">
        <v>348</v>
      </c>
      <c r="C45" s="38" t="s">
        <v>348</v>
      </c>
      <c r="D45" s="23" t="s">
        <v>331</v>
      </c>
      <c r="E45" s="299" t="s">
        <v>349</v>
      </c>
    </row>
    <row r="47" spans="1:11">
      <c r="B47" s="4" t="s">
        <v>350</v>
      </c>
      <c r="C47" s="39" t="s">
        <v>350</v>
      </c>
      <c r="E47" s="299" t="s">
        <v>351</v>
      </c>
    </row>
    <row r="49" spans="1:10" ht="10.5" customHeight="1">
      <c r="B49" s="4" t="s">
        <v>352</v>
      </c>
      <c r="C49" s="14">
        <v>100</v>
      </c>
      <c r="E49" s="299" t="s">
        <v>353</v>
      </c>
    </row>
    <row r="50" spans="1:10">
      <c r="B50" s="4"/>
    </row>
    <row r="51" spans="1:10">
      <c r="B51" s="4" t="s">
        <v>354</v>
      </c>
      <c r="C51" s="50">
        <v>100</v>
      </c>
      <c r="E51" s="299" t="s">
        <v>355</v>
      </c>
    </row>
    <row r="53" spans="1:10" ht="18">
      <c r="A53" s="7" t="s">
        <v>356</v>
      </c>
    </row>
    <row r="54" spans="1:10">
      <c r="A54" s="43" t="s">
        <v>357</v>
      </c>
      <c r="B54" s="42"/>
      <c r="C54" s="42"/>
      <c r="D54" s="42"/>
      <c r="E54" s="42"/>
    </row>
    <row r="55" spans="1:10">
      <c r="A55" s="23" t="s">
        <v>358</v>
      </c>
    </row>
    <row r="56" spans="1:10">
      <c r="A56" s="23" t="s">
        <v>359</v>
      </c>
    </row>
    <row r="58" spans="1:10" ht="24">
      <c r="B58" s="320"/>
      <c r="C58" s="320" t="s">
        <v>360</v>
      </c>
      <c r="D58" s="320" t="s">
        <v>361</v>
      </c>
      <c r="E58" s="320" t="s">
        <v>362</v>
      </c>
      <c r="F58" s="320" t="s">
        <v>363</v>
      </c>
      <c r="G58" s="320" t="s">
        <v>364</v>
      </c>
      <c r="H58" s="320" t="s">
        <v>365</v>
      </c>
      <c r="I58" s="320" t="s">
        <v>366</v>
      </c>
      <c r="J58" s="320" t="s">
        <v>362</v>
      </c>
    </row>
    <row r="59" spans="1:10">
      <c r="B59" s="4" t="s">
        <v>367</v>
      </c>
      <c r="C59" s="300">
        <v>1234.56</v>
      </c>
      <c r="D59" s="15">
        <v>123.45</v>
      </c>
      <c r="E59" s="47">
        <v>0.1234</v>
      </c>
      <c r="F59" s="48">
        <v>0.1234</v>
      </c>
      <c r="G59" s="16">
        <v>1234.56</v>
      </c>
      <c r="H59" s="17">
        <v>123.45</v>
      </c>
      <c r="I59" s="45">
        <v>1234.56</v>
      </c>
      <c r="J59" s="46">
        <v>0.1234</v>
      </c>
    </row>
    <row r="60" spans="1:10">
      <c r="B60" s="4" t="s">
        <v>368</v>
      </c>
      <c r="C60" s="300">
        <v>-1234.56</v>
      </c>
      <c r="D60" s="15">
        <v>-123.45</v>
      </c>
      <c r="E60" s="47">
        <v>-0.1234</v>
      </c>
      <c r="F60" s="48">
        <v>-0.1234</v>
      </c>
      <c r="G60" s="16">
        <v>-1234.56</v>
      </c>
      <c r="H60" s="17">
        <v>-123.45</v>
      </c>
      <c r="I60" s="45">
        <v>-1234.56</v>
      </c>
      <c r="J60" s="46">
        <v>-0.1234</v>
      </c>
    </row>
    <row r="61" spans="1:10">
      <c r="B61" s="4" t="s">
        <v>369</v>
      </c>
      <c r="C61" s="300">
        <v>0</v>
      </c>
      <c r="D61" s="15">
        <v>0</v>
      </c>
      <c r="E61" s="47">
        <v>0</v>
      </c>
      <c r="F61" s="48">
        <v>0</v>
      </c>
      <c r="G61" s="16">
        <v>0</v>
      </c>
      <c r="H61" s="17">
        <v>0</v>
      </c>
      <c r="I61" s="45">
        <v>0</v>
      </c>
      <c r="J61" s="46">
        <v>0</v>
      </c>
    </row>
    <row r="62" spans="1:10" ht="12.75" thickBot="1">
      <c r="B62" s="4" t="s">
        <v>370</v>
      </c>
      <c r="C62" s="300" t="s">
        <v>370</v>
      </c>
      <c r="D62" s="15" t="s">
        <v>370</v>
      </c>
      <c r="E62" s="47" t="s">
        <v>370</v>
      </c>
      <c r="F62" s="48" t="s">
        <v>370</v>
      </c>
      <c r="G62" s="16" t="s">
        <v>370</v>
      </c>
      <c r="H62" s="17" t="s">
        <v>370</v>
      </c>
      <c r="I62" s="45" t="s">
        <v>370</v>
      </c>
      <c r="J62" s="46" t="s">
        <v>370</v>
      </c>
    </row>
    <row r="63" spans="1:10">
      <c r="B63" s="37"/>
      <c r="C63" s="37"/>
      <c r="D63" s="37"/>
      <c r="E63" s="37"/>
      <c r="F63" s="37"/>
      <c r="G63" s="37"/>
      <c r="H63" s="37"/>
      <c r="I63" s="37"/>
      <c r="J63" s="37"/>
    </row>
    <row r="64" spans="1:10" ht="24">
      <c r="B64" s="320"/>
      <c r="C64" s="320" t="s">
        <v>371</v>
      </c>
      <c r="D64" s="320" t="s">
        <v>372</v>
      </c>
      <c r="E64" s="320" t="s">
        <v>373</v>
      </c>
      <c r="F64" s="320" t="s">
        <v>374</v>
      </c>
    </row>
    <row r="65" spans="2:6">
      <c r="B65" s="4" t="s">
        <v>367</v>
      </c>
      <c r="C65" s="20">
        <v>1234.56</v>
      </c>
      <c r="D65" s="21">
        <v>123.45</v>
      </c>
      <c r="E65" s="18">
        <v>1234.56</v>
      </c>
      <c r="F65" s="19">
        <v>123.45</v>
      </c>
    </row>
    <row r="66" spans="2:6">
      <c r="B66" s="4" t="s">
        <v>368</v>
      </c>
      <c r="C66" s="20">
        <v>-1234.56</v>
      </c>
      <c r="D66" s="21">
        <v>-123.45</v>
      </c>
      <c r="E66" s="18">
        <v>-1234.56</v>
      </c>
      <c r="F66" s="19">
        <v>-123.45</v>
      </c>
    </row>
    <row r="67" spans="2:6">
      <c r="B67" s="4" t="s">
        <v>369</v>
      </c>
      <c r="C67" s="20">
        <v>0</v>
      </c>
      <c r="D67" s="21">
        <v>0</v>
      </c>
      <c r="E67" s="18">
        <v>0</v>
      </c>
      <c r="F67" s="19">
        <v>0</v>
      </c>
    </row>
    <row r="68" spans="2:6" ht="12.75" thickBot="1">
      <c r="B68" s="4" t="s">
        <v>370</v>
      </c>
      <c r="C68" s="20" t="s">
        <v>370</v>
      </c>
      <c r="D68" s="21" t="s">
        <v>370</v>
      </c>
      <c r="E68" s="18" t="s">
        <v>370</v>
      </c>
      <c r="F68" s="19" t="s">
        <v>370</v>
      </c>
    </row>
    <row r="69" spans="2:6">
      <c r="B69" s="37"/>
      <c r="C69" s="37"/>
      <c r="D69" s="37"/>
      <c r="E69" s="37"/>
      <c r="F69" s="37"/>
    </row>
    <row r="70" spans="2:6" ht="24">
      <c r="B70" s="320"/>
      <c r="C70" s="320" t="s">
        <v>375</v>
      </c>
      <c r="D70" s="320" t="s">
        <v>376</v>
      </c>
      <c r="E70" s="320" t="s">
        <v>377</v>
      </c>
      <c r="F70" s="320" t="s">
        <v>378</v>
      </c>
    </row>
    <row r="71" spans="2:6">
      <c r="B71" s="4" t="s">
        <v>367</v>
      </c>
      <c r="C71" s="26">
        <v>1234.56</v>
      </c>
      <c r="D71" s="27">
        <v>123.45</v>
      </c>
      <c r="E71" s="24">
        <v>1234.56</v>
      </c>
      <c r="F71" s="25">
        <v>123.45</v>
      </c>
    </row>
    <row r="72" spans="2:6">
      <c r="B72" s="4" t="s">
        <v>368</v>
      </c>
      <c r="C72" s="26">
        <v>-1234.56</v>
      </c>
      <c r="D72" s="27">
        <v>-123.45</v>
      </c>
      <c r="E72" s="24">
        <v>-1234.56</v>
      </c>
      <c r="F72" s="25">
        <v>-123.45</v>
      </c>
    </row>
    <row r="73" spans="2:6">
      <c r="B73" s="4" t="s">
        <v>369</v>
      </c>
      <c r="C73" s="26">
        <v>0</v>
      </c>
      <c r="D73" s="27">
        <v>0</v>
      </c>
      <c r="E73" s="24">
        <v>0</v>
      </c>
      <c r="F73" s="25">
        <v>0</v>
      </c>
    </row>
    <row r="74" spans="2:6" ht="12.75" thickBot="1">
      <c r="B74" s="4" t="s">
        <v>370</v>
      </c>
      <c r="C74" s="26" t="s">
        <v>370</v>
      </c>
      <c r="D74" s="27" t="s">
        <v>370</v>
      </c>
      <c r="E74" s="24" t="s">
        <v>370</v>
      </c>
      <c r="F74" s="25" t="s">
        <v>370</v>
      </c>
    </row>
    <row r="75" spans="2:6">
      <c r="B75" s="37"/>
      <c r="C75" s="37"/>
      <c r="D75" s="37"/>
      <c r="E75" s="37"/>
      <c r="F75" s="37"/>
    </row>
    <row r="76" spans="2:6" ht="24">
      <c r="B76" s="320"/>
      <c r="C76" s="320" t="s">
        <v>379</v>
      </c>
      <c r="D76" s="320" t="s">
        <v>380</v>
      </c>
      <c r="E76" s="320" t="s">
        <v>381</v>
      </c>
      <c r="F76" s="320" t="s">
        <v>382</v>
      </c>
    </row>
    <row r="77" spans="2:6">
      <c r="B77" s="4" t="s">
        <v>367</v>
      </c>
      <c r="C77" s="30">
        <v>1234.56</v>
      </c>
      <c r="D77" s="31">
        <v>123.45</v>
      </c>
      <c r="E77" s="28">
        <v>1234.56</v>
      </c>
      <c r="F77" s="29">
        <v>123.45</v>
      </c>
    </row>
    <row r="78" spans="2:6">
      <c r="B78" s="4" t="s">
        <v>368</v>
      </c>
      <c r="C78" s="30">
        <v>-1234.56</v>
      </c>
      <c r="D78" s="31">
        <v>-123.45</v>
      </c>
      <c r="E78" s="28">
        <v>-1234.56</v>
      </c>
      <c r="F78" s="29">
        <v>-123.45</v>
      </c>
    </row>
    <row r="79" spans="2:6">
      <c r="B79" s="4" t="s">
        <v>369</v>
      </c>
      <c r="C79" s="30">
        <v>0</v>
      </c>
      <c r="D79" s="31">
        <v>0</v>
      </c>
      <c r="E79" s="28">
        <v>0</v>
      </c>
      <c r="F79" s="29">
        <v>0</v>
      </c>
    </row>
    <row r="80" spans="2:6" ht="12.75" thickBot="1">
      <c r="B80" s="4" t="s">
        <v>370</v>
      </c>
      <c r="C80" s="30" t="s">
        <v>370</v>
      </c>
      <c r="D80" s="31" t="s">
        <v>370</v>
      </c>
      <c r="E80" s="28" t="s">
        <v>370</v>
      </c>
      <c r="F80" s="29" t="s">
        <v>370</v>
      </c>
    </row>
    <row r="81" spans="1:6">
      <c r="B81" s="37"/>
      <c r="C81" s="37"/>
      <c r="D81" s="37"/>
      <c r="E81" s="37"/>
      <c r="F81" s="37"/>
    </row>
    <row r="82" spans="1:6">
      <c r="B82" s="320"/>
      <c r="C82" s="320" t="s">
        <v>383</v>
      </c>
      <c r="D82" s="320" t="s">
        <v>384</v>
      </c>
      <c r="E82" s="320" t="s">
        <v>385</v>
      </c>
    </row>
    <row r="83" spans="1:6" ht="12.75" thickBot="1">
      <c r="B83" s="4" t="s">
        <v>383</v>
      </c>
      <c r="C83" s="22">
        <v>37591</v>
      </c>
      <c r="D83" s="67">
        <v>37591</v>
      </c>
      <c r="E83" s="32">
        <v>37591</v>
      </c>
    </row>
    <row r="84" spans="1:6">
      <c r="B84" s="37"/>
      <c r="C84" s="37"/>
      <c r="D84" s="37"/>
      <c r="E84" s="37"/>
    </row>
    <row r="85" spans="1:6" ht="18">
      <c r="A85" s="7" t="s">
        <v>386</v>
      </c>
    </row>
    <row r="86" spans="1:6">
      <c r="A86" s="43" t="s">
        <v>387</v>
      </c>
      <c r="B86" s="42"/>
      <c r="C86" s="42"/>
      <c r="D86" s="42"/>
      <c r="E86" s="42"/>
    </row>
    <row r="87" spans="1:6">
      <c r="A87" s="23" t="s">
        <v>339</v>
      </c>
    </row>
    <row r="89" spans="1:6" ht="23.25">
      <c r="B89" s="40" t="s">
        <v>1</v>
      </c>
      <c r="C89" s="40" t="s">
        <v>388</v>
      </c>
      <c r="E89" s="299" t="s">
        <v>389</v>
      </c>
    </row>
    <row r="91" spans="1:6" ht="18">
      <c r="B91" s="7" t="s">
        <v>2</v>
      </c>
      <c r="C91" s="7" t="s">
        <v>388</v>
      </c>
      <c r="E91" s="299" t="s">
        <v>390</v>
      </c>
    </row>
    <row r="93" spans="1:6" ht="15.75">
      <c r="B93" s="33" t="s">
        <v>3</v>
      </c>
      <c r="C93" s="33" t="s">
        <v>388</v>
      </c>
      <c r="E93" s="299" t="s">
        <v>391</v>
      </c>
    </row>
    <row r="95" spans="1:6">
      <c r="B95" s="141" t="s">
        <v>4</v>
      </c>
      <c r="C95" s="141" t="s">
        <v>388</v>
      </c>
      <c r="E95" s="299" t="s">
        <v>392</v>
      </c>
    </row>
    <row r="97" spans="1:7" ht="18">
      <c r="A97" s="7" t="s">
        <v>393</v>
      </c>
    </row>
    <row r="98" spans="1:7">
      <c r="A98" s="43" t="s">
        <v>394</v>
      </c>
      <c r="B98" s="42"/>
      <c r="C98" s="42"/>
      <c r="D98" s="42"/>
      <c r="E98" s="42"/>
    </row>
    <row r="99" spans="1:7">
      <c r="A99" s="23" t="s">
        <v>395</v>
      </c>
    </row>
    <row r="101" spans="1:7" ht="15.75">
      <c r="A101" s="33" t="s">
        <v>396</v>
      </c>
    </row>
    <row r="102" spans="1:7" ht="24">
      <c r="B102" s="63" t="s">
        <v>397</v>
      </c>
      <c r="C102" s="320" t="s">
        <v>398</v>
      </c>
      <c r="D102" s="320" t="s">
        <v>398</v>
      </c>
      <c r="E102" s="320" t="s">
        <v>398</v>
      </c>
      <c r="F102" s="320" t="s">
        <v>398</v>
      </c>
    </row>
    <row r="103" spans="1:7">
      <c r="B103" s="4" t="s">
        <v>399</v>
      </c>
    </row>
    <row r="104" spans="1:7">
      <c r="B104" s="4" t="s">
        <v>399</v>
      </c>
    </row>
    <row r="105" spans="1:7" ht="12.75" thickBot="1">
      <c r="B105" s="4" t="s">
        <v>399</v>
      </c>
    </row>
    <row r="106" spans="1:7">
      <c r="B106" s="37" t="s">
        <v>400</v>
      </c>
      <c r="C106" s="37"/>
      <c r="D106" s="37"/>
      <c r="E106" s="37"/>
      <c r="F106" s="37"/>
    </row>
    <row r="108" spans="1:7" ht="15.75">
      <c r="A108" s="33" t="s">
        <v>401</v>
      </c>
    </row>
    <row r="109" spans="1:7">
      <c r="B109" s="63"/>
      <c r="C109" s="66"/>
      <c r="D109" s="66" t="s">
        <v>402</v>
      </c>
      <c r="E109" s="66"/>
      <c r="F109" s="66" t="s">
        <v>403</v>
      </c>
      <c r="G109" s="66"/>
    </row>
    <row r="110" spans="1:7" ht="36">
      <c r="B110" s="63" t="s">
        <v>397</v>
      </c>
      <c r="C110" s="321" t="s">
        <v>404</v>
      </c>
      <c r="D110" s="320" t="s">
        <v>398</v>
      </c>
      <c r="E110" s="320" t="s">
        <v>398</v>
      </c>
      <c r="F110" s="320" t="s">
        <v>398</v>
      </c>
      <c r="G110" s="320" t="s">
        <v>398</v>
      </c>
    </row>
    <row r="111" spans="1:7">
      <c r="B111" s="4" t="s">
        <v>399</v>
      </c>
      <c r="D111" s="51" t="s">
        <v>405</v>
      </c>
      <c r="E111" s="51"/>
      <c r="F111" s="36" t="s">
        <v>406</v>
      </c>
      <c r="G111" s="36"/>
    </row>
    <row r="112" spans="1:7" ht="12.75" thickBot="1">
      <c r="B112" s="322" t="s">
        <v>407</v>
      </c>
      <c r="D112" s="51"/>
      <c r="E112" s="51"/>
      <c r="F112" s="36"/>
      <c r="G112" s="36"/>
    </row>
    <row r="113" spans="1:9" ht="12.75" thickBot="1">
      <c r="B113" s="6" t="s">
        <v>408</v>
      </c>
      <c r="C113" s="34"/>
      <c r="D113" s="34"/>
      <c r="E113" s="34"/>
      <c r="F113" s="57"/>
      <c r="G113" s="57"/>
    </row>
    <row r="114" spans="1:9">
      <c r="B114" s="5" t="s">
        <v>409</v>
      </c>
      <c r="C114" s="35"/>
      <c r="D114" s="35"/>
      <c r="E114" s="35"/>
      <c r="F114" s="35"/>
      <c r="G114" s="35"/>
    </row>
    <row r="117" spans="1:9" ht="23.25">
      <c r="A117" s="40" t="s">
        <v>410</v>
      </c>
    </row>
    <row r="118" spans="1:9">
      <c r="A118" s="23" t="s">
        <v>411</v>
      </c>
    </row>
    <row r="120" spans="1:9" ht="15.75">
      <c r="A120" s="33" t="s">
        <v>412</v>
      </c>
    </row>
    <row r="121" spans="1:9">
      <c r="B121" s="63" t="s">
        <v>413</v>
      </c>
      <c r="C121" s="321" t="s">
        <v>414</v>
      </c>
      <c r="D121" s="321" t="s">
        <v>189</v>
      </c>
      <c r="E121" s="320">
        <v>2000</v>
      </c>
      <c r="F121" s="320">
        <v>2001</v>
      </c>
      <c r="G121" s="320">
        <v>2002</v>
      </c>
      <c r="H121" s="320">
        <v>2003</v>
      </c>
      <c r="I121" s="307" t="s">
        <v>415</v>
      </c>
    </row>
    <row r="122" spans="1:9">
      <c r="B122" s="4" t="s">
        <v>9</v>
      </c>
      <c r="C122" s="299" t="s">
        <v>416</v>
      </c>
      <c r="D122" s="23" t="s">
        <v>417</v>
      </c>
      <c r="E122" s="303">
        <v>1000000</v>
      </c>
      <c r="F122" s="302">
        <f t="shared" ref="F122:G124" si="0">E122+($H122-$E122)/3</f>
        <v>1000000</v>
      </c>
      <c r="G122" s="302">
        <f t="shared" si="0"/>
        <v>1000000</v>
      </c>
      <c r="H122" s="301">
        <v>1000000</v>
      </c>
    </row>
    <row r="123" spans="1:9">
      <c r="B123" s="4" t="s">
        <v>8</v>
      </c>
      <c r="C123" s="299" t="s">
        <v>416</v>
      </c>
      <c r="D123" s="23" t="s">
        <v>417</v>
      </c>
      <c r="E123" s="303">
        <v>100000</v>
      </c>
      <c r="F123" s="302">
        <f t="shared" si="0"/>
        <v>133333.33333333334</v>
      </c>
      <c r="G123" s="302">
        <f t="shared" si="0"/>
        <v>166666.66666666669</v>
      </c>
      <c r="H123" s="301">
        <v>200000</v>
      </c>
    </row>
    <row r="124" spans="1:9">
      <c r="B124" s="4" t="s">
        <v>418</v>
      </c>
      <c r="C124" s="299" t="s">
        <v>416</v>
      </c>
      <c r="D124" s="23" t="s">
        <v>417</v>
      </c>
      <c r="E124" s="52">
        <v>50000</v>
      </c>
      <c r="F124" s="302">
        <f t="shared" si="0"/>
        <v>100000</v>
      </c>
      <c r="G124" s="302">
        <f t="shared" si="0"/>
        <v>150000</v>
      </c>
      <c r="H124" s="301">
        <v>200000</v>
      </c>
    </row>
    <row r="125" spans="1:9">
      <c r="B125" s="5" t="s">
        <v>10</v>
      </c>
      <c r="C125" s="35" t="s">
        <v>416</v>
      </c>
      <c r="D125" s="35"/>
      <c r="E125" s="54">
        <f>SUM(E122:E124)</f>
        <v>1150000</v>
      </c>
      <c r="F125" s="54">
        <f>SUM(F122:F124)</f>
        <v>1233333.3333333333</v>
      </c>
      <c r="G125" s="54">
        <f>SUM(G122:G124)</f>
        <v>1316666.6666666667</v>
      </c>
      <c r="H125" s="54">
        <f>SUM(H122:H124)</f>
        <v>1400000</v>
      </c>
    </row>
    <row r="126" spans="1:9">
      <c r="B126" s="129"/>
      <c r="D126" s="129"/>
      <c r="E126" s="129"/>
      <c r="F126" s="129"/>
      <c r="G126" s="129"/>
    </row>
    <row r="127" spans="1:9" ht="15.75">
      <c r="A127" s="33" t="s">
        <v>412</v>
      </c>
    </row>
    <row r="128" spans="1:9">
      <c r="B128" s="63" t="s">
        <v>413</v>
      </c>
      <c r="C128" s="321" t="s">
        <v>414</v>
      </c>
      <c r="D128" s="321" t="s">
        <v>189</v>
      </c>
      <c r="E128" s="320">
        <v>2000</v>
      </c>
      <c r="F128" s="320">
        <v>2001</v>
      </c>
      <c r="G128" s="320">
        <v>2002</v>
      </c>
      <c r="H128" s="320">
        <v>2003</v>
      </c>
    </row>
    <row r="129" spans="1:9">
      <c r="B129" s="4" t="s">
        <v>9</v>
      </c>
      <c r="C129" s="299" t="s">
        <v>416</v>
      </c>
      <c r="D129" s="23" t="s">
        <v>419</v>
      </c>
      <c r="E129" s="304">
        <f t="array" ref="E129:H131">$E$122:$H$124</f>
        <v>1000000</v>
      </c>
      <c r="F129" s="304">
        <v>1000000</v>
      </c>
      <c r="G129" s="304">
        <v>1000000</v>
      </c>
      <c r="H129" s="304">
        <v>1000000</v>
      </c>
    </row>
    <row r="130" spans="1:9">
      <c r="B130" s="4" t="s">
        <v>8</v>
      </c>
      <c r="C130" s="299" t="s">
        <v>416</v>
      </c>
      <c r="D130" s="23" t="s">
        <v>419</v>
      </c>
      <c r="E130" s="304">
        <v>100000</v>
      </c>
      <c r="F130" s="304">
        <v>133333.33333333334</v>
      </c>
      <c r="G130" s="304">
        <v>166666.66666666669</v>
      </c>
      <c r="H130" s="304">
        <v>200000</v>
      </c>
    </row>
    <row r="131" spans="1:9">
      <c r="B131" s="4" t="s">
        <v>418</v>
      </c>
      <c r="C131" s="299" t="s">
        <v>416</v>
      </c>
      <c r="D131" s="23" t="s">
        <v>420</v>
      </c>
      <c r="E131" s="64">
        <v>50000</v>
      </c>
      <c r="F131" s="64">
        <v>100000</v>
      </c>
      <c r="G131" s="64">
        <v>150000</v>
      </c>
      <c r="H131" s="64">
        <v>200000</v>
      </c>
    </row>
    <row r="132" spans="1:9">
      <c r="B132" s="5" t="s">
        <v>10</v>
      </c>
      <c r="C132" s="35" t="s">
        <v>416</v>
      </c>
      <c r="D132" s="35"/>
      <c r="E132" s="54">
        <f>SUM(E129:E131)</f>
        <v>1150000</v>
      </c>
      <c r="F132" s="54">
        <f>SUM(F129:F131)</f>
        <v>1233333.3333333333</v>
      </c>
      <c r="G132" s="54">
        <f>SUM(G129:G131)</f>
        <v>1316666.6666666667</v>
      </c>
      <c r="H132" s="54">
        <f>SUM(H129:H131)</f>
        <v>1400000</v>
      </c>
    </row>
    <row r="133" spans="1:9">
      <c r="B133" s="129"/>
      <c r="C133" s="129"/>
      <c r="D133" s="129"/>
      <c r="E133" s="129"/>
      <c r="F133" s="129"/>
      <c r="G133" s="129"/>
    </row>
    <row r="135" spans="1:9" ht="15.75">
      <c r="A135" s="33" t="s">
        <v>421</v>
      </c>
    </row>
    <row r="136" spans="1:9">
      <c r="B136" s="63" t="s">
        <v>413</v>
      </c>
      <c r="C136" s="321" t="s">
        <v>414</v>
      </c>
      <c r="D136" s="321" t="s">
        <v>189</v>
      </c>
      <c r="E136" s="320">
        <v>2000</v>
      </c>
      <c r="F136" s="320">
        <v>2001</v>
      </c>
      <c r="G136" s="320">
        <v>2002</v>
      </c>
      <c r="H136" s="320">
        <v>2003</v>
      </c>
    </row>
    <row r="137" spans="1:9">
      <c r="B137" s="4" t="s">
        <v>9</v>
      </c>
      <c r="C137" s="299" t="s">
        <v>416</v>
      </c>
      <c r="D137" s="23"/>
      <c r="E137" s="300"/>
      <c r="F137" s="305">
        <f t="shared" ref="F137:H139" si="1">(F129+E129)/2</f>
        <v>1000000</v>
      </c>
      <c r="G137" s="305">
        <f t="shared" si="1"/>
        <v>1000000</v>
      </c>
      <c r="H137" s="305">
        <f t="shared" si="1"/>
        <v>1000000</v>
      </c>
    </row>
    <row r="138" spans="1:9">
      <c r="B138" s="4" t="s">
        <v>8</v>
      </c>
      <c r="C138" s="299" t="s">
        <v>416</v>
      </c>
      <c r="D138" s="23"/>
      <c r="E138" s="300"/>
      <c r="F138" s="305">
        <f t="shared" si="1"/>
        <v>116666.66666666667</v>
      </c>
      <c r="G138" s="305">
        <f t="shared" si="1"/>
        <v>150000</v>
      </c>
      <c r="H138" s="305">
        <f t="shared" si="1"/>
        <v>183333.33333333334</v>
      </c>
    </row>
    <row r="139" spans="1:9">
      <c r="B139" s="4" t="s">
        <v>418</v>
      </c>
      <c r="C139" s="299" t="s">
        <v>416</v>
      </c>
      <c r="D139" s="23"/>
      <c r="E139" s="300"/>
      <c r="F139" s="305">
        <f t="shared" si="1"/>
        <v>75000</v>
      </c>
      <c r="G139" s="305">
        <f t="shared" si="1"/>
        <v>125000</v>
      </c>
      <c r="H139" s="305">
        <f t="shared" si="1"/>
        <v>175000</v>
      </c>
    </row>
    <row r="140" spans="1:9">
      <c r="B140" s="59" t="s">
        <v>10</v>
      </c>
      <c r="C140" s="68" t="s">
        <v>416</v>
      </c>
      <c r="D140" s="68"/>
      <c r="E140" s="58"/>
      <c r="F140" s="58">
        <f>SUM(F137:F139)</f>
        <v>1191666.6666666667</v>
      </c>
      <c r="G140" s="58">
        <f>SUM(G137:G139)</f>
        <v>1275000</v>
      </c>
      <c r="H140" s="58">
        <f>SUM(H137:H139)</f>
        <v>1358333.3333333333</v>
      </c>
      <c r="I140" s="307" t="s">
        <v>422</v>
      </c>
    </row>
    <row r="141" spans="1:9">
      <c r="B141" s="129"/>
      <c r="C141" s="129"/>
      <c r="D141" s="129"/>
      <c r="E141" s="129"/>
      <c r="F141" s="129"/>
    </row>
  </sheetData>
  <conditionalFormatting sqref="C41">
    <cfRule type="cellIs" dxfId="2" priority="1" stopIfTrue="1" operator="notEqual">
      <formula>0</formula>
    </cfRule>
  </conditionalFormatting>
  <dataValidations count="2">
    <dataValidation type="decimal" showInputMessage="1" showErrorMessage="1" errorTitle="Input Parameter" error="Value must lie between 100 and 300" promptTitle="Input Parameter" prompt="Value must lie between 100 and 300" sqref="C12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C65548 IY65548 SU65548 ACQ65548 AMM65548 AWI65548 BGE65548 BQA65548 BZW65548 CJS65548 CTO65548 DDK65548 DNG65548 DXC65548 EGY65548 EQU65548 FAQ65548 FKM65548 FUI65548 GEE65548 GOA65548 GXW65548 HHS65548 HRO65548 IBK65548 ILG65548 IVC65548 JEY65548 JOU65548 JYQ65548 KIM65548 KSI65548 LCE65548 LMA65548 LVW65548 MFS65548 MPO65548 MZK65548 NJG65548 NTC65548 OCY65548 OMU65548 OWQ65548 PGM65548 PQI65548 QAE65548 QKA65548 QTW65548 RDS65548 RNO65548 RXK65548 SHG65548 SRC65548 TAY65548 TKU65548 TUQ65548 UEM65548 UOI65548 UYE65548 VIA65548 VRW65548 WBS65548 WLO65548 WVK65548 C131084 IY131084 SU131084 ACQ131084 AMM131084 AWI131084 BGE131084 BQA131084 BZW131084 CJS131084 CTO131084 DDK131084 DNG131084 DXC131084 EGY131084 EQU131084 FAQ131084 FKM131084 FUI131084 GEE131084 GOA131084 GXW131084 HHS131084 HRO131084 IBK131084 ILG131084 IVC131084 JEY131084 JOU131084 JYQ131084 KIM131084 KSI131084 LCE131084 LMA131084 LVW131084 MFS131084 MPO131084 MZK131084 NJG131084 NTC131084 OCY131084 OMU131084 OWQ131084 PGM131084 PQI131084 QAE131084 QKA131084 QTW131084 RDS131084 RNO131084 RXK131084 SHG131084 SRC131084 TAY131084 TKU131084 TUQ131084 UEM131084 UOI131084 UYE131084 VIA131084 VRW131084 WBS131084 WLO131084 WVK131084 C196620 IY196620 SU196620 ACQ196620 AMM196620 AWI196620 BGE196620 BQA196620 BZW196620 CJS196620 CTO196620 DDK196620 DNG196620 DXC196620 EGY196620 EQU196620 FAQ196620 FKM196620 FUI196620 GEE196620 GOA196620 GXW196620 HHS196620 HRO196620 IBK196620 ILG196620 IVC196620 JEY196620 JOU196620 JYQ196620 KIM196620 KSI196620 LCE196620 LMA196620 LVW196620 MFS196620 MPO196620 MZK196620 NJG196620 NTC196620 OCY196620 OMU196620 OWQ196620 PGM196620 PQI196620 QAE196620 QKA196620 QTW196620 RDS196620 RNO196620 RXK196620 SHG196620 SRC196620 TAY196620 TKU196620 TUQ196620 UEM196620 UOI196620 UYE196620 VIA196620 VRW196620 WBS196620 WLO196620 WVK196620 C262156 IY262156 SU262156 ACQ262156 AMM262156 AWI262156 BGE262156 BQA262156 BZW262156 CJS262156 CTO262156 DDK262156 DNG262156 DXC262156 EGY262156 EQU262156 FAQ262156 FKM262156 FUI262156 GEE262156 GOA262156 GXW262156 HHS262156 HRO262156 IBK262156 ILG262156 IVC262156 JEY262156 JOU262156 JYQ262156 KIM262156 KSI262156 LCE262156 LMA262156 LVW262156 MFS262156 MPO262156 MZK262156 NJG262156 NTC262156 OCY262156 OMU262156 OWQ262156 PGM262156 PQI262156 QAE262156 QKA262156 QTW262156 RDS262156 RNO262156 RXK262156 SHG262156 SRC262156 TAY262156 TKU262156 TUQ262156 UEM262156 UOI262156 UYE262156 VIA262156 VRW262156 WBS262156 WLO262156 WVK262156 C327692 IY327692 SU327692 ACQ327692 AMM327692 AWI327692 BGE327692 BQA327692 BZW327692 CJS327692 CTO327692 DDK327692 DNG327692 DXC327692 EGY327692 EQU327692 FAQ327692 FKM327692 FUI327692 GEE327692 GOA327692 GXW327692 HHS327692 HRO327692 IBK327692 ILG327692 IVC327692 JEY327692 JOU327692 JYQ327692 KIM327692 KSI327692 LCE327692 LMA327692 LVW327692 MFS327692 MPO327692 MZK327692 NJG327692 NTC327692 OCY327692 OMU327692 OWQ327692 PGM327692 PQI327692 QAE327692 QKA327692 QTW327692 RDS327692 RNO327692 RXK327692 SHG327692 SRC327692 TAY327692 TKU327692 TUQ327692 UEM327692 UOI327692 UYE327692 VIA327692 VRW327692 WBS327692 WLO327692 WVK327692 C393228 IY393228 SU393228 ACQ393228 AMM393228 AWI393228 BGE393228 BQA393228 BZW393228 CJS393228 CTO393228 DDK393228 DNG393228 DXC393228 EGY393228 EQU393228 FAQ393228 FKM393228 FUI393228 GEE393228 GOA393228 GXW393228 HHS393228 HRO393228 IBK393228 ILG393228 IVC393228 JEY393228 JOU393228 JYQ393228 KIM393228 KSI393228 LCE393228 LMA393228 LVW393228 MFS393228 MPO393228 MZK393228 NJG393228 NTC393228 OCY393228 OMU393228 OWQ393228 PGM393228 PQI393228 QAE393228 QKA393228 QTW393228 RDS393228 RNO393228 RXK393228 SHG393228 SRC393228 TAY393228 TKU393228 TUQ393228 UEM393228 UOI393228 UYE393228 VIA393228 VRW393228 WBS393228 WLO393228 WVK393228 C458764 IY458764 SU458764 ACQ458764 AMM458764 AWI458764 BGE458764 BQA458764 BZW458764 CJS458764 CTO458764 DDK458764 DNG458764 DXC458764 EGY458764 EQU458764 FAQ458764 FKM458764 FUI458764 GEE458764 GOA458764 GXW458764 HHS458764 HRO458764 IBK458764 ILG458764 IVC458764 JEY458764 JOU458764 JYQ458764 KIM458764 KSI458764 LCE458764 LMA458764 LVW458764 MFS458764 MPO458764 MZK458764 NJG458764 NTC458764 OCY458764 OMU458764 OWQ458764 PGM458764 PQI458764 QAE458764 QKA458764 QTW458764 RDS458764 RNO458764 RXK458764 SHG458764 SRC458764 TAY458764 TKU458764 TUQ458764 UEM458764 UOI458764 UYE458764 VIA458764 VRW458764 WBS458764 WLO458764 WVK458764 C524300 IY524300 SU524300 ACQ524300 AMM524300 AWI524300 BGE524300 BQA524300 BZW524300 CJS524300 CTO524300 DDK524300 DNG524300 DXC524300 EGY524300 EQU524300 FAQ524300 FKM524300 FUI524300 GEE524300 GOA524300 GXW524300 HHS524300 HRO524300 IBK524300 ILG524300 IVC524300 JEY524300 JOU524300 JYQ524300 KIM524300 KSI524300 LCE524300 LMA524300 LVW524300 MFS524300 MPO524300 MZK524300 NJG524300 NTC524300 OCY524300 OMU524300 OWQ524300 PGM524300 PQI524300 QAE524300 QKA524300 QTW524300 RDS524300 RNO524300 RXK524300 SHG524300 SRC524300 TAY524300 TKU524300 TUQ524300 UEM524300 UOI524300 UYE524300 VIA524300 VRW524300 WBS524300 WLO524300 WVK524300 C589836 IY589836 SU589836 ACQ589836 AMM589836 AWI589836 BGE589836 BQA589836 BZW589836 CJS589836 CTO589836 DDK589836 DNG589836 DXC589836 EGY589836 EQU589836 FAQ589836 FKM589836 FUI589836 GEE589836 GOA589836 GXW589836 HHS589836 HRO589836 IBK589836 ILG589836 IVC589836 JEY589836 JOU589836 JYQ589836 KIM589836 KSI589836 LCE589836 LMA589836 LVW589836 MFS589836 MPO589836 MZK589836 NJG589836 NTC589836 OCY589836 OMU589836 OWQ589836 PGM589836 PQI589836 QAE589836 QKA589836 QTW589836 RDS589836 RNO589836 RXK589836 SHG589836 SRC589836 TAY589836 TKU589836 TUQ589836 UEM589836 UOI589836 UYE589836 VIA589836 VRW589836 WBS589836 WLO589836 WVK589836 C655372 IY655372 SU655372 ACQ655372 AMM655372 AWI655372 BGE655372 BQA655372 BZW655372 CJS655372 CTO655372 DDK655372 DNG655372 DXC655372 EGY655372 EQU655372 FAQ655372 FKM655372 FUI655372 GEE655372 GOA655372 GXW655372 HHS655372 HRO655372 IBK655372 ILG655372 IVC655372 JEY655372 JOU655372 JYQ655372 KIM655372 KSI655372 LCE655372 LMA655372 LVW655372 MFS655372 MPO655372 MZK655372 NJG655372 NTC655372 OCY655372 OMU655372 OWQ655372 PGM655372 PQI655372 QAE655372 QKA655372 QTW655372 RDS655372 RNO655372 RXK655372 SHG655372 SRC655372 TAY655372 TKU655372 TUQ655372 UEM655372 UOI655372 UYE655372 VIA655372 VRW655372 WBS655372 WLO655372 WVK655372 C720908 IY720908 SU720908 ACQ720908 AMM720908 AWI720908 BGE720908 BQA720908 BZW720908 CJS720908 CTO720908 DDK720908 DNG720908 DXC720908 EGY720908 EQU720908 FAQ720908 FKM720908 FUI720908 GEE720908 GOA720908 GXW720908 HHS720908 HRO720908 IBK720908 ILG720908 IVC720908 JEY720908 JOU720908 JYQ720908 KIM720908 KSI720908 LCE720908 LMA720908 LVW720908 MFS720908 MPO720908 MZK720908 NJG720908 NTC720908 OCY720908 OMU720908 OWQ720908 PGM720908 PQI720908 QAE720908 QKA720908 QTW720908 RDS720908 RNO720908 RXK720908 SHG720908 SRC720908 TAY720908 TKU720908 TUQ720908 UEM720908 UOI720908 UYE720908 VIA720908 VRW720908 WBS720908 WLO720908 WVK720908 C786444 IY786444 SU786444 ACQ786444 AMM786444 AWI786444 BGE786444 BQA786444 BZW786444 CJS786444 CTO786444 DDK786444 DNG786444 DXC786444 EGY786444 EQU786444 FAQ786444 FKM786444 FUI786444 GEE786444 GOA786444 GXW786444 HHS786444 HRO786444 IBK786444 ILG786444 IVC786444 JEY786444 JOU786444 JYQ786444 KIM786444 KSI786444 LCE786444 LMA786444 LVW786444 MFS786444 MPO786444 MZK786444 NJG786444 NTC786444 OCY786444 OMU786444 OWQ786444 PGM786444 PQI786444 QAE786444 QKA786444 QTW786444 RDS786444 RNO786444 RXK786444 SHG786444 SRC786444 TAY786444 TKU786444 TUQ786444 UEM786444 UOI786444 UYE786444 VIA786444 VRW786444 WBS786444 WLO786444 WVK786444 C851980 IY851980 SU851980 ACQ851980 AMM851980 AWI851980 BGE851980 BQA851980 BZW851980 CJS851980 CTO851980 DDK851980 DNG851980 DXC851980 EGY851980 EQU851980 FAQ851980 FKM851980 FUI851980 GEE851980 GOA851980 GXW851980 HHS851980 HRO851980 IBK851980 ILG851980 IVC851980 JEY851980 JOU851980 JYQ851980 KIM851980 KSI851980 LCE851980 LMA851980 LVW851980 MFS851980 MPO851980 MZK851980 NJG851980 NTC851980 OCY851980 OMU851980 OWQ851980 PGM851980 PQI851980 QAE851980 QKA851980 QTW851980 RDS851980 RNO851980 RXK851980 SHG851980 SRC851980 TAY851980 TKU851980 TUQ851980 UEM851980 UOI851980 UYE851980 VIA851980 VRW851980 WBS851980 WLO851980 WVK851980 C917516 IY917516 SU917516 ACQ917516 AMM917516 AWI917516 BGE917516 BQA917516 BZW917516 CJS917516 CTO917516 DDK917516 DNG917516 DXC917516 EGY917516 EQU917516 FAQ917516 FKM917516 FUI917516 GEE917516 GOA917516 GXW917516 HHS917516 HRO917516 IBK917516 ILG917516 IVC917516 JEY917516 JOU917516 JYQ917516 KIM917516 KSI917516 LCE917516 LMA917516 LVW917516 MFS917516 MPO917516 MZK917516 NJG917516 NTC917516 OCY917516 OMU917516 OWQ917516 PGM917516 PQI917516 QAE917516 QKA917516 QTW917516 RDS917516 RNO917516 RXK917516 SHG917516 SRC917516 TAY917516 TKU917516 TUQ917516 UEM917516 UOI917516 UYE917516 VIA917516 VRW917516 WBS917516 WLO917516 WVK917516 C983052 IY983052 SU983052 ACQ983052 AMM983052 AWI983052 BGE983052 BQA983052 BZW983052 CJS983052 CTO983052 DDK983052 DNG983052 DXC983052 EGY983052 EQU983052 FAQ983052 FKM983052 FUI983052 GEE983052 GOA983052 GXW983052 HHS983052 HRO983052 IBK983052 ILG983052 IVC983052 JEY983052 JOU983052 JYQ983052 KIM983052 KSI983052 LCE983052 LMA983052 LVW983052 MFS983052 MPO983052 MZK983052 NJG983052 NTC983052 OCY983052 OMU983052 OWQ983052 PGM983052 PQI983052 QAE983052 QKA983052 QTW983052 RDS983052 RNO983052 RXK983052 SHG983052 SRC983052 TAY983052 TKU983052 TUQ983052 UEM983052 UOI983052 UYE983052 VIA983052 VRW983052 WBS983052 WLO983052 WVK983052">
      <formula1>C13</formula1>
      <formula2>C14</formula2>
    </dataValidation>
    <dataValidation type="list" showInputMessage="1" showErrorMessage="1" errorTitle="Input Parameter" error="Please select value from list" promptTitle="Input Parameter" prompt="Select from list"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formula1>$C$17:$C$19</formula1>
    </dataValidation>
  </dataValidations>
  <pageMargins left="0.74803149606299213" right="0.74803149606299213" top="0.51181102362204722" bottom="0.51181102362204722" header="0.51181102362204722" footer="0.35433070866141736"/>
  <pageSetup paperSize="9" fitToHeight="0" orientation="landscape" horizontalDpi="4294967292" verticalDpi="4294967292" r:id="rId1"/>
  <headerFooter alignWithMargins="0">
    <oddFooter xml:space="preserve">&amp;L&amp;F : &amp;A&amp;CPrinted at &amp;T on &amp;D&amp;RCommercial in confidence © Analysys Mason </oddFooter>
  </headerFooter>
  <rowBreaks count="3" manualBreakCount="3">
    <brk id="52" max="16383" man="1"/>
    <brk id="84" max="16383"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L17"/>
  <sheetViews>
    <sheetView showGridLines="0" defaultGridColor="0" colorId="22" zoomScaleNormal="100" workbookViewId="0">
      <pane ySplit="1" topLeftCell="A2" activePane="bottomLeft" state="frozen"/>
      <selection pane="bottomLeft"/>
    </sheetView>
  </sheetViews>
  <sheetFormatPr baseColWidth="10" defaultColWidth="12.7109375" defaultRowHeight="12"/>
  <cols>
    <col min="1" max="1" width="6.7109375" customWidth="1"/>
  </cols>
  <sheetData>
    <row r="1" spans="2:12" s="73" customFormat="1" ht="33.75" customHeight="1">
      <c r="D1" s="79" t="s">
        <v>36</v>
      </c>
      <c r="L1" s="73" t="s">
        <v>20</v>
      </c>
    </row>
    <row r="3" spans="2:12" s="95" customFormat="1">
      <c r="B3" s="126" t="s">
        <v>180</v>
      </c>
      <c r="C3" s="125"/>
      <c r="D3" s="126" t="s">
        <v>181</v>
      </c>
    </row>
    <row r="4" spans="2:12">
      <c r="B4" s="1" t="s">
        <v>37</v>
      </c>
      <c r="D4" s="1" t="s">
        <v>179</v>
      </c>
    </row>
    <row r="5" spans="2:12">
      <c r="B5" s="80">
        <v>2008</v>
      </c>
      <c r="D5" s="105">
        <v>0.16</v>
      </c>
      <c r="F5" s="10">
        <v>12</v>
      </c>
      <c r="G5" s="41" t="s">
        <v>143</v>
      </c>
    </row>
    <row r="6" spans="2:12">
      <c r="B6" s="81">
        <f>B5+1</f>
        <v>2009</v>
      </c>
      <c r="D6" s="41" t="s">
        <v>114</v>
      </c>
    </row>
    <row r="7" spans="2:12">
      <c r="B7" s="81">
        <f t="shared" ref="B7:B16" si="0">B6+1</f>
        <v>2010</v>
      </c>
    </row>
    <row r="8" spans="2:12">
      <c r="B8" s="81">
        <f t="shared" si="0"/>
        <v>2011</v>
      </c>
    </row>
    <row r="9" spans="2:12">
      <c r="B9" s="81">
        <f t="shared" si="0"/>
        <v>2012</v>
      </c>
    </row>
    <row r="10" spans="2:12">
      <c r="B10" s="81">
        <f t="shared" si="0"/>
        <v>2013</v>
      </c>
    </row>
    <row r="11" spans="2:12" s="95" customFormat="1">
      <c r="B11" s="81">
        <f t="shared" si="0"/>
        <v>2014</v>
      </c>
    </row>
    <row r="12" spans="2:12" s="95" customFormat="1">
      <c r="B12" s="81">
        <f t="shared" si="0"/>
        <v>2015</v>
      </c>
    </row>
    <row r="13" spans="2:12">
      <c r="B13" s="81">
        <f t="shared" si="0"/>
        <v>2016</v>
      </c>
    </row>
    <row r="14" spans="2:12">
      <c r="B14" s="81">
        <f t="shared" si="0"/>
        <v>2017</v>
      </c>
    </row>
    <row r="15" spans="2:12">
      <c r="B15" s="81">
        <f t="shared" si="0"/>
        <v>2018</v>
      </c>
    </row>
    <row r="16" spans="2:12">
      <c r="B16" s="81">
        <f t="shared" si="0"/>
        <v>2019</v>
      </c>
    </row>
    <row r="17" spans="2:2">
      <c r="B17" s="41" t="s">
        <v>37</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L7"/>
  <sheetViews>
    <sheetView showGridLines="0" defaultGridColor="0" colorId="22" zoomScaleNormal="100" workbookViewId="0">
      <pane ySplit="1" topLeftCell="A2" activePane="bottomLeft" state="frozen"/>
      <selection pane="bottomLeft" activeCell="A2" sqref="A2"/>
    </sheetView>
  </sheetViews>
  <sheetFormatPr baseColWidth="10" defaultColWidth="12.7109375" defaultRowHeight="12"/>
  <cols>
    <col min="1" max="1" width="6.7109375" style="95" customWidth="1"/>
    <col min="2" max="3" width="12.7109375" style="95"/>
    <col min="4" max="4" width="51.5703125" style="95" bestFit="1" customWidth="1"/>
    <col min="5" max="16384" width="12.7109375" style="95"/>
  </cols>
  <sheetData>
    <row r="1" spans="2:12" s="96" customFormat="1" ht="33.75" customHeight="1">
      <c r="D1" s="98" t="s">
        <v>69</v>
      </c>
      <c r="L1" s="96" t="s">
        <v>20</v>
      </c>
    </row>
    <row r="3" spans="2:12" s="299" customFormat="1">
      <c r="B3" s="311" t="s">
        <v>834</v>
      </c>
    </row>
    <row r="4" spans="2:12" s="299" customFormat="1">
      <c r="B4" s="131" t="s">
        <v>835</v>
      </c>
    </row>
    <row r="5" spans="2:12" s="299" customFormat="1">
      <c r="D5" s="80" t="s">
        <v>838</v>
      </c>
      <c r="E5" s="307" t="s">
        <v>828</v>
      </c>
    </row>
    <row r="6" spans="2:12" s="299" customFormat="1">
      <c r="D6" s="328" t="s">
        <v>839</v>
      </c>
      <c r="E6" s="307" t="s">
        <v>830</v>
      </c>
      <c r="G6" s="132"/>
      <c r="H6" s="132"/>
    </row>
    <row r="7" spans="2:12" s="299" customFormat="1">
      <c r="D7" s="328" t="s">
        <v>838</v>
      </c>
      <c r="E7" s="307" t="s">
        <v>829</v>
      </c>
    </row>
  </sheetData>
  <dataValidations count="1">
    <dataValidation type="list" allowBlank="1" showInputMessage="1" showErrorMessage="1" sqref="D5">
      <formula1>$D$6:$D$7</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M588"/>
  <sheetViews>
    <sheetView showGridLines="0" defaultGridColor="0" colorId="22" workbookViewId="0">
      <pane ySplit="2" topLeftCell="A156" activePane="bottomLeft" state="frozen"/>
      <selection pane="bottomLeft" activeCell="F167" sqref="F167"/>
    </sheetView>
  </sheetViews>
  <sheetFormatPr baseColWidth="10" defaultColWidth="12.7109375" defaultRowHeight="12" outlineLevelRow="1"/>
  <cols>
    <col min="1" max="1" width="6.7109375" customWidth="1"/>
    <col min="3" max="3" width="19.7109375" bestFit="1" customWidth="1"/>
    <col min="4" max="4" width="25.5703125" customWidth="1"/>
    <col min="5" max="5" width="33.42578125" customWidth="1"/>
    <col min="6" max="8" width="13.28515625" bestFit="1" customWidth="1"/>
  </cols>
  <sheetData>
    <row r="1" spans="1:13" s="70" customFormat="1" ht="33.75" customHeight="1">
      <c r="A1" s="70" t="s">
        <v>20</v>
      </c>
      <c r="D1" s="139" t="s">
        <v>190</v>
      </c>
    </row>
    <row r="2" spans="1:13" s="135" customFormat="1" ht="33.75" customHeight="1">
      <c r="D2" s="74" t="s">
        <v>111</v>
      </c>
    </row>
    <row r="4" spans="1:13" s="127" customFormat="1" ht="20.25" thickBot="1">
      <c r="A4" s="128" t="s">
        <v>183</v>
      </c>
      <c r="B4" s="128"/>
      <c r="C4" s="128"/>
    </row>
    <row r="5" spans="1:13" ht="21" thickTop="1" thickBot="1">
      <c r="A5" s="77" t="s">
        <v>23</v>
      </c>
      <c r="B5" s="77"/>
      <c r="C5" s="77"/>
      <c r="D5" s="77"/>
      <c r="E5" s="77"/>
      <c r="F5" s="77"/>
      <c r="G5" s="77"/>
      <c r="H5" s="77"/>
      <c r="I5" s="77"/>
      <c r="J5" s="77"/>
      <c r="K5" s="77"/>
      <c r="L5" s="77"/>
      <c r="M5" s="77"/>
    </row>
    <row r="6" spans="1:13" ht="12.75" thickTop="1"/>
    <row r="7" spans="1:13" s="299" customFormat="1" ht="17.25" thickBot="1">
      <c r="B7" s="308" t="s">
        <v>184</v>
      </c>
      <c r="C7" s="308"/>
    </row>
    <row r="8" spans="1:13" s="299" customFormat="1" ht="18" thickTop="1" thickBot="1">
      <c r="B8" s="308" t="s">
        <v>24</v>
      </c>
      <c r="C8" s="308"/>
      <c r="D8" s="308"/>
      <c r="E8" s="308"/>
      <c r="F8" s="308"/>
      <c r="G8" s="308"/>
      <c r="H8" s="308"/>
      <c r="I8" s="308"/>
      <c r="J8" s="308"/>
      <c r="K8" s="308"/>
      <c r="L8" s="308"/>
      <c r="M8" s="308"/>
    </row>
    <row r="9" spans="1:13" s="299" customFormat="1" ht="12.75" thickTop="1"/>
    <row r="10" spans="1:13" s="299" customFormat="1">
      <c r="C10" s="309" t="s">
        <v>442</v>
      </c>
      <c r="D10" s="309" t="s">
        <v>507</v>
      </c>
      <c r="E10" s="309" t="s">
        <v>505</v>
      </c>
    </row>
    <row r="11" spans="1:13">
      <c r="C11" s="309" t="s">
        <v>503</v>
      </c>
      <c r="D11" s="309" t="s">
        <v>504</v>
      </c>
      <c r="E11" s="309" t="s">
        <v>506</v>
      </c>
    </row>
    <row r="12" spans="1:13">
      <c r="A12" s="299"/>
      <c r="C12" s="327" t="s">
        <v>443</v>
      </c>
      <c r="D12" s="304">
        <f t="array" ref="D12:D49">'7'!$J$317:$J$354</f>
        <v>12004.44</v>
      </c>
      <c r="E12" s="304">
        <f t="array" ref="E12:E49">'7'!$J$20:$J$57</f>
        <v>752.81</v>
      </c>
      <c r="H12" s="300"/>
    </row>
    <row r="13" spans="1:13" outlineLevel="1">
      <c r="A13" s="299"/>
      <c r="C13" s="87" t="s">
        <v>444</v>
      </c>
      <c r="D13" s="304">
        <v>22459.919999999998</v>
      </c>
      <c r="E13" s="304">
        <v>1397.25</v>
      </c>
    </row>
    <row r="14" spans="1:13" outlineLevel="1">
      <c r="A14" s="299"/>
      <c r="C14" s="328" t="s">
        <v>445</v>
      </c>
      <c r="D14" s="304">
        <v>22459.919999999998</v>
      </c>
      <c r="E14" s="304">
        <v>2634.1800000000003</v>
      </c>
    </row>
    <row r="15" spans="1:13" outlineLevel="1">
      <c r="A15" s="299"/>
      <c r="C15" s="329" t="s">
        <v>446</v>
      </c>
      <c r="D15" s="304">
        <v>39046.699999999997</v>
      </c>
      <c r="E15" s="304">
        <v>2475.8399999999997</v>
      </c>
    </row>
    <row r="16" spans="1:13" outlineLevel="1">
      <c r="A16" s="299"/>
      <c r="C16" s="329" t="s">
        <v>447</v>
      </c>
      <c r="D16" s="304">
        <v>46856.04</v>
      </c>
      <c r="E16" s="304">
        <v>2668.92</v>
      </c>
    </row>
    <row r="17" spans="1:5" outlineLevel="1">
      <c r="A17" s="299"/>
      <c r="C17" s="329" t="s">
        <v>448</v>
      </c>
      <c r="D17" s="304">
        <v>42919.1</v>
      </c>
      <c r="E17" s="304">
        <v>2970.9</v>
      </c>
    </row>
    <row r="18" spans="1:5" outlineLevel="1">
      <c r="A18" s="299"/>
      <c r="C18" s="329" t="s">
        <v>449</v>
      </c>
      <c r="D18" s="304">
        <v>46468.800000000003</v>
      </c>
      <c r="E18" s="304">
        <v>4217.21</v>
      </c>
    </row>
    <row r="19" spans="1:5" outlineLevel="1">
      <c r="A19" s="299"/>
      <c r="C19" s="329" t="s">
        <v>450</v>
      </c>
      <c r="D19" s="304">
        <v>70284.06</v>
      </c>
      <c r="E19" s="304">
        <v>5639.68</v>
      </c>
    </row>
    <row r="20" spans="1:5" outlineLevel="1">
      <c r="A20" s="299"/>
      <c r="C20" s="330" t="s">
        <v>833</v>
      </c>
      <c r="D20" s="304">
        <v>85512.739999999991</v>
      </c>
      <c r="E20" s="304">
        <v>5959.52</v>
      </c>
    </row>
    <row r="21" spans="1:5" outlineLevel="1">
      <c r="A21" s="299"/>
      <c r="C21" s="330" t="s">
        <v>452</v>
      </c>
      <c r="D21" s="304">
        <v>447577.32</v>
      </c>
      <c r="E21" s="304">
        <v>22348.2</v>
      </c>
    </row>
    <row r="22" spans="1:5" outlineLevel="1">
      <c r="A22" s="299"/>
      <c r="C22" s="330" t="s">
        <v>27</v>
      </c>
      <c r="D22" s="304">
        <v>464165.88</v>
      </c>
      <c r="E22" s="304">
        <v>41893.5</v>
      </c>
    </row>
    <row r="23" spans="1:5" outlineLevel="1">
      <c r="A23" s="299"/>
      <c r="C23" s="330" t="s">
        <v>28</v>
      </c>
      <c r="D23" s="304">
        <v>1152629.3799999999</v>
      </c>
      <c r="E23" s="304">
        <v>178151</v>
      </c>
    </row>
    <row r="24" spans="1:5" outlineLevel="1">
      <c r="A24" s="299"/>
      <c r="C24" s="329" t="s">
        <v>453</v>
      </c>
      <c r="D24" s="304">
        <v>2203255.6799999997</v>
      </c>
      <c r="E24" s="304">
        <v>554121.6</v>
      </c>
    </row>
    <row r="25" spans="1:5" outlineLevel="1">
      <c r="A25" s="299"/>
      <c r="C25" s="329" t="s">
        <v>454</v>
      </c>
      <c r="D25" s="304">
        <v>6081903.7000000002</v>
      </c>
      <c r="E25" s="304">
        <v>1168850.25</v>
      </c>
    </row>
    <row r="26" spans="1:5" outlineLevel="1">
      <c r="A26" s="299"/>
      <c r="C26" s="329" t="s">
        <v>455</v>
      </c>
      <c r="D26" s="304">
        <v>8904825.0399999991</v>
      </c>
      <c r="E26" s="304">
        <v>5396913.5</v>
      </c>
    </row>
    <row r="27" spans="1:5" outlineLevel="1">
      <c r="A27" s="299"/>
      <c r="C27" s="329" t="s">
        <v>456</v>
      </c>
      <c r="D27" s="304">
        <v>39658602.240000002</v>
      </c>
      <c r="E27" s="304">
        <v>22765162.399999999</v>
      </c>
    </row>
    <row r="28" spans="1:5" outlineLevel="1">
      <c r="A28" s="299"/>
      <c r="C28" s="327" t="s">
        <v>457</v>
      </c>
      <c r="D28" s="304">
        <v>262500</v>
      </c>
      <c r="E28" s="304">
        <v>18500</v>
      </c>
    </row>
    <row r="29" spans="1:5" outlineLevel="1">
      <c r="A29" s="299"/>
      <c r="C29" s="329" t="s">
        <v>458</v>
      </c>
      <c r="D29" s="304">
        <v>290000</v>
      </c>
      <c r="E29" s="304">
        <v>19125</v>
      </c>
    </row>
    <row r="30" spans="1:5" outlineLevel="1">
      <c r="A30" s="299"/>
      <c r="C30" s="329" t="s">
        <v>459</v>
      </c>
      <c r="D30" s="304">
        <v>190000</v>
      </c>
      <c r="E30" s="304">
        <v>25330</v>
      </c>
    </row>
    <row r="31" spans="1:5" outlineLevel="1">
      <c r="A31" s="299"/>
      <c r="C31" s="329" t="s">
        <v>460</v>
      </c>
      <c r="D31" s="304">
        <v>322500</v>
      </c>
      <c r="E31" s="304">
        <v>31126</v>
      </c>
    </row>
    <row r="32" spans="1:5" outlineLevel="1">
      <c r="A32" s="299"/>
      <c r="C32" s="328" t="s">
        <v>461</v>
      </c>
      <c r="D32" s="304">
        <v>325000</v>
      </c>
      <c r="E32" s="304">
        <v>55440</v>
      </c>
    </row>
    <row r="33" spans="1:5" outlineLevel="1">
      <c r="A33" s="299"/>
      <c r="C33" s="328" t="s">
        <v>462</v>
      </c>
      <c r="D33" s="304">
        <v>195000</v>
      </c>
      <c r="E33" s="304">
        <v>42252</v>
      </c>
    </row>
    <row r="34" spans="1:5" outlineLevel="1">
      <c r="A34" s="299"/>
      <c r="C34" s="328" t="s">
        <v>463</v>
      </c>
      <c r="D34" s="304">
        <v>187500</v>
      </c>
      <c r="E34" s="304">
        <v>51324</v>
      </c>
    </row>
    <row r="35" spans="1:5" outlineLevel="1">
      <c r="A35" s="299"/>
      <c r="C35" s="328" t="s">
        <v>464</v>
      </c>
      <c r="D35" s="304">
        <v>307500</v>
      </c>
      <c r="E35" s="304">
        <v>63612.000000000007</v>
      </c>
    </row>
    <row r="36" spans="1:5" outlineLevel="1">
      <c r="A36" s="299"/>
      <c r="C36" s="328" t="s">
        <v>465</v>
      </c>
      <c r="D36" s="304">
        <v>175000</v>
      </c>
      <c r="E36" s="304">
        <v>46136</v>
      </c>
    </row>
    <row r="37" spans="1:5" outlineLevel="1">
      <c r="A37" s="299"/>
      <c r="C37" s="328" t="s">
        <v>466</v>
      </c>
      <c r="D37" s="304">
        <v>420000</v>
      </c>
      <c r="E37" s="304">
        <v>56550</v>
      </c>
    </row>
    <row r="38" spans="1:5" outlineLevel="1">
      <c r="A38" s="299"/>
      <c r="C38" s="328" t="s">
        <v>467</v>
      </c>
      <c r="D38" s="304">
        <v>425000</v>
      </c>
      <c r="E38" s="304">
        <v>79514</v>
      </c>
    </row>
    <row r="39" spans="1:5" outlineLevel="1">
      <c r="A39" s="299"/>
      <c r="C39" s="328" t="s">
        <v>468</v>
      </c>
      <c r="D39" s="304">
        <v>555000</v>
      </c>
      <c r="E39" s="304">
        <v>117696</v>
      </c>
    </row>
    <row r="40" spans="1:5" outlineLevel="1">
      <c r="A40" s="299"/>
      <c r="C40" s="328" t="s">
        <v>469</v>
      </c>
      <c r="D40" s="304">
        <v>490000</v>
      </c>
      <c r="E40" s="304">
        <v>105120</v>
      </c>
    </row>
    <row r="41" spans="1:5" outlineLevel="1">
      <c r="A41" s="299"/>
      <c r="C41" s="328" t="s">
        <v>470</v>
      </c>
      <c r="D41" s="304">
        <v>485000</v>
      </c>
      <c r="E41" s="304">
        <v>147295</v>
      </c>
    </row>
    <row r="42" spans="1:5" outlineLevel="1">
      <c r="A42" s="299"/>
      <c r="C42" s="328" t="s">
        <v>471</v>
      </c>
      <c r="D42" s="304">
        <v>520000</v>
      </c>
      <c r="E42" s="304">
        <v>157164</v>
      </c>
    </row>
    <row r="43" spans="1:5" outlineLevel="1">
      <c r="A43" s="299"/>
      <c r="C43" s="328" t="s">
        <v>472</v>
      </c>
      <c r="D43" s="304">
        <v>400000</v>
      </c>
      <c r="E43" s="304">
        <v>235604.99999999997</v>
      </c>
    </row>
    <row r="44" spans="1:5" outlineLevel="1">
      <c r="A44" s="299"/>
      <c r="C44" s="328" t="s">
        <v>473</v>
      </c>
      <c r="D44" s="304">
        <v>475000</v>
      </c>
      <c r="E44" s="304">
        <v>174800</v>
      </c>
    </row>
    <row r="45" spans="1:5" outlineLevel="1">
      <c r="A45" s="299"/>
      <c r="C45" s="328" t="s">
        <v>474</v>
      </c>
      <c r="D45" s="304">
        <v>505000</v>
      </c>
      <c r="E45" s="304">
        <v>176050</v>
      </c>
    </row>
    <row r="46" spans="1:5" outlineLevel="1">
      <c r="A46" s="299"/>
      <c r="C46" s="328" t="s">
        <v>475</v>
      </c>
      <c r="D46" s="304">
        <v>545000</v>
      </c>
      <c r="E46" s="304">
        <v>281087</v>
      </c>
    </row>
    <row r="47" spans="1:5" outlineLevel="1">
      <c r="A47" s="299"/>
      <c r="C47" s="328" t="s">
        <v>476</v>
      </c>
      <c r="D47" s="304">
        <v>635000</v>
      </c>
      <c r="E47" s="304">
        <v>209095</v>
      </c>
    </row>
    <row r="48" spans="1:5" outlineLevel="1">
      <c r="A48" s="299"/>
      <c r="C48" s="328" t="s">
        <v>477</v>
      </c>
      <c r="D48" s="304">
        <v>555000</v>
      </c>
      <c r="E48" s="304">
        <v>467649</v>
      </c>
    </row>
    <row r="49" spans="1:13">
      <c r="A49" s="299"/>
      <c r="C49" s="328" t="s">
        <v>478</v>
      </c>
      <c r="D49" s="304">
        <v>480000</v>
      </c>
      <c r="E49" s="304">
        <v>522313</v>
      </c>
    </row>
    <row r="50" spans="1:13">
      <c r="A50" s="299"/>
      <c r="C50" s="307" t="s">
        <v>481</v>
      </c>
      <c r="F50" s="307" t="s">
        <v>122</v>
      </c>
    </row>
    <row r="52" spans="1:13" s="299" customFormat="1"/>
    <row r="53" spans="1:13" ht="17.25" thickBot="1">
      <c r="B53" s="308" t="s">
        <v>512</v>
      </c>
      <c r="C53" s="308"/>
      <c r="D53" s="308"/>
      <c r="E53" s="308"/>
    </row>
    <row r="54" spans="1:13" ht="18" thickTop="1" thickBot="1">
      <c r="B54" s="308" t="s">
        <v>513</v>
      </c>
      <c r="C54" s="308"/>
      <c r="D54" s="308"/>
      <c r="E54" s="308"/>
      <c r="F54" s="308"/>
      <c r="G54" s="308"/>
      <c r="H54" s="308"/>
      <c r="I54" s="308"/>
      <c r="J54" s="308"/>
      <c r="K54" s="308"/>
      <c r="L54" s="308"/>
      <c r="M54" s="308"/>
    </row>
    <row r="55" spans="1:13" ht="12.75" thickTop="1"/>
    <row r="56" spans="1:13" s="299" customFormat="1" ht="36">
      <c r="C56" s="309" t="s">
        <v>442</v>
      </c>
      <c r="D56"/>
      <c r="E56" s="309" t="s">
        <v>514</v>
      </c>
      <c r="F56" s="309" t="s">
        <v>516</v>
      </c>
      <c r="G56" s="309" t="s">
        <v>517</v>
      </c>
      <c r="H56" s="309" t="s">
        <v>518</v>
      </c>
    </row>
    <row r="57" spans="1:13" s="299" customFormat="1" ht="36">
      <c r="C57" s="309" t="s">
        <v>503</v>
      </c>
      <c r="D57"/>
      <c r="E57" s="309" t="s">
        <v>515</v>
      </c>
      <c r="F57" s="309" t="s">
        <v>519</v>
      </c>
      <c r="G57" s="309" t="s">
        <v>520</v>
      </c>
      <c r="H57" s="309" t="s">
        <v>521</v>
      </c>
    </row>
    <row r="58" spans="1:13" s="299" customFormat="1">
      <c r="C58" s="518" t="s">
        <v>443</v>
      </c>
      <c r="D58" s="329" t="s">
        <v>508</v>
      </c>
      <c r="E58" s="468">
        <f t="array" ref="E58:E133">'7'!$K$66:$K$141</f>
        <v>426.7</v>
      </c>
      <c r="F58" s="468">
        <f t="array" ref="F58:F133">'7'!$Y$66:$Y$141</f>
        <v>942.30000000000007</v>
      </c>
      <c r="G58" s="468">
        <f t="array" ref="G58:G133">'7'!$AM$66:$AM$141</f>
        <v>2386.3200000000002</v>
      </c>
      <c r="H58" s="468">
        <f t="array" ref="H58:H133">'7'!$BA$66:$BA$141</f>
        <v>3273.69</v>
      </c>
      <c r="L58"/>
      <c r="M58"/>
    </row>
    <row r="59" spans="1:13" s="299" customFormat="1">
      <c r="C59" s="519"/>
      <c r="D59" s="329" t="s">
        <v>509</v>
      </c>
      <c r="E59" s="468">
        <v>11.44</v>
      </c>
      <c r="F59" s="468">
        <v>10.799999999999999</v>
      </c>
      <c r="G59" s="468">
        <v>3.63</v>
      </c>
      <c r="H59" s="468">
        <v>3.18</v>
      </c>
      <c r="L59"/>
      <c r="M59"/>
    </row>
    <row r="60" spans="1:13" s="299" customFormat="1" outlineLevel="1">
      <c r="C60" s="520" t="s">
        <v>444</v>
      </c>
      <c r="D60" s="329" t="s">
        <v>508</v>
      </c>
      <c r="E60" s="468">
        <v>725.8</v>
      </c>
      <c r="F60" s="468">
        <v>2467.6</v>
      </c>
      <c r="G60" s="468">
        <v>4196.82</v>
      </c>
      <c r="H60" s="468">
        <v>5122.46</v>
      </c>
      <c r="L60"/>
      <c r="M60"/>
    </row>
    <row r="61" spans="1:13" s="299" customFormat="1" outlineLevel="1">
      <c r="C61" s="521"/>
      <c r="D61" s="329" t="s">
        <v>509</v>
      </c>
      <c r="E61" s="468">
        <v>30.96</v>
      </c>
      <c r="F61" s="468">
        <v>12.58</v>
      </c>
      <c r="G61" s="468">
        <v>8.26</v>
      </c>
      <c r="H61" s="468">
        <v>6.5</v>
      </c>
      <c r="L61"/>
      <c r="M61"/>
    </row>
    <row r="62" spans="1:13" s="299" customFormat="1" outlineLevel="1">
      <c r="C62" s="522" t="s">
        <v>445</v>
      </c>
      <c r="D62" s="329" t="s">
        <v>508</v>
      </c>
      <c r="E62" s="468">
        <v>1262.52</v>
      </c>
      <c r="F62" s="468">
        <v>3113.55</v>
      </c>
      <c r="G62" s="468">
        <v>5137.4399999999996</v>
      </c>
      <c r="H62" s="468">
        <v>7138</v>
      </c>
      <c r="L62"/>
      <c r="M62"/>
    </row>
    <row r="63" spans="1:13" s="299" customFormat="1" outlineLevel="1">
      <c r="C63" s="523"/>
      <c r="D63" s="329" t="s">
        <v>509</v>
      </c>
      <c r="E63" s="468">
        <v>26.64</v>
      </c>
      <c r="F63" s="468">
        <v>25.48</v>
      </c>
      <c r="G63" s="468">
        <v>9.9</v>
      </c>
      <c r="H63" s="468">
        <v>8.1199999999999992</v>
      </c>
      <c r="L63"/>
      <c r="M63"/>
    </row>
    <row r="64" spans="1:13" s="299" customFormat="1" outlineLevel="1">
      <c r="C64" s="522" t="s">
        <v>446</v>
      </c>
      <c r="D64" s="329" t="s">
        <v>508</v>
      </c>
      <c r="E64" s="468">
        <v>2747.01</v>
      </c>
      <c r="F64" s="468">
        <v>3308.36</v>
      </c>
      <c r="G64" s="468">
        <v>8897.6400000000012</v>
      </c>
      <c r="H64" s="468">
        <v>13180.2</v>
      </c>
      <c r="L64"/>
      <c r="M64"/>
    </row>
    <row r="65" spans="3:13" s="299" customFormat="1" outlineLevel="1">
      <c r="C65" s="523"/>
      <c r="D65" s="329" t="s">
        <v>509</v>
      </c>
      <c r="E65" s="468">
        <v>60.18</v>
      </c>
      <c r="F65" s="468">
        <v>42.18</v>
      </c>
      <c r="G65" s="468">
        <v>12.6</v>
      </c>
      <c r="H65" s="468">
        <v>11.200000000000001</v>
      </c>
      <c r="L65"/>
      <c r="M65"/>
    </row>
    <row r="66" spans="3:13" s="299" customFormat="1" outlineLevel="1">
      <c r="C66" s="522" t="s">
        <v>447</v>
      </c>
      <c r="D66" s="329" t="s">
        <v>508</v>
      </c>
      <c r="E66" s="468">
        <v>3866.1300000000006</v>
      </c>
      <c r="F66" s="468">
        <v>5405.7</v>
      </c>
      <c r="G66" s="468">
        <v>12425.52</v>
      </c>
      <c r="H66" s="468">
        <v>22827.1</v>
      </c>
      <c r="L66"/>
      <c r="M66"/>
    </row>
    <row r="67" spans="3:13" s="299" customFormat="1" outlineLevel="1">
      <c r="C67" s="523"/>
      <c r="D67" s="329" t="s">
        <v>509</v>
      </c>
      <c r="E67" s="468">
        <v>102.06</v>
      </c>
      <c r="F67" s="468">
        <v>64.800000000000011</v>
      </c>
      <c r="G67" s="468">
        <v>22.08</v>
      </c>
      <c r="H67" s="468">
        <v>13.12</v>
      </c>
      <c r="L67"/>
      <c r="M67"/>
    </row>
    <row r="68" spans="3:13" s="299" customFormat="1" outlineLevel="1">
      <c r="C68" s="522" t="s">
        <v>448</v>
      </c>
      <c r="D68" s="329" t="s">
        <v>508</v>
      </c>
      <c r="E68" s="468">
        <v>5090.12</v>
      </c>
      <c r="F68" s="468">
        <v>13001.91</v>
      </c>
      <c r="G68" s="468">
        <v>13031.9</v>
      </c>
      <c r="H68" s="468">
        <v>33117.919999999998</v>
      </c>
      <c r="L68"/>
      <c r="M68"/>
    </row>
    <row r="69" spans="3:13" s="299" customFormat="1" outlineLevel="1">
      <c r="C69" s="523"/>
      <c r="D69" s="329" t="s">
        <v>509</v>
      </c>
      <c r="E69" s="468">
        <v>102.12</v>
      </c>
      <c r="F69" s="468">
        <v>82</v>
      </c>
      <c r="G69" s="468">
        <v>38.130000000000003</v>
      </c>
      <c r="H69" s="468">
        <v>24.86</v>
      </c>
      <c r="L69"/>
      <c r="M69"/>
    </row>
    <row r="70" spans="3:13" s="299" customFormat="1" outlineLevel="1">
      <c r="C70" s="522" t="s">
        <v>449</v>
      </c>
      <c r="D70" s="329" t="s">
        <v>508</v>
      </c>
      <c r="E70" s="468">
        <v>5877.12</v>
      </c>
      <c r="F70" s="468">
        <v>12980.52</v>
      </c>
      <c r="G70" s="468">
        <v>30847.7</v>
      </c>
      <c r="H70" s="468">
        <v>27256.800000000003</v>
      </c>
      <c r="L70"/>
      <c r="M70"/>
    </row>
    <row r="71" spans="3:13" s="299" customFormat="1" outlineLevel="1">
      <c r="C71" s="523"/>
      <c r="D71" s="329" t="s">
        <v>509</v>
      </c>
      <c r="E71" s="468">
        <v>103.6</v>
      </c>
      <c r="F71" s="468">
        <v>104</v>
      </c>
      <c r="G71" s="468">
        <v>50.8</v>
      </c>
      <c r="H71" s="468">
        <v>34.51</v>
      </c>
      <c r="L71"/>
      <c r="M71"/>
    </row>
    <row r="72" spans="3:13" s="299" customFormat="1" outlineLevel="1">
      <c r="C72" s="522" t="s">
        <v>450</v>
      </c>
      <c r="D72" s="329" t="s">
        <v>508</v>
      </c>
      <c r="E72" s="468">
        <v>8483.8799999999992</v>
      </c>
      <c r="F72" s="468">
        <v>13282.1</v>
      </c>
      <c r="G72" s="468">
        <v>36339.660000000003</v>
      </c>
      <c r="H72" s="468">
        <v>39776.639999999999</v>
      </c>
      <c r="L72"/>
      <c r="M72"/>
    </row>
    <row r="73" spans="3:13" s="299" customFormat="1" outlineLevel="1">
      <c r="C73" s="523"/>
      <c r="D73" s="329" t="s">
        <v>509</v>
      </c>
      <c r="E73" s="468">
        <v>130.9</v>
      </c>
      <c r="F73" s="468">
        <v>163.80000000000001</v>
      </c>
      <c r="G73" s="468">
        <v>36.96</v>
      </c>
      <c r="H73" s="468">
        <v>31.150000000000002</v>
      </c>
      <c r="L73"/>
      <c r="M73"/>
    </row>
    <row r="74" spans="3:13" s="299" customFormat="1" outlineLevel="1">
      <c r="C74" s="524" t="s">
        <v>451</v>
      </c>
      <c r="D74" s="329" t="s">
        <v>508</v>
      </c>
      <c r="E74" s="468">
        <v>11899.199999999999</v>
      </c>
      <c r="F74" s="468">
        <v>26245.8</v>
      </c>
      <c r="G74" s="468">
        <v>50898.9</v>
      </c>
      <c r="H74" s="468">
        <v>59646.240000000005</v>
      </c>
      <c r="L74"/>
      <c r="M74"/>
    </row>
    <row r="75" spans="3:13" s="299" customFormat="1" outlineLevel="1">
      <c r="C75" s="525"/>
      <c r="D75" s="329" t="s">
        <v>509</v>
      </c>
      <c r="E75" s="468">
        <v>264.41999999999996</v>
      </c>
      <c r="F75" s="468">
        <v>211.68</v>
      </c>
      <c r="G75" s="468">
        <v>48.64</v>
      </c>
      <c r="H75" s="468">
        <v>47.84</v>
      </c>
      <c r="L75"/>
      <c r="M75"/>
    </row>
    <row r="76" spans="3:13" s="299" customFormat="1" outlineLevel="1">
      <c r="C76" s="524" t="s">
        <v>510</v>
      </c>
      <c r="D76" s="329" t="s">
        <v>508</v>
      </c>
      <c r="E76" s="468">
        <v>32921.119999999995</v>
      </c>
      <c r="F76" s="468">
        <v>82486.8</v>
      </c>
      <c r="G76" s="468">
        <v>191066.63999999998</v>
      </c>
      <c r="H76" s="468">
        <v>271721.76</v>
      </c>
      <c r="L76"/>
      <c r="M76"/>
    </row>
    <row r="77" spans="3:13" s="299" customFormat="1" outlineLevel="1">
      <c r="C77" s="525"/>
      <c r="D77" s="329" t="s">
        <v>509</v>
      </c>
      <c r="E77" s="468">
        <v>786.48</v>
      </c>
      <c r="F77" s="468">
        <v>551.04</v>
      </c>
      <c r="G77" s="468">
        <v>291.83999999999997</v>
      </c>
      <c r="H77" s="468">
        <v>163.76</v>
      </c>
      <c r="L77"/>
      <c r="M77"/>
    </row>
    <row r="78" spans="3:13" s="299" customFormat="1" outlineLevel="1">
      <c r="C78" s="524" t="s">
        <v>27</v>
      </c>
      <c r="D78" s="329" t="s">
        <v>508</v>
      </c>
      <c r="E78" s="468">
        <v>137916.12</v>
      </c>
      <c r="F78" s="468">
        <v>169487.28</v>
      </c>
      <c r="G78" s="468">
        <v>177795.48</v>
      </c>
      <c r="H78" s="468">
        <v>202720.08</v>
      </c>
      <c r="L78"/>
      <c r="M78"/>
    </row>
    <row r="79" spans="3:13" s="299" customFormat="1" outlineLevel="1">
      <c r="C79" s="525"/>
      <c r="D79" s="329" t="s">
        <v>509</v>
      </c>
      <c r="E79" s="468">
        <v>243.8956</v>
      </c>
      <c r="F79" s="468">
        <v>165.21959999999999</v>
      </c>
      <c r="G79" s="468">
        <v>178.9879</v>
      </c>
      <c r="H79" s="468">
        <v>236.02799999999999</v>
      </c>
      <c r="L79"/>
      <c r="M79"/>
    </row>
    <row r="80" spans="3:13" s="299" customFormat="1" outlineLevel="1">
      <c r="C80" s="524" t="s">
        <v>28</v>
      </c>
      <c r="D80" s="329" t="s">
        <v>508</v>
      </c>
      <c r="E80" s="468">
        <v>336621.60000000003</v>
      </c>
      <c r="F80" s="468">
        <v>304562.39999999997</v>
      </c>
      <c r="G80" s="468">
        <v>310974.24</v>
      </c>
      <c r="H80" s="468">
        <v>323797.92</v>
      </c>
      <c r="L80"/>
      <c r="M80"/>
    </row>
    <row r="81" spans="3:13" s="299" customFormat="1" outlineLevel="1">
      <c r="C81" s="525"/>
      <c r="D81" s="329" t="s">
        <v>509</v>
      </c>
      <c r="E81" s="468">
        <v>352.92570000000001</v>
      </c>
      <c r="F81" s="468">
        <v>330.15629999999999</v>
      </c>
      <c r="G81" s="468">
        <v>288.41239999999999</v>
      </c>
      <c r="H81" s="468">
        <v>402.25940000000003</v>
      </c>
      <c r="L81"/>
      <c r="M81"/>
    </row>
    <row r="82" spans="3:13" s="299" customFormat="1" outlineLevel="1">
      <c r="C82" s="526" t="s">
        <v>453</v>
      </c>
      <c r="D82" s="329" t="s">
        <v>508</v>
      </c>
      <c r="E82" s="468">
        <v>703763.20000000007</v>
      </c>
      <c r="F82" s="468">
        <v>785450</v>
      </c>
      <c r="G82" s="468">
        <v>785450</v>
      </c>
      <c r="H82" s="468">
        <v>534106</v>
      </c>
      <c r="L82"/>
      <c r="M82"/>
    </row>
    <row r="83" spans="3:13" s="299" customFormat="1" outlineLevel="1">
      <c r="C83" s="527"/>
      <c r="D83" s="329" t="s">
        <v>509</v>
      </c>
      <c r="E83" s="468">
        <v>669.42</v>
      </c>
      <c r="F83" s="468">
        <v>825.61800000000005</v>
      </c>
      <c r="G83" s="468">
        <v>557.84999999999991</v>
      </c>
      <c r="H83" s="468">
        <v>565.28800000000001</v>
      </c>
      <c r="L83"/>
      <c r="M83"/>
    </row>
    <row r="84" spans="3:13" s="299" customFormat="1" outlineLevel="1">
      <c r="C84" s="526" t="s">
        <v>454</v>
      </c>
      <c r="D84" s="329" t="s">
        <v>508</v>
      </c>
      <c r="E84" s="468">
        <v>1193884</v>
      </c>
      <c r="F84" s="468">
        <v>1712281.0000000002</v>
      </c>
      <c r="G84" s="468">
        <v>1115339</v>
      </c>
      <c r="H84" s="468">
        <v>1932207</v>
      </c>
      <c r="L84"/>
      <c r="M84"/>
    </row>
    <row r="85" spans="3:13" s="299" customFormat="1" outlineLevel="1">
      <c r="C85" s="527"/>
      <c r="D85" s="329" t="s">
        <v>509</v>
      </c>
      <c r="E85" s="468">
        <v>1376.03</v>
      </c>
      <c r="F85" s="468">
        <v>2101.2349999999997</v>
      </c>
      <c r="G85" s="468">
        <v>2268.59</v>
      </c>
      <c r="H85" s="468">
        <v>1506.1950000000002</v>
      </c>
      <c r="L85"/>
      <c r="M85"/>
    </row>
    <row r="86" spans="3:13" s="299" customFormat="1" outlineLevel="1">
      <c r="C86" s="526" t="s">
        <v>455</v>
      </c>
      <c r="D86" s="329" t="s">
        <v>508</v>
      </c>
      <c r="E86" s="468">
        <v>4646722.2</v>
      </c>
      <c r="F86" s="468">
        <v>4005795</v>
      </c>
      <c r="G86" s="468">
        <v>4593311.5999999996</v>
      </c>
      <c r="H86" s="468">
        <v>5608113</v>
      </c>
      <c r="L86"/>
      <c r="M86"/>
    </row>
    <row r="87" spans="3:13" s="299" customFormat="1" outlineLevel="1">
      <c r="C87" s="527"/>
      <c r="D87" s="329" t="s">
        <v>509</v>
      </c>
      <c r="E87" s="468">
        <v>8218.6</v>
      </c>
      <c r="F87" s="468">
        <v>4551.84</v>
      </c>
      <c r="G87" s="468">
        <v>7396.74</v>
      </c>
      <c r="H87" s="468">
        <v>8092.16</v>
      </c>
      <c r="L87"/>
      <c r="M87"/>
    </row>
    <row r="88" spans="3:13" s="299" customFormat="1" outlineLevel="1">
      <c r="C88" s="526" t="s">
        <v>456</v>
      </c>
      <c r="D88" s="329" t="s">
        <v>508</v>
      </c>
      <c r="E88" s="468">
        <v>17305034.400000002</v>
      </c>
      <c r="F88" s="468">
        <v>21364240</v>
      </c>
      <c r="G88" s="468">
        <v>27346227.199999999</v>
      </c>
      <c r="H88" s="468">
        <v>20082385.599999998</v>
      </c>
      <c r="L88"/>
      <c r="M88"/>
    </row>
    <row r="89" spans="3:13" s="299" customFormat="1" outlineLevel="1">
      <c r="C89" s="527"/>
      <c r="D89" s="329" t="s">
        <v>509</v>
      </c>
      <c r="E89" s="468">
        <v>19977.52</v>
      </c>
      <c r="F89" s="468">
        <v>22000.560000000001</v>
      </c>
      <c r="G89" s="468">
        <v>19471.760000000002</v>
      </c>
      <c r="H89" s="468">
        <v>22000.560000000001</v>
      </c>
      <c r="L89"/>
      <c r="M89"/>
    </row>
    <row r="90" spans="3:13" s="299" customFormat="1" ht="36" outlineLevel="1">
      <c r="C90" s="520" t="s">
        <v>457</v>
      </c>
      <c r="D90" s="329" t="s">
        <v>508</v>
      </c>
      <c r="E90" s="468" t="str">
        <v>Igual a cobro por enlace local</v>
      </c>
      <c r="F90" s="468" t="str">
        <v>Igual a cobro por enlace local</v>
      </c>
      <c r="G90" s="468" t="str">
        <v>Igual a cobro por enlace local</v>
      </c>
      <c r="H90" s="468" t="str">
        <v>Igual a cobro por enlace local</v>
      </c>
      <c r="L90"/>
      <c r="M90"/>
    </row>
    <row r="91" spans="3:13" s="299" customFormat="1" outlineLevel="1">
      <c r="C91" s="521"/>
      <c r="D91" s="329" t="s">
        <v>511</v>
      </c>
      <c r="E91" s="468">
        <v>129.95999999999998</v>
      </c>
      <c r="F91" s="468">
        <v>102.60000000000001</v>
      </c>
      <c r="G91" s="468">
        <v>126.54</v>
      </c>
      <c r="H91" s="468">
        <v>96.899999999999991</v>
      </c>
      <c r="L91"/>
      <c r="M91"/>
    </row>
    <row r="92" spans="3:13" s="299" customFormat="1" ht="36" outlineLevel="1">
      <c r="C92" s="522" t="s">
        <v>458</v>
      </c>
      <c r="D92" s="329" t="s">
        <v>508</v>
      </c>
      <c r="E92" s="468" t="str">
        <v>Igual a cobro por enlace local</v>
      </c>
      <c r="F92" s="468" t="str">
        <v>Igual a cobro por enlace local</v>
      </c>
      <c r="G92" s="468" t="str">
        <v>Igual a cobro por enlace local</v>
      </c>
      <c r="H92" s="468" t="str">
        <v>Igual a cobro por enlace local</v>
      </c>
      <c r="L92"/>
      <c r="M92"/>
    </row>
    <row r="93" spans="3:13" s="299" customFormat="1" outlineLevel="1">
      <c r="C93" s="553"/>
      <c r="D93" s="329" t="s">
        <v>511</v>
      </c>
      <c r="E93" s="468">
        <v>127.2</v>
      </c>
      <c r="F93" s="468">
        <v>88.8</v>
      </c>
      <c r="G93" s="468">
        <v>145.19999999999999</v>
      </c>
      <c r="H93" s="468">
        <v>111.60000000000001</v>
      </c>
      <c r="L93"/>
      <c r="M93"/>
    </row>
    <row r="94" spans="3:13" s="299" customFormat="1" ht="36" outlineLevel="1">
      <c r="C94" s="522" t="s">
        <v>459</v>
      </c>
      <c r="D94" s="329" t="s">
        <v>508</v>
      </c>
      <c r="E94" s="468" t="str">
        <v>Igual a cobro por enlace local</v>
      </c>
      <c r="F94" s="468" t="str">
        <v>Igual a cobro por enlace local</v>
      </c>
      <c r="G94" s="468" t="str">
        <v>Igual a cobro por enlace local</v>
      </c>
      <c r="H94" s="468" t="str">
        <v>Igual a cobro por enlace local</v>
      </c>
      <c r="L94"/>
      <c r="M94"/>
    </row>
    <row r="95" spans="3:13" s="299" customFormat="1" outlineLevel="1">
      <c r="C95" s="523"/>
      <c r="D95" s="329" t="s">
        <v>511</v>
      </c>
      <c r="E95" s="468">
        <v>121.8</v>
      </c>
      <c r="F95" s="468">
        <v>121.8</v>
      </c>
      <c r="G95" s="468">
        <v>114.8</v>
      </c>
      <c r="H95" s="468">
        <v>163.79999999999998</v>
      </c>
      <c r="L95"/>
      <c r="M95"/>
    </row>
    <row r="96" spans="3:13" s="299" customFormat="1" ht="36" outlineLevel="1">
      <c r="C96" s="522" t="s">
        <v>460</v>
      </c>
      <c r="D96" s="329" t="s">
        <v>508</v>
      </c>
      <c r="E96" s="468" t="str">
        <v>Igual a cobro por enlace local</v>
      </c>
      <c r="F96" s="468" t="str">
        <v>Igual a cobro por enlace local</v>
      </c>
      <c r="G96" s="468" t="str">
        <v>Igual a cobro por enlace local</v>
      </c>
      <c r="H96" s="468" t="str">
        <v>Igual a cobro por enlace local</v>
      </c>
      <c r="L96"/>
      <c r="M96"/>
    </row>
    <row r="97" spans="3:13" s="299" customFormat="1" outlineLevel="1">
      <c r="C97" s="523"/>
      <c r="D97" s="329" t="s">
        <v>511</v>
      </c>
      <c r="E97" s="468">
        <v>182.51999999999998</v>
      </c>
      <c r="F97" s="468">
        <v>141.96</v>
      </c>
      <c r="G97" s="468">
        <v>118.56</v>
      </c>
      <c r="H97" s="468">
        <v>185.64</v>
      </c>
      <c r="L97"/>
      <c r="M97"/>
    </row>
    <row r="98" spans="3:13" s="299" customFormat="1" ht="36" outlineLevel="1">
      <c r="C98" s="522" t="s">
        <v>461</v>
      </c>
      <c r="D98" s="329" t="s">
        <v>508</v>
      </c>
      <c r="E98" s="468" t="str">
        <v>Igual a cobro por enlace local</v>
      </c>
      <c r="F98" s="468" t="str">
        <v>Igual a cobro por enlace local</v>
      </c>
      <c r="G98" s="468" t="str">
        <v>Igual a cobro por enlace local</v>
      </c>
      <c r="H98" s="468" t="str">
        <v>Igual a cobro por enlace local</v>
      </c>
      <c r="L98"/>
      <c r="M98"/>
    </row>
    <row r="99" spans="3:13" s="299" customFormat="1" outlineLevel="1">
      <c r="C99" s="523"/>
      <c r="D99" s="329" t="s">
        <v>511</v>
      </c>
      <c r="E99" s="468">
        <v>196.20000000000002</v>
      </c>
      <c r="F99" s="468">
        <v>183.6</v>
      </c>
      <c r="G99" s="468">
        <v>189</v>
      </c>
      <c r="H99" s="468">
        <v>169.2</v>
      </c>
      <c r="L99"/>
      <c r="M99"/>
    </row>
    <row r="100" spans="3:13" s="299" customFormat="1" ht="36" outlineLevel="1">
      <c r="C100" s="522" t="s">
        <v>462</v>
      </c>
      <c r="D100" s="329" t="s">
        <v>508</v>
      </c>
      <c r="E100" s="468" t="str">
        <v>Igual a cobro por enlace local</v>
      </c>
      <c r="F100" s="468" t="str">
        <v>Igual a cobro por enlace local</v>
      </c>
      <c r="G100" s="468" t="str">
        <v>Igual a cobro por enlace local</v>
      </c>
      <c r="H100" s="468" t="str">
        <v>Igual a cobro por enlace local</v>
      </c>
      <c r="L100"/>
      <c r="M100"/>
    </row>
    <row r="101" spans="3:13" s="299" customFormat="1" outlineLevel="1">
      <c r="C101" s="523"/>
      <c r="D101" s="329" t="s">
        <v>511</v>
      </c>
      <c r="E101" s="468">
        <v>160.38000000000002</v>
      </c>
      <c r="F101" s="468">
        <v>172.26</v>
      </c>
      <c r="G101" s="468">
        <v>205.92000000000002</v>
      </c>
      <c r="H101" s="468">
        <v>172.26</v>
      </c>
      <c r="L101"/>
      <c r="M101"/>
    </row>
    <row r="102" spans="3:13" s="299" customFormat="1" ht="36" outlineLevel="1">
      <c r="C102" s="522" t="s">
        <v>463</v>
      </c>
      <c r="D102" s="329" t="s">
        <v>508</v>
      </c>
      <c r="E102" s="468" t="str">
        <v>Igual a cobro por enlace local</v>
      </c>
      <c r="F102" s="468" t="str">
        <v>Igual a cobro por enlace local</v>
      </c>
      <c r="G102" s="468" t="str">
        <v>Igual a cobro por enlace local</v>
      </c>
      <c r="H102" s="468" t="str">
        <v>Igual a cobro por enlace local</v>
      </c>
      <c r="L102"/>
      <c r="M102"/>
    </row>
    <row r="103" spans="3:13" s="299" customFormat="1" outlineLevel="1">
      <c r="C103" s="523"/>
      <c r="D103" s="329" t="s">
        <v>511</v>
      </c>
      <c r="E103" s="468">
        <v>254.1</v>
      </c>
      <c r="F103" s="468">
        <v>165.9</v>
      </c>
      <c r="G103" s="468">
        <v>168</v>
      </c>
      <c r="H103" s="468">
        <v>203.7</v>
      </c>
      <c r="L103"/>
      <c r="M103"/>
    </row>
    <row r="104" spans="3:13" s="299" customFormat="1" ht="36" outlineLevel="1">
      <c r="C104" s="522" t="s">
        <v>464</v>
      </c>
      <c r="D104" s="329" t="s">
        <v>508</v>
      </c>
      <c r="E104" s="468" t="str">
        <v>Igual a cobro por enlace local</v>
      </c>
      <c r="F104" s="468" t="str">
        <v>Igual a cobro por enlace local</v>
      </c>
      <c r="G104" s="468" t="str">
        <v>Igual a cobro por enlace local</v>
      </c>
      <c r="H104" s="468" t="str">
        <v>Igual a cobro por enlace local</v>
      </c>
      <c r="L104"/>
      <c r="M104"/>
    </row>
    <row r="105" spans="3:13" s="299" customFormat="1" outlineLevel="1">
      <c r="C105" s="523"/>
      <c r="D105" s="329" t="s">
        <v>511</v>
      </c>
      <c r="E105" s="468">
        <v>254.88</v>
      </c>
      <c r="F105" s="468">
        <v>168.48000000000002</v>
      </c>
      <c r="G105" s="468">
        <v>203.04</v>
      </c>
      <c r="H105" s="468">
        <v>235.44000000000003</v>
      </c>
      <c r="L105"/>
      <c r="M105"/>
    </row>
    <row r="106" spans="3:13" s="299" customFormat="1" ht="36" outlineLevel="1">
      <c r="C106" s="522" t="s">
        <v>465</v>
      </c>
      <c r="D106" s="329" t="s">
        <v>508</v>
      </c>
      <c r="E106" s="468" t="str">
        <v>Igual a cobro por enlace local</v>
      </c>
      <c r="F106" s="468" t="str">
        <v>Igual a cobro por enlace local</v>
      </c>
      <c r="G106" s="468" t="str">
        <v>Igual a cobro por enlace local</v>
      </c>
      <c r="H106" s="468" t="str">
        <v>Igual a cobro por enlace local</v>
      </c>
      <c r="L106"/>
      <c r="M106"/>
    </row>
    <row r="107" spans="3:13" s="299" customFormat="1" ht="15.75" customHeight="1" outlineLevel="1">
      <c r="C107" s="523"/>
      <c r="D107" s="329" t="s">
        <v>511</v>
      </c>
      <c r="E107" s="468">
        <v>189.2</v>
      </c>
      <c r="F107" s="468">
        <v>275</v>
      </c>
      <c r="G107" s="468">
        <v>213.4</v>
      </c>
      <c r="H107" s="468">
        <v>154</v>
      </c>
      <c r="L107"/>
      <c r="M107"/>
    </row>
    <row r="108" spans="3:13" s="299" customFormat="1" ht="36" outlineLevel="1">
      <c r="C108" s="522" t="s">
        <v>466</v>
      </c>
      <c r="D108" s="329" t="s">
        <v>508</v>
      </c>
      <c r="E108" s="468" t="str">
        <v>Igual a cobro por enlace local</v>
      </c>
      <c r="F108" s="468" t="str">
        <v>Igual a cobro por enlace local</v>
      </c>
      <c r="G108" s="468" t="str">
        <v>Igual a cobro por enlace local</v>
      </c>
      <c r="H108" s="468" t="str">
        <v>Igual a cobro por enlace local</v>
      </c>
      <c r="L108"/>
      <c r="M108"/>
    </row>
    <row r="109" spans="3:13" s="299" customFormat="1" outlineLevel="1">
      <c r="C109" s="523"/>
      <c r="D109" s="329" t="s">
        <v>511</v>
      </c>
      <c r="E109" s="468">
        <v>200.25</v>
      </c>
      <c r="F109" s="468">
        <v>218.25</v>
      </c>
      <c r="G109" s="468">
        <v>265.5</v>
      </c>
      <c r="H109" s="468">
        <v>285.75</v>
      </c>
      <c r="L109"/>
      <c r="M109"/>
    </row>
    <row r="110" spans="3:13" s="299" customFormat="1" ht="36" outlineLevel="1">
      <c r="C110" s="522" t="s">
        <v>467</v>
      </c>
      <c r="D110" s="329" t="s">
        <v>508</v>
      </c>
      <c r="E110" s="468" t="str">
        <v>Igual a cobro por enlace local</v>
      </c>
      <c r="F110" s="468" t="str">
        <v>Igual a cobro por enlace local</v>
      </c>
      <c r="G110" s="468" t="str">
        <v>Igual a cobro por enlace local</v>
      </c>
      <c r="H110" s="468" t="str">
        <v>Igual a cobro por enlace local</v>
      </c>
      <c r="L110"/>
      <c r="M110"/>
    </row>
    <row r="111" spans="3:13" s="299" customFormat="1" outlineLevel="1">
      <c r="C111" s="523"/>
      <c r="D111" s="329" t="s">
        <v>511</v>
      </c>
      <c r="E111" s="468">
        <v>318.14999999999998</v>
      </c>
      <c r="F111" s="468">
        <v>261.45</v>
      </c>
      <c r="G111" s="468">
        <v>286.65000000000003</v>
      </c>
      <c r="H111" s="468">
        <v>384.3</v>
      </c>
      <c r="L111"/>
      <c r="M111"/>
    </row>
    <row r="112" spans="3:13" s="299" customFormat="1" ht="36" outlineLevel="1">
      <c r="C112" s="522" t="s">
        <v>468</v>
      </c>
      <c r="D112" s="329" t="s">
        <v>508</v>
      </c>
      <c r="E112" s="468" t="str">
        <v>Igual a cobro por enlace local</v>
      </c>
      <c r="F112" s="468" t="str">
        <v>Igual a cobro por enlace local</v>
      </c>
      <c r="G112" s="468" t="str">
        <v>Igual a cobro por enlace local</v>
      </c>
      <c r="H112" s="468" t="str">
        <v>Igual a cobro por enlace local</v>
      </c>
      <c r="L112"/>
      <c r="M112"/>
    </row>
    <row r="113" spans="3:13" s="299" customFormat="1" outlineLevel="1">
      <c r="C113" s="523"/>
      <c r="D113" s="329" t="s">
        <v>511</v>
      </c>
      <c r="E113" s="468">
        <v>529.20000000000005</v>
      </c>
      <c r="F113" s="468">
        <v>323.40000000000003</v>
      </c>
      <c r="G113" s="468">
        <v>432.6</v>
      </c>
      <c r="H113" s="468">
        <v>336</v>
      </c>
      <c r="L113"/>
      <c r="M113"/>
    </row>
    <row r="114" spans="3:13" s="299" customFormat="1" ht="36" outlineLevel="1">
      <c r="C114" s="522" t="s">
        <v>469</v>
      </c>
      <c r="D114" s="329" t="s">
        <v>508</v>
      </c>
      <c r="E114" s="468" t="str">
        <v>Igual a cobro por enlace local</v>
      </c>
      <c r="F114" s="468" t="str">
        <v>Igual a cobro por enlace local</v>
      </c>
      <c r="G114" s="468" t="str">
        <v>Igual a cobro por enlace local</v>
      </c>
      <c r="H114" s="468" t="str">
        <v>Igual a cobro por enlace local</v>
      </c>
      <c r="L114"/>
      <c r="M114"/>
    </row>
    <row r="115" spans="3:13" s="299" customFormat="1" outlineLevel="1">
      <c r="C115" s="523"/>
      <c r="D115" s="329" t="s">
        <v>511</v>
      </c>
      <c r="E115" s="468">
        <v>551.43999999999994</v>
      </c>
      <c r="F115" s="468">
        <v>541.68000000000006</v>
      </c>
      <c r="G115" s="468">
        <v>448.96000000000004</v>
      </c>
      <c r="H115" s="468">
        <v>483.12</v>
      </c>
      <c r="L115"/>
      <c r="M115"/>
    </row>
    <row r="116" spans="3:13" s="299" customFormat="1" ht="36" outlineLevel="1">
      <c r="C116" s="522" t="s">
        <v>470</v>
      </c>
      <c r="D116" s="329" t="s">
        <v>508</v>
      </c>
      <c r="E116" s="468" t="str">
        <v>Igual a cobro por enlace local</v>
      </c>
      <c r="F116" s="468" t="str">
        <v>Igual a cobro por enlace local</v>
      </c>
      <c r="G116" s="468" t="str">
        <v>Igual a cobro por enlace local</v>
      </c>
      <c r="H116" s="468" t="str">
        <v>Igual a cobro por enlace local</v>
      </c>
      <c r="L116"/>
      <c r="M116"/>
    </row>
    <row r="117" spans="3:13" s="299" customFormat="1" outlineLevel="1">
      <c r="C117" s="523"/>
      <c r="D117" s="329" t="s">
        <v>511</v>
      </c>
      <c r="E117" s="468">
        <v>579.15</v>
      </c>
      <c r="F117" s="468">
        <v>520.65</v>
      </c>
      <c r="G117" s="468">
        <v>514.79999999999995</v>
      </c>
      <c r="H117" s="468">
        <v>690.3</v>
      </c>
      <c r="L117"/>
      <c r="M117"/>
    </row>
    <row r="118" spans="3:13" s="299" customFormat="1" ht="36" outlineLevel="1">
      <c r="C118" s="522" t="s">
        <v>471</v>
      </c>
      <c r="D118" s="329" t="s">
        <v>508</v>
      </c>
      <c r="E118" s="468" t="str">
        <v>Igual a cobro por enlace local</v>
      </c>
      <c r="F118" s="468" t="str">
        <v>Igual a cobro por enlace local</v>
      </c>
      <c r="G118" s="468" t="str">
        <v>Igual a cobro por enlace local</v>
      </c>
      <c r="H118" s="468" t="str">
        <v>Igual a cobro por enlace local</v>
      </c>
      <c r="L118"/>
      <c r="M118"/>
    </row>
    <row r="119" spans="3:13" s="299" customFormat="1" outlineLevel="1">
      <c r="C119" s="523"/>
      <c r="D119" s="329" t="s">
        <v>511</v>
      </c>
      <c r="E119" s="468">
        <v>792.28</v>
      </c>
      <c r="F119" s="468">
        <v>648.85</v>
      </c>
      <c r="G119" s="468">
        <v>853.75</v>
      </c>
      <c r="H119" s="468">
        <v>826.43</v>
      </c>
      <c r="L119"/>
      <c r="M119"/>
    </row>
    <row r="120" spans="3:13" s="299" customFormat="1" ht="36" outlineLevel="1">
      <c r="C120" s="522" t="s">
        <v>472</v>
      </c>
      <c r="D120" s="329" t="s">
        <v>508</v>
      </c>
      <c r="E120" s="468" t="str">
        <v>Igual a cobro por enlace local</v>
      </c>
      <c r="F120" s="468" t="str">
        <v>Igual a cobro por enlace local</v>
      </c>
      <c r="G120" s="468" t="str">
        <v>Igual a cobro por enlace local</v>
      </c>
      <c r="H120" s="468" t="str">
        <v>Igual a cobro por enlace local</v>
      </c>
      <c r="L120"/>
      <c r="M120"/>
    </row>
    <row r="121" spans="3:13" s="299" customFormat="1" outlineLevel="1">
      <c r="C121" s="523"/>
      <c r="D121" s="329" t="s">
        <v>511</v>
      </c>
      <c r="E121" s="468">
        <v>686.4</v>
      </c>
      <c r="F121" s="468">
        <v>655.19999999999993</v>
      </c>
      <c r="G121" s="468">
        <v>748.8</v>
      </c>
      <c r="H121" s="468">
        <v>647.4</v>
      </c>
      <c r="L121"/>
      <c r="M121"/>
    </row>
    <row r="122" spans="3:13" s="299" customFormat="1" ht="36" outlineLevel="1">
      <c r="C122" s="522" t="s">
        <v>473</v>
      </c>
      <c r="D122" s="329" t="s">
        <v>508</v>
      </c>
      <c r="E122" s="468" t="str">
        <v>Igual a cobro por enlace local</v>
      </c>
      <c r="F122" s="468" t="str">
        <v>Igual a cobro por enlace local</v>
      </c>
      <c r="G122" s="468" t="str">
        <v>Igual a cobro por enlace local</v>
      </c>
      <c r="H122" s="468" t="str">
        <v>Igual a cobro por enlace local</v>
      </c>
      <c r="L122"/>
      <c r="M122"/>
    </row>
    <row r="123" spans="3:13" s="299" customFormat="1" outlineLevel="1">
      <c r="C123" s="523"/>
      <c r="D123" s="329" t="s">
        <v>511</v>
      </c>
      <c r="E123" s="468">
        <v>763.86</v>
      </c>
      <c r="F123" s="468">
        <v>623.38</v>
      </c>
      <c r="G123" s="468">
        <v>1115.06</v>
      </c>
      <c r="H123" s="468">
        <v>851.66</v>
      </c>
      <c r="L123"/>
      <c r="M123"/>
    </row>
    <row r="124" spans="3:13" s="299" customFormat="1" ht="36" outlineLevel="1">
      <c r="C124" s="522" t="s">
        <v>474</v>
      </c>
      <c r="D124" s="329" t="s">
        <v>508</v>
      </c>
      <c r="E124" s="468" t="str">
        <v>Igual a cobro por enlace local</v>
      </c>
      <c r="F124" s="468" t="str">
        <v>Igual a cobro por enlace local</v>
      </c>
      <c r="G124" s="468" t="str">
        <v>Igual a cobro por enlace local</v>
      </c>
      <c r="H124" s="468" t="str">
        <v>Igual a cobro por enlace local</v>
      </c>
      <c r="L124"/>
      <c r="M124"/>
    </row>
    <row r="125" spans="3:13" s="299" customFormat="1" outlineLevel="1">
      <c r="C125" s="523"/>
      <c r="D125" s="329" t="s">
        <v>511</v>
      </c>
      <c r="E125" s="468">
        <v>1153.26</v>
      </c>
      <c r="F125" s="468">
        <v>1063.8599999999999</v>
      </c>
      <c r="G125" s="468">
        <v>697.32</v>
      </c>
      <c r="H125" s="468">
        <v>938.7</v>
      </c>
      <c r="L125"/>
      <c r="M125"/>
    </row>
    <row r="126" spans="3:13" s="299" customFormat="1" ht="36" outlineLevel="1">
      <c r="C126" s="522" t="s">
        <v>475</v>
      </c>
      <c r="D126" s="329" t="s">
        <v>508</v>
      </c>
      <c r="E126" s="468" t="str">
        <v>Igual a cobro por enlace local</v>
      </c>
      <c r="F126" s="468" t="str">
        <v>Igual a cobro por enlace local</v>
      </c>
      <c r="G126" s="468" t="str">
        <v>Igual a cobro por enlace local</v>
      </c>
      <c r="H126" s="468" t="str">
        <v>Igual a cobro por enlace local</v>
      </c>
      <c r="L126"/>
      <c r="M126"/>
    </row>
    <row r="127" spans="3:13" s="299" customFormat="1" outlineLevel="1">
      <c r="C127" s="523"/>
      <c r="D127" s="329" t="s">
        <v>511</v>
      </c>
      <c r="E127" s="468">
        <v>1238.58</v>
      </c>
      <c r="F127" s="468">
        <v>747.08</v>
      </c>
      <c r="G127" s="468">
        <v>1022.32</v>
      </c>
      <c r="H127" s="468">
        <v>914.19</v>
      </c>
      <c r="L127"/>
      <c r="M127"/>
    </row>
    <row r="128" spans="3:13" s="299" customFormat="1" ht="36" outlineLevel="1">
      <c r="C128" s="522" t="s">
        <v>476</v>
      </c>
      <c r="D128" s="329" t="s">
        <v>508</v>
      </c>
      <c r="E128" s="468" t="str">
        <v>Igual a cobro por enlace local</v>
      </c>
      <c r="F128" s="468" t="str">
        <v>Igual a cobro por enlace local</v>
      </c>
      <c r="G128" s="468" t="str">
        <v>Igual a cobro por enlace local</v>
      </c>
      <c r="H128" s="468" t="str">
        <v>Igual a cobro por enlace local</v>
      </c>
      <c r="L128"/>
      <c r="M128"/>
    </row>
    <row r="129" spans="3:13" s="299" customFormat="1" outlineLevel="1">
      <c r="C129" s="523"/>
      <c r="D129" s="329" t="s">
        <v>511</v>
      </c>
      <c r="E129" s="468">
        <v>1180.3000000000002</v>
      </c>
      <c r="F129" s="468">
        <v>1394.9</v>
      </c>
      <c r="G129" s="468">
        <v>751.09999999999991</v>
      </c>
      <c r="H129" s="468">
        <v>1233.9499999999998</v>
      </c>
      <c r="L129"/>
      <c r="M129"/>
    </row>
    <row r="130" spans="3:13" s="299" customFormat="1" ht="36" outlineLevel="1">
      <c r="C130" s="522" t="s">
        <v>477</v>
      </c>
      <c r="D130" s="329" t="s">
        <v>508</v>
      </c>
      <c r="E130" s="468" t="str">
        <v>Igual a cobro por enlace local</v>
      </c>
      <c r="F130" s="468" t="str">
        <v>Igual a cobro por enlace local</v>
      </c>
      <c r="G130" s="468" t="str">
        <v>Igual a cobro por enlace local</v>
      </c>
      <c r="H130" s="468" t="str">
        <v>Igual a cobro por enlace local</v>
      </c>
      <c r="L130"/>
      <c r="M130"/>
    </row>
    <row r="131" spans="3:13" s="299" customFormat="1" outlineLevel="1">
      <c r="C131" s="523"/>
      <c r="D131" s="329" t="s">
        <v>511</v>
      </c>
      <c r="E131" s="468">
        <v>1059.3900000000001</v>
      </c>
      <c r="F131" s="468">
        <v>1434.8700000000001</v>
      </c>
      <c r="G131" s="468">
        <v>1287.3599999999999</v>
      </c>
      <c r="H131" s="468">
        <v>1139.8499999999999</v>
      </c>
      <c r="L131"/>
      <c r="M131"/>
    </row>
    <row r="132" spans="3:13" s="299" customFormat="1" ht="36">
      <c r="C132" s="522" t="s">
        <v>478</v>
      </c>
      <c r="D132" s="329" t="s">
        <v>508</v>
      </c>
      <c r="E132" s="468" t="str">
        <v>Igual a cobro por enlace local</v>
      </c>
      <c r="F132" s="468" t="str">
        <v>Igual a cobro por enlace local</v>
      </c>
      <c r="G132" s="468" t="str">
        <v>Igual a cobro por enlace local</v>
      </c>
      <c r="H132" s="468" t="str">
        <v>Igual a cobro por enlace local</v>
      </c>
      <c r="L132"/>
      <c r="M132"/>
    </row>
    <row r="133" spans="3:13" s="299" customFormat="1">
      <c r="C133" s="523"/>
      <c r="D133" s="329" t="s">
        <v>511</v>
      </c>
      <c r="E133" s="468">
        <v>1186.25</v>
      </c>
      <c r="F133" s="468">
        <v>2015</v>
      </c>
      <c r="G133" s="468">
        <v>1998.75</v>
      </c>
      <c r="H133" s="468">
        <v>1283.75</v>
      </c>
      <c r="L133"/>
      <c r="M133"/>
    </row>
    <row r="134" spans="3:13" s="299" customFormat="1"/>
    <row r="135" spans="3:13" s="299" customFormat="1"/>
    <row r="136" spans="3:13" s="299" customFormat="1" ht="24">
      <c r="D136" s="309" t="s">
        <v>526</v>
      </c>
    </row>
    <row r="137" spans="3:13" s="299" customFormat="1" ht="24">
      <c r="D137" s="309" t="s">
        <v>522</v>
      </c>
    </row>
    <row r="138" spans="3:13" s="299" customFormat="1">
      <c r="C138" s="310" t="str">
        <f t="array" ref="C138:C175">LL.list</f>
        <v>64 kbps</v>
      </c>
      <c r="D138" s="304">
        <f t="array" ref="D138:D175">'7'!$W$317:$W$354</f>
        <v>3688</v>
      </c>
    </row>
    <row r="139" spans="3:13" s="299" customFormat="1" outlineLevel="1">
      <c r="C139" s="310" t="str">
        <v>128 kbps</v>
      </c>
      <c r="D139" s="304">
        <v>5372.5</v>
      </c>
    </row>
    <row r="140" spans="3:13" s="299" customFormat="1" outlineLevel="1">
      <c r="C140" s="310" t="str">
        <v>192 kbps</v>
      </c>
      <c r="D140" s="304">
        <v>2183.7200000000003</v>
      </c>
    </row>
    <row r="141" spans="3:13" s="299" customFormat="1" outlineLevel="1">
      <c r="C141" s="310" t="str">
        <v>256 kbps</v>
      </c>
      <c r="D141" s="304">
        <v>4428.4799999999996</v>
      </c>
    </row>
    <row r="142" spans="3:13" s="299" customFormat="1" outlineLevel="1">
      <c r="C142" s="310" t="str">
        <v>384 kbps</v>
      </c>
      <c r="D142" s="304">
        <v>6264.6</v>
      </c>
    </row>
    <row r="143" spans="3:13" s="299" customFormat="1" outlineLevel="1">
      <c r="C143" s="310" t="str">
        <v>512 kbps</v>
      </c>
      <c r="D143" s="304">
        <v>7544.16</v>
      </c>
    </row>
    <row r="144" spans="3:13" s="299" customFormat="1" outlineLevel="1">
      <c r="C144" s="310" t="str">
        <v>768 kbps</v>
      </c>
      <c r="D144" s="304">
        <v>4785.5999999999995</v>
      </c>
    </row>
    <row r="145" spans="3:4" s="299" customFormat="1" outlineLevel="1">
      <c r="C145" s="310" t="str">
        <v>1024 kbps</v>
      </c>
      <c r="D145" s="304">
        <v>6920.2400000000007</v>
      </c>
    </row>
    <row r="146" spans="3:4" s="299" customFormat="1" outlineLevel="1">
      <c r="C146" s="331" t="str">
        <v>E1 (2.04 Mbps)</v>
      </c>
      <c r="D146" s="304">
        <v>9834.4000000000015</v>
      </c>
    </row>
    <row r="147" spans="3:4" s="299" customFormat="1" outlineLevel="1">
      <c r="C147" s="331" t="str">
        <v>E2 *</v>
      </c>
      <c r="D147" s="304">
        <v>39829.32</v>
      </c>
    </row>
    <row r="148" spans="3:4" s="299" customFormat="1" outlineLevel="1">
      <c r="C148" s="331" t="str">
        <v>E3 (34 Mbps)</v>
      </c>
      <c r="D148" s="304">
        <v>20380.29</v>
      </c>
    </row>
    <row r="149" spans="3:4" s="299" customFormat="1" outlineLevel="1">
      <c r="C149" s="331" t="str">
        <v>STM-1 (155 Mbps)</v>
      </c>
      <c r="D149" s="304">
        <v>353957.94</v>
      </c>
    </row>
    <row r="150" spans="3:4" s="299" customFormat="1" outlineLevel="1">
      <c r="C150" s="310" t="str">
        <v>STM-4 (622.08 Mbps)</v>
      </c>
      <c r="D150" s="304">
        <v>1080148.77</v>
      </c>
    </row>
    <row r="151" spans="3:4" s="299" customFormat="1" outlineLevel="1">
      <c r="C151" s="310" t="str">
        <v>STM-16 (2488.32Mbps)</v>
      </c>
      <c r="D151" s="304">
        <v>2767048.19</v>
      </c>
    </row>
    <row r="152" spans="3:4" s="299" customFormat="1" outlineLevel="1">
      <c r="C152" s="310" t="str">
        <v>STM-64 (9953.28Mbps)</v>
      </c>
      <c r="D152" s="304">
        <v>4571337.12</v>
      </c>
    </row>
    <row r="153" spans="3:4" s="299" customFormat="1" outlineLevel="1">
      <c r="C153" s="310" t="str">
        <v>STM-256 (39813.12 Mbps)*</v>
      </c>
      <c r="D153" s="304">
        <v>20897541.120000001</v>
      </c>
    </row>
    <row r="154" spans="3:4" s="299" customFormat="1" outlineLevel="1">
      <c r="C154" s="310" t="str">
        <v>Ethernet (10Mbps)</v>
      </c>
      <c r="D154" s="304">
        <v>127500</v>
      </c>
    </row>
    <row r="155" spans="3:4" s="299" customFormat="1" outlineLevel="1">
      <c r="C155" s="310" t="str">
        <v>Ethernet (20Mbps)</v>
      </c>
      <c r="D155" s="304">
        <v>161250</v>
      </c>
    </row>
    <row r="156" spans="3:4" s="299" customFormat="1" outlineLevel="1">
      <c r="C156" s="310" t="str">
        <v>Ethernet (30Mbps)</v>
      </c>
      <c r="D156" s="304">
        <v>133750</v>
      </c>
    </row>
    <row r="157" spans="3:4" s="299" customFormat="1" outlineLevel="1">
      <c r="C157" s="310" t="str">
        <v>Ethernet (40Mbps)</v>
      </c>
      <c r="D157" s="304">
        <v>122500</v>
      </c>
    </row>
    <row r="158" spans="3:4" s="299" customFormat="1" outlineLevel="1">
      <c r="C158" s="310" t="str">
        <v>Ethernet (50Mbps)</v>
      </c>
      <c r="D158" s="304">
        <v>102500</v>
      </c>
    </row>
    <row r="159" spans="3:4" s="299" customFormat="1" outlineLevel="1">
      <c r="C159" s="310" t="str">
        <v>Ethernet (60Mbps)</v>
      </c>
      <c r="D159" s="304">
        <v>116250</v>
      </c>
    </row>
    <row r="160" spans="3:4" s="299" customFormat="1" outlineLevel="1">
      <c r="C160" s="310" t="str">
        <v>Ethernet (70Mbps)</v>
      </c>
      <c r="D160" s="304">
        <v>106250</v>
      </c>
    </row>
    <row r="161" spans="3:12" s="299" customFormat="1" outlineLevel="1">
      <c r="C161" s="310" t="str">
        <v>Ethernet (80Mbps)</v>
      </c>
      <c r="D161" s="304">
        <v>103750</v>
      </c>
    </row>
    <row r="162" spans="3:12" s="299" customFormat="1" outlineLevel="1">
      <c r="C162" s="310" t="str">
        <v>Ethernet (90Mbps)</v>
      </c>
      <c r="D162" s="304">
        <v>106250</v>
      </c>
    </row>
    <row r="163" spans="3:12" s="299" customFormat="1" outlineLevel="1">
      <c r="C163" s="310" t="str">
        <v>GigaEthernet (100Mbps)</v>
      </c>
      <c r="D163" s="304">
        <v>240000</v>
      </c>
    </row>
    <row r="164" spans="3:12" s="299" customFormat="1" outlineLevel="1">
      <c r="C164" s="310" t="str">
        <v>GigaEthernet (150Mbps)</v>
      </c>
      <c r="D164" s="304">
        <v>212500</v>
      </c>
    </row>
    <row r="165" spans="3:12" s="299" customFormat="1" outlineLevel="1">
      <c r="C165" s="310" t="str">
        <v>GigaEthernet (200Mbps)</v>
      </c>
      <c r="D165" s="304">
        <v>230000</v>
      </c>
    </row>
    <row r="166" spans="3:12" s="299" customFormat="1" outlineLevel="1">
      <c r="C166" s="310" t="str">
        <v>GigaEthernet (250Mbps)</v>
      </c>
      <c r="D166" s="304">
        <v>297500</v>
      </c>
    </row>
    <row r="167" spans="3:12" s="299" customFormat="1" outlineLevel="1">
      <c r="C167" s="310" t="str">
        <v>GigaEthernet (300Mbps)</v>
      </c>
      <c r="D167" s="304">
        <v>245000</v>
      </c>
    </row>
    <row r="168" spans="3:12" s="299" customFormat="1" outlineLevel="1">
      <c r="C168" s="310" t="str">
        <v>GigaEthernet (350Mbps)</v>
      </c>
      <c r="D168" s="304">
        <v>190000</v>
      </c>
    </row>
    <row r="169" spans="3:12" s="299" customFormat="1" outlineLevel="1">
      <c r="C169" s="310" t="str">
        <v>GigaEthernet (400Mbps)</v>
      </c>
      <c r="D169" s="304">
        <v>247500</v>
      </c>
    </row>
    <row r="170" spans="3:12" s="299" customFormat="1" outlineLevel="1">
      <c r="C170" s="310" t="str">
        <v>GigaEthernet (450Mbps)</v>
      </c>
      <c r="D170" s="304">
        <v>247500</v>
      </c>
    </row>
    <row r="171" spans="3:12" s="299" customFormat="1" outlineLevel="1">
      <c r="C171" s="310" t="str">
        <v>GigaEthernet (500Mbps)</v>
      </c>
      <c r="D171" s="304">
        <v>210000</v>
      </c>
    </row>
    <row r="172" spans="3:12" s="299" customFormat="1" outlineLevel="1">
      <c r="C172" s="310" t="str">
        <v>GigaEthernet (550Mbps)</v>
      </c>
      <c r="D172" s="304">
        <v>322500</v>
      </c>
      <c r="E172" s="554"/>
      <c r="F172" s="554"/>
      <c r="G172" s="554"/>
      <c r="H172" s="554"/>
      <c r="I172" s="554"/>
      <c r="J172" s="554"/>
      <c r="K172" s="554"/>
      <c r="L172" s="554"/>
    </row>
    <row r="173" spans="3:12" s="299" customFormat="1" outlineLevel="1">
      <c r="C173" s="310" t="str">
        <v>GigaEthernet (600Mbps)</v>
      </c>
      <c r="D173" s="304">
        <v>230000</v>
      </c>
      <c r="E173" s="555"/>
      <c r="F173" s="555"/>
      <c r="G173" s="555"/>
      <c r="H173" s="555"/>
      <c r="I173" s="555"/>
      <c r="J173" s="555"/>
      <c r="K173" s="555"/>
      <c r="L173" s="555"/>
    </row>
    <row r="174" spans="3:12" s="299" customFormat="1" outlineLevel="1">
      <c r="C174" s="310" t="str">
        <v>GigaEthernet (750Mbps)</v>
      </c>
      <c r="D174" s="304">
        <v>310000</v>
      </c>
      <c r="E174" s="556"/>
      <c r="F174" s="556"/>
      <c r="G174" s="556"/>
      <c r="H174" s="556"/>
      <c r="I174" s="556"/>
      <c r="J174" s="556"/>
      <c r="K174" s="556"/>
      <c r="L174" s="556"/>
    </row>
    <row r="175" spans="3:12" s="299" customFormat="1">
      <c r="C175" s="310" t="str">
        <v>GigaEthernet (1 Gbps)</v>
      </c>
      <c r="D175" s="304">
        <v>187500</v>
      </c>
      <c r="E175" s="557"/>
      <c r="F175" s="557"/>
      <c r="G175" s="557"/>
      <c r="H175" s="557"/>
      <c r="I175" s="557"/>
      <c r="J175" s="557"/>
      <c r="K175" s="557"/>
      <c r="L175" s="557"/>
    </row>
    <row r="176" spans="3:12" s="299" customFormat="1">
      <c r="E176" s="555"/>
      <c r="F176" s="555"/>
      <c r="G176" s="555"/>
      <c r="H176" s="555"/>
      <c r="I176" s="555"/>
      <c r="J176" s="555"/>
      <c r="K176" s="555"/>
      <c r="L176" s="555"/>
    </row>
    <row r="177" spans="1:12" s="299" customFormat="1">
      <c r="E177" s="556"/>
      <c r="F177" s="556"/>
      <c r="G177" s="556"/>
      <c r="H177" s="556"/>
      <c r="I177" s="556"/>
      <c r="J177" s="556"/>
      <c r="K177" s="556"/>
      <c r="L177" s="556"/>
    </row>
    <row r="178" spans="1:12" s="299" customFormat="1">
      <c r="E178" s="558" t="s">
        <v>186</v>
      </c>
      <c r="F178" s="559"/>
      <c r="G178" s="559"/>
      <c r="H178" s="559"/>
      <c r="I178" s="559"/>
      <c r="J178" s="559"/>
      <c r="K178" s="559"/>
      <c r="L178" s="560"/>
    </row>
    <row r="179" spans="1:12" s="299" customFormat="1">
      <c r="D179" s="309" t="s">
        <v>185</v>
      </c>
      <c r="E179" s="548" t="s">
        <v>30</v>
      </c>
      <c r="F179" s="549"/>
      <c r="G179" s="548" t="s">
        <v>115</v>
      </c>
      <c r="H179" s="549"/>
      <c r="I179" s="548" t="s">
        <v>116</v>
      </c>
      <c r="J179" s="549"/>
      <c r="K179" s="548" t="s">
        <v>117</v>
      </c>
      <c r="L179" s="549"/>
    </row>
    <row r="180" spans="1:12" s="299" customFormat="1">
      <c r="E180" s="309" t="s">
        <v>187</v>
      </c>
      <c r="F180" s="309" t="s">
        <v>188</v>
      </c>
      <c r="G180" s="309" t="s">
        <v>187</v>
      </c>
      <c r="H180" s="309" t="s">
        <v>188</v>
      </c>
      <c r="I180" s="309" t="s">
        <v>187</v>
      </c>
      <c r="J180" s="309" t="s">
        <v>188</v>
      </c>
      <c r="K180" s="309" t="s">
        <v>187</v>
      </c>
      <c r="L180" s="309" t="s">
        <v>188</v>
      </c>
    </row>
    <row r="181" spans="1:12" s="299" customFormat="1">
      <c r="D181" s="129"/>
      <c r="E181" s="543" t="s">
        <v>26</v>
      </c>
      <c r="F181" s="544"/>
      <c r="G181" s="538"/>
      <c r="H181" s="538"/>
      <c r="I181" s="538"/>
      <c r="J181" s="538"/>
      <c r="K181" s="538"/>
      <c r="L181" s="547"/>
    </row>
    <row r="182" spans="1:12" s="299" customFormat="1">
      <c r="D182" s="309" t="s">
        <v>25</v>
      </c>
      <c r="E182" s="548" t="s">
        <v>30</v>
      </c>
      <c r="F182" s="549"/>
      <c r="G182" s="548" t="s">
        <v>115</v>
      </c>
      <c r="H182" s="549"/>
      <c r="I182" s="548" t="s">
        <v>116</v>
      </c>
      <c r="J182" s="549"/>
      <c r="K182" s="548" t="s">
        <v>117</v>
      </c>
      <c r="L182" s="549"/>
    </row>
    <row r="183" spans="1:12" s="299" customFormat="1">
      <c r="E183" s="545" t="s">
        <v>31</v>
      </c>
      <c r="F183" s="545" t="s">
        <v>32</v>
      </c>
      <c r="G183" s="545" t="s">
        <v>31</v>
      </c>
      <c r="H183" s="545" t="s">
        <v>32</v>
      </c>
      <c r="I183" s="545" t="s">
        <v>31</v>
      </c>
      <c r="J183" s="545" t="s">
        <v>32</v>
      </c>
      <c r="K183" s="545" t="s">
        <v>31</v>
      </c>
      <c r="L183" s="545" t="s">
        <v>32</v>
      </c>
    </row>
    <row r="184" spans="1:12" s="299" customFormat="1">
      <c r="A184"/>
      <c r="C184" s="310" t="str">
        <f t="array" ref="C184:C221">LL.list</f>
        <v>64 kbps</v>
      </c>
      <c r="D184" s="302">
        <f t="array" ref="D184:D221">D138:D175</f>
        <v>3688</v>
      </c>
      <c r="E184" s="304">
        <f>$E58</f>
        <v>426.7</v>
      </c>
      <c r="F184" s="302">
        <f>$E59</f>
        <v>11.44</v>
      </c>
      <c r="G184" s="304">
        <f>$F58</f>
        <v>942.30000000000007</v>
      </c>
      <c r="H184" s="302">
        <f>$F59</f>
        <v>10.799999999999999</v>
      </c>
      <c r="I184" s="304">
        <f>$G58</f>
        <v>2386.3200000000002</v>
      </c>
      <c r="J184" s="302">
        <f>$G59</f>
        <v>3.63</v>
      </c>
      <c r="K184" s="304">
        <f>$H58</f>
        <v>3273.69</v>
      </c>
      <c r="L184" s="302">
        <f>$H59</f>
        <v>3.18</v>
      </c>
    </row>
    <row r="185" spans="1:12" s="299" customFormat="1" outlineLevel="1">
      <c r="A185"/>
      <c r="C185" s="310" t="str">
        <v>128 kbps</v>
      </c>
      <c r="D185" s="302">
        <v>5372.5</v>
      </c>
      <c r="E185" s="304">
        <f>$E60</f>
        <v>725.8</v>
      </c>
      <c r="F185" s="302">
        <f>$E61</f>
        <v>30.96</v>
      </c>
      <c r="G185" s="304">
        <f>$F60</f>
        <v>2467.6</v>
      </c>
      <c r="H185" s="302">
        <f>$F61</f>
        <v>12.58</v>
      </c>
      <c r="I185" s="304">
        <f>$G60</f>
        <v>4196.82</v>
      </c>
      <c r="J185" s="302">
        <f>$G61</f>
        <v>8.26</v>
      </c>
      <c r="K185" s="304">
        <f>$H60</f>
        <v>5122.46</v>
      </c>
      <c r="L185" s="302">
        <f>$H61</f>
        <v>6.5</v>
      </c>
    </row>
    <row r="186" spans="1:12" s="299" customFormat="1" outlineLevel="1">
      <c r="A186"/>
      <c r="C186" s="310" t="str">
        <v>192 kbps</v>
      </c>
      <c r="D186" s="302">
        <v>2183.7200000000003</v>
      </c>
      <c r="E186" s="304">
        <f>$E62</f>
        <v>1262.52</v>
      </c>
      <c r="F186" s="302">
        <f>$E63</f>
        <v>26.64</v>
      </c>
      <c r="G186" s="304">
        <f>$F62</f>
        <v>3113.55</v>
      </c>
      <c r="H186" s="302">
        <f>$F63</f>
        <v>25.48</v>
      </c>
      <c r="I186" s="304">
        <f>$G62</f>
        <v>5137.4399999999996</v>
      </c>
      <c r="J186" s="302">
        <f>$G63</f>
        <v>9.9</v>
      </c>
      <c r="K186" s="304">
        <f>$H62</f>
        <v>7138</v>
      </c>
      <c r="L186" s="302">
        <f>$H63</f>
        <v>8.1199999999999992</v>
      </c>
    </row>
    <row r="187" spans="1:12" s="299" customFormat="1" outlineLevel="1">
      <c r="A187"/>
      <c r="C187" s="310" t="str">
        <v>256 kbps</v>
      </c>
      <c r="D187" s="302">
        <v>4428.4799999999996</v>
      </c>
      <c r="E187" s="304">
        <f>$E64</f>
        <v>2747.01</v>
      </c>
      <c r="F187" s="302">
        <f>$E65</f>
        <v>60.18</v>
      </c>
      <c r="G187" s="304">
        <f>$F64</f>
        <v>3308.36</v>
      </c>
      <c r="H187" s="302">
        <f>$F65</f>
        <v>42.18</v>
      </c>
      <c r="I187" s="304">
        <f>$G64</f>
        <v>8897.6400000000012</v>
      </c>
      <c r="J187" s="302">
        <f>$G65</f>
        <v>12.6</v>
      </c>
      <c r="K187" s="304">
        <f>$H64</f>
        <v>13180.2</v>
      </c>
      <c r="L187" s="302">
        <f>$H65</f>
        <v>11.200000000000001</v>
      </c>
    </row>
    <row r="188" spans="1:12" s="299" customFormat="1" outlineLevel="1">
      <c r="A188"/>
      <c r="C188" s="310" t="str">
        <v>384 kbps</v>
      </c>
      <c r="D188" s="302">
        <v>6264.6</v>
      </c>
      <c r="E188" s="304">
        <f>$E66</f>
        <v>3866.1300000000006</v>
      </c>
      <c r="F188" s="302">
        <f>$E67</f>
        <v>102.06</v>
      </c>
      <c r="G188" s="304">
        <f>$F66</f>
        <v>5405.7</v>
      </c>
      <c r="H188" s="302">
        <f>$F67</f>
        <v>64.800000000000011</v>
      </c>
      <c r="I188" s="304">
        <f>$G66</f>
        <v>12425.52</v>
      </c>
      <c r="J188" s="302">
        <f>$G67</f>
        <v>22.08</v>
      </c>
      <c r="K188" s="304">
        <f>$H66</f>
        <v>22827.1</v>
      </c>
      <c r="L188" s="302">
        <f>$H67</f>
        <v>13.12</v>
      </c>
    </row>
    <row r="189" spans="1:12" outlineLevel="1">
      <c r="C189" s="310" t="str">
        <v>512 kbps</v>
      </c>
      <c r="D189" s="302">
        <v>7544.16</v>
      </c>
      <c r="E189" s="304">
        <f>$E68</f>
        <v>5090.12</v>
      </c>
      <c r="F189" s="302">
        <f>$E69</f>
        <v>102.12</v>
      </c>
      <c r="G189" s="304">
        <f>$F68</f>
        <v>13001.91</v>
      </c>
      <c r="H189" s="302">
        <f>$F69</f>
        <v>82</v>
      </c>
      <c r="I189" s="304">
        <f>$G68</f>
        <v>13031.9</v>
      </c>
      <c r="J189" s="302">
        <f>$G69</f>
        <v>38.130000000000003</v>
      </c>
      <c r="K189" s="304">
        <f>$H68</f>
        <v>33117.919999999998</v>
      </c>
      <c r="L189" s="302">
        <f>$H69</f>
        <v>24.86</v>
      </c>
    </row>
    <row r="190" spans="1:12" s="299" customFormat="1" outlineLevel="1">
      <c r="A190"/>
      <c r="C190" s="310" t="str">
        <v>768 kbps</v>
      </c>
      <c r="D190" s="302">
        <v>4785.5999999999995</v>
      </c>
      <c r="E190" s="304">
        <f>$E70</f>
        <v>5877.12</v>
      </c>
      <c r="F190" s="302">
        <f>$E71</f>
        <v>103.6</v>
      </c>
      <c r="G190" s="304">
        <f>$F70</f>
        <v>12980.52</v>
      </c>
      <c r="H190" s="302">
        <f>$F71</f>
        <v>104</v>
      </c>
      <c r="I190" s="304">
        <f>$G70</f>
        <v>30847.7</v>
      </c>
      <c r="J190" s="302">
        <f>$G71</f>
        <v>50.8</v>
      </c>
      <c r="K190" s="304">
        <f>$H70</f>
        <v>27256.800000000003</v>
      </c>
      <c r="L190" s="302">
        <f>$H71</f>
        <v>34.51</v>
      </c>
    </row>
    <row r="191" spans="1:12" s="299" customFormat="1" outlineLevel="1">
      <c r="A191"/>
      <c r="C191" s="310" t="str">
        <v>1024 kbps</v>
      </c>
      <c r="D191" s="302">
        <v>6920.2400000000007</v>
      </c>
      <c r="E191" s="304">
        <f>$E72</f>
        <v>8483.8799999999992</v>
      </c>
      <c r="F191" s="302">
        <f>$E73</f>
        <v>130.9</v>
      </c>
      <c r="G191" s="304">
        <f>$F72</f>
        <v>13282.1</v>
      </c>
      <c r="H191" s="302">
        <f>$F73</f>
        <v>163.80000000000001</v>
      </c>
      <c r="I191" s="304">
        <f>$G72</f>
        <v>36339.660000000003</v>
      </c>
      <c r="J191" s="302">
        <f>$G73</f>
        <v>36.96</v>
      </c>
      <c r="K191" s="304">
        <f>$H72</f>
        <v>39776.639999999999</v>
      </c>
      <c r="L191" s="302">
        <f>$H73</f>
        <v>31.150000000000002</v>
      </c>
    </row>
    <row r="192" spans="1:12" s="299" customFormat="1" outlineLevel="1">
      <c r="A192"/>
      <c r="C192" s="331" t="str">
        <v>E1 (2.04 Mbps)</v>
      </c>
      <c r="D192" s="302">
        <v>9834.4000000000015</v>
      </c>
      <c r="E192" s="304">
        <f>$E74</f>
        <v>11899.199999999999</v>
      </c>
      <c r="F192" s="302">
        <f>$E75</f>
        <v>264.41999999999996</v>
      </c>
      <c r="G192" s="304">
        <f>$F74</f>
        <v>26245.8</v>
      </c>
      <c r="H192" s="302">
        <f>$F75</f>
        <v>211.68</v>
      </c>
      <c r="I192" s="304">
        <f>$G74</f>
        <v>50898.9</v>
      </c>
      <c r="J192" s="302">
        <f>$G75</f>
        <v>48.64</v>
      </c>
      <c r="K192" s="304">
        <f>$H74</f>
        <v>59646.240000000005</v>
      </c>
      <c r="L192" s="302">
        <f>$H75</f>
        <v>47.84</v>
      </c>
    </row>
    <row r="193" spans="1:12" s="299" customFormat="1" outlineLevel="1">
      <c r="A193"/>
      <c r="C193" s="331" t="str">
        <v>E2 *</v>
      </c>
      <c r="D193" s="302">
        <v>39829.32</v>
      </c>
      <c r="E193" s="304">
        <f>$E76</f>
        <v>32921.119999999995</v>
      </c>
      <c r="F193" s="302">
        <f>$E77</f>
        <v>786.48</v>
      </c>
      <c r="G193" s="304">
        <f>$F76</f>
        <v>82486.8</v>
      </c>
      <c r="H193" s="302">
        <f>$F77</f>
        <v>551.04</v>
      </c>
      <c r="I193" s="304">
        <f>$G76</f>
        <v>191066.63999999998</v>
      </c>
      <c r="J193" s="302">
        <f>$G77</f>
        <v>291.83999999999997</v>
      </c>
      <c r="K193" s="304">
        <f>$H76</f>
        <v>271721.76</v>
      </c>
      <c r="L193" s="302">
        <f>$H77</f>
        <v>163.76</v>
      </c>
    </row>
    <row r="194" spans="1:12" s="299" customFormat="1" outlineLevel="1">
      <c r="A194"/>
      <c r="C194" s="331" t="str">
        <v>E3 (34 Mbps)</v>
      </c>
      <c r="D194" s="302">
        <v>20380.29</v>
      </c>
      <c r="E194" s="304">
        <f>$E78</f>
        <v>137916.12</v>
      </c>
      <c r="F194" s="302">
        <f>$E79</f>
        <v>243.8956</v>
      </c>
      <c r="G194" s="304">
        <f>$F78</f>
        <v>169487.28</v>
      </c>
      <c r="H194" s="302">
        <f>$F79</f>
        <v>165.21959999999999</v>
      </c>
      <c r="I194" s="304">
        <f>$G78</f>
        <v>177795.48</v>
      </c>
      <c r="J194" s="302">
        <f>$G79</f>
        <v>178.9879</v>
      </c>
      <c r="K194" s="304">
        <f>$H78</f>
        <v>202720.08</v>
      </c>
      <c r="L194" s="302">
        <f>$H79</f>
        <v>236.02799999999999</v>
      </c>
    </row>
    <row r="195" spans="1:12" outlineLevel="1">
      <c r="C195" s="331" t="str">
        <v>STM-1 (155 Mbps)</v>
      </c>
      <c r="D195" s="302">
        <v>353957.94</v>
      </c>
      <c r="E195" s="304">
        <f>$E80</f>
        <v>336621.60000000003</v>
      </c>
      <c r="F195" s="302">
        <f>$E81</f>
        <v>352.92570000000001</v>
      </c>
      <c r="G195" s="304">
        <f>$F80</f>
        <v>304562.39999999997</v>
      </c>
      <c r="H195" s="302">
        <f>$F81</f>
        <v>330.15629999999999</v>
      </c>
      <c r="I195" s="304">
        <f>$G80</f>
        <v>310974.24</v>
      </c>
      <c r="J195" s="302">
        <f>$G81</f>
        <v>288.41239999999999</v>
      </c>
      <c r="K195" s="304">
        <f>$H80</f>
        <v>323797.92</v>
      </c>
      <c r="L195" s="302">
        <f>$H81</f>
        <v>402.25940000000003</v>
      </c>
    </row>
    <row r="196" spans="1:12" outlineLevel="1">
      <c r="C196" s="310" t="str">
        <v>STM-4 (622.08 Mbps)</v>
      </c>
      <c r="D196" s="302">
        <v>1080148.77</v>
      </c>
      <c r="E196" s="304">
        <f>$E82</f>
        <v>703763.20000000007</v>
      </c>
      <c r="F196" s="302">
        <f>$E83</f>
        <v>669.42</v>
      </c>
      <c r="G196" s="304">
        <f>$F82</f>
        <v>785450</v>
      </c>
      <c r="H196" s="302">
        <f>$F83</f>
        <v>825.61800000000005</v>
      </c>
      <c r="I196" s="304">
        <f>$G82</f>
        <v>785450</v>
      </c>
      <c r="J196" s="302">
        <f>$G83</f>
        <v>557.84999999999991</v>
      </c>
      <c r="K196" s="304">
        <f>$H82</f>
        <v>534106</v>
      </c>
      <c r="L196" s="302">
        <f>$H83</f>
        <v>565.28800000000001</v>
      </c>
    </row>
    <row r="197" spans="1:12" outlineLevel="1">
      <c r="C197" s="310" t="str">
        <v>STM-16 (2488.32Mbps)</v>
      </c>
      <c r="D197" s="302">
        <v>2767048.19</v>
      </c>
      <c r="E197" s="304">
        <f>$E84</f>
        <v>1193884</v>
      </c>
      <c r="F197" s="302">
        <f>$E85</f>
        <v>1376.03</v>
      </c>
      <c r="G197" s="304">
        <f>$F84</f>
        <v>1712281.0000000002</v>
      </c>
      <c r="H197" s="302">
        <f>$F85</f>
        <v>2101.2349999999997</v>
      </c>
      <c r="I197" s="304">
        <f>$G84</f>
        <v>1115339</v>
      </c>
      <c r="J197" s="302">
        <f>$G85</f>
        <v>2268.59</v>
      </c>
      <c r="K197" s="304">
        <f>$H84</f>
        <v>1932207</v>
      </c>
      <c r="L197" s="302">
        <f>$H85</f>
        <v>1506.1950000000002</v>
      </c>
    </row>
    <row r="198" spans="1:12" outlineLevel="1">
      <c r="C198" s="310" t="str">
        <v>STM-64 (9953.28Mbps)</v>
      </c>
      <c r="D198" s="302">
        <v>4571337.12</v>
      </c>
      <c r="E198" s="304">
        <f>$E86</f>
        <v>4646722.2</v>
      </c>
      <c r="F198" s="302">
        <f>$E87</f>
        <v>8218.6</v>
      </c>
      <c r="G198" s="304">
        <f>$F86</f>
        <v>4005795</v>
      </c>
      <c r="H198" s="302">
        <f>$F87</f>
        <v>4551.84</v>
      </c>
      <c r="I198" s="304">
        <f>$G86</f>
        <v>4593311.5999999996</v>
      </c>
      <c r="J198" s="302">
        <f>$G87</f>
        <v>7396.74</v>
      </c>
      <c r="K198" s="304">
        <f>$H86</f>
        <v>5608113</v>
      </c>
      <c r="L198" s="302">
        <f>$H87</f>
        <v>8092.16</v>
      </c>
    </row>
    <row r="199" spans="1:12" outlineLevel="1">
      <c r="C199" s="310" t="str">
        <v>STM-256 (39813.12 Mbps)*</v>
      </c>
      <c r="D199" s="302">
        <v>20897541.120000001</v>
      </c>
      <c r="E199" s="304">
        <f>$E88</f>
        <v>17305034.400000002</v>
      </c>
      <c r="F199" s="302">
        <f>$E89</f>
        <v>19977.52</v>
      </c>
      <c r="G199" s="304">
        <f>$F88</f>
        <v>21364240</v>
      </c>
      <c r="H199" s="302">
        <f>$F89</f>
        <v>22000.560000000001</v>
      </c>
      <c r="I199" s="304">
        <f>$G88</f>
        <v>27346227.199999999</v>
      </c>
      <c r="J199" s="302">
        <f>$G89</f>
        <v>19471.760000000002</v>
      </c>
      <c r="K199" s="304">
        <f>$H88</f>
        <v>20082385.599999998</v>
      </c>
      <c r="L199" s="302">
        <f>$H89</f>
        <v>22000.560000000001</v>
      </c>
    </row>
    <row r="200" spans="1:12" outlineLevel="1">
      <c r="C200" s="310" t="str">
        <v>Ethernet (10Mbps)</v>
      </c>
      <c r="D200" s="302">
        <v>127500</v>
      </c>
      <c r="E200" s="305">
        <f>$E28</f>
        <v>18500</v>
      </c>
      <c r="F200" s="302">
        <f>$E91</f>
        <v>129.95999999999998</v>
      </c>
      <c r="G200" s="305">
        <f>$E28</f>
        <v>18500</v>
      </c>
      <c r="H200" s="302">
        <f>$F91</f>
        <v>102.60000000000001</v>
      </c>
      <c r="I200" s="305">
        <f>$E28</f>
        <v>18500</v>
      </c>
      <c r="J200" s="302">
        <f>$G91</f>
        <v>126.54</v>
      </c>
      <c r="K200" s="305">
        <f>$E28</f>
        <v>18500</v>
      </c>
      <c r="L200" s="302">
        <f>$H91</f>
        <v>96.899999999999991</v>
      </c>
    </row>
    <row r="201" spans="1:12" outlineLevel="1">
      <c r="C201" s="310" t="str">
        <v>Ethernet (20Mbps)</v>
      </c>
      <c r="D201" s="302">
        <v>161250</v>
      </c>
      <c r="E201" s="305">
        <f t="shared" ref="E201:E221" si="0">$E29</f>
        <v>19125</v>
      </c>
      <c r="F201" s="302">
        <f>$E93</f>
        <v>127.2</v>
      </c>
      <c r="G201" s="305">
        <f t="shared" ref="G201" si="1">$E29</f>
        <v>19125</v>
      </c>
      <c r="H201" s="302">
        <f>$F93</f>
        <v>88.8</v>
      </c>
      <c r="I201" s="305">
        <f t="shared" ref="I201" si="2">$E29</f>
        <v>19125</v>
      </c>
      <c r="J201" s="302">
        <f>$G93</f>
        <v>145.19999999999999</v>
      </c>
      <c r="K201" s="305">
        <f t="shared" ref="K201" si="3">$E29</f>
        <v>19125</v>
      </c>
      <c r="L201" s="302">
        <f>$H93</f>
        <v>111.60000000000001</v>
      </c>
    </row>
    <row r="202" spans="1:12" outlineLevel="1">
      <c r="C202" s="310" t="str">
        <v>Ethernet (30Mbps)</v>
      </c>
      <c r="D202" s="302">
        <v>133750</v>
      </c>
      <c r="E202" s="305">
        <f t="shared" si="0"/>
        <v>25330</v>
      </c>
      <c r="F202" s="302">
        <f>$E95</f>
        <v>121.8</v>
      </c>
      <c r="G202" s="305">
        <f t="shared" ref="G202" si="4">$E30</f>
        <v>25330</v>
      </c>
      <c r="H202" s="302">
        <f>$F95</f>
        <v>121.8</v>
      </c>
      <c r="I202" s="305">
        <f t="shared" ref="I202" si="5">$E30</f>
        <v>25330</v>
      </c>
      <c r="J202" s="302">
        <f>$G95</f>
        <v>114.8</v>
      </c>
      <c r="K202" s="305">
        <f t="shared" ref="K202" si="6">$E30</f>
        <v>25330</v>
      </c>
      <c r="L202" s="302">
        <f>$H95</f>
        <v>163.79999999999998</v>
      </c>
    </row>
    <row r="203" spans="1:12" outlineLevel="1">
      <c r="C203" s="310" t="str">
        <v>Ethernet (40Mbps)</v>
      </c>
      <c r="D203" s="302">
        <v>122500</v>
      </c>
      <c r="E203" s="305">
        <f t="shared" si="0"/>
        <v>31126</v>
      </c>
      <c r="F203" s="302">
        <f>$E97</f>
        <v>182.51999999999998</v>
      </c>
      <c r="G203" s="305">
        <f t="shared" ref="G203" si="7">$E31</f>
        <v>31126</v>
      </c>
      <c r="H203" s="302">
        <f>$F97</f>
        <v>141.96</v>
      </c>
      <c r="I203" s="305">
        <f t="shared" ref="I203" si="8">$E31</f>
        <v>31126</v>
      </c>
      <c r="J203" s="302">
        <f>$G97</f>
        <v>118.56</v>
      </c>
      <c r="K203" s="305">
        <f t="shared" ref="K203" si="9">$E31</f>
        <v>31126</v>
      </c>
      <c r="L203" s="302">
        <f>$H97</f>
        <v>185.64</v>
      </c>
    </row>
    <row r="204" spans="1:12" outlineLevel="1">
      <c r="C204" s="310" t="str">
        <v>Ethernet (50Mbps)</v>
      </c>
      <c r="D204" s="302">
        <v>102500</v>
      </c>
      <c r="E204" s="305">
        <f t="shared" si="0"/>
        <v>55440</v>
      </c>
      <c r="F204" s="302">
        <f>$E99</f>
        <v>196.20000000000002</v>
      </c>
      <c r="G204" s="305">
        <f t="shared" ref="G204" si="10">$E32</f>
        <v>55440</v>
      </c>
      <c r="H204" s="302">
        <f>$F99</f>
        <v>183.6</v>
      </c>
      <c r="I204" s="305">
        <f t="shared" ref="I204" si="11">$E32</f>
        <v>55440</v>
      </c>
      <c r="J204" s="302">
        <f>$G99</f>
        <v>189</v>
      </c>
      <c r="K204" s="305">
        <f t="shared" ref="K204" si="12">$E32</f>
        <v>55440</v>
      </c>
      <c r="L204" s="302">
        <f>$H99</f>
        <v>169.2</v>
      </c>
    </row>
    <row r="205" spans="1:12" outlineLevel="1">
      <c r="C205" s="310" t="str">
        <v>Ethernet (60Mbps)</v>
      </c>
      <c r="D205" s="302">
        <v>116250</v>
      </c>
      <c r="E205" s="305">
        <f t="shared" si="0"/>
        <v>42252</v>
      </c>
      <c r="F205" s="302">
        <f>$E101</f>
        <v>160.38000000000002</v>
      </c>
      <c r="G205" s="305">
        <f t="shared" ref="G205" si="13">$E33</f>
        <v>42252</v>
      </c>
      <c r="H205" s="302">
        <f>$F101</f>
        <v>172.26</v>
      </c>
      <c r="I205" s="305">
        <f t="shared" ref="I205" si="14">$E33</f>
        <v>42252</v>
      </c>
      <c r="J205" s="302">
        <f>$G101</f>
        <v>205.92000000000002</v>
      </c>
      <c r="K205" s="305">
        <f t="shared" ref="K205" si="15">$E33</f>
        <v>42252</v>
      </c>
      <c r="L205" s="302">
        <f>$H101</f>
        <v>172.26</v>
      </c>
    </row>
    <row r="206" spans="1:12" outlineLevel="1">
      <c r="C206" s="310" t="str">
        <v>Ethernet (70Mbps)</v>
      </c>
      <c r="D206" s="302">
        <v>106250</v>
      </c>
      <c r="E206" s="305">
        <f t="shared" si="0"/>
        <v>51324</v>
      </c>
      <c r="F206" s="302">
        <f>$E103</f>
        <v>254.1</v>
      </c>
      <c r="G206" s="305">
        <f t="shared" ref="G206" si="16">$E34</f>
        <v>51324</v>
      </c>
      <c r="H206" s="302">
        <f>$F103</f>
        <v>165.9</v>
      </c>
      <c r="I206" s="305">
        <f t="shared" ref="I206" si="17">$E34</f>
        <v>51324</v>
      </c>
      <c r="J206" s="302">
        <f>$G103</f>
        <v>168</v>
      </c>
      <c r="K206" s="305">
        <f t="shared" ref="K206" si="18">$E34</f>
        <v>51324</v>
      </c>
      <c r="L206" s="302">
        <f>$H103</f>
        <v>203.7</v>
      </c>
    </row>
    <row r="207" spans="1:12" outlineLevel="1">
      <c r="C207" s="310" t="str">
        <v>Ethernet (80Mbps)</v>
      </c>
      <c r="D207" s="302">
        <v>103750</v>
      </c>
      <c r="E207" s="305">
        <f t="shared" si="0"/>
        <v>63612.000000000007</v>
      </c>
      <c r="F207" s="302">
        <f>$E105</f>
        <v>254.88</v>
      </c>
      <c r="G207" s="305">
        <f t="shared" ref="G207" si="19">$E35</f>
        <v>63612.000000000007</v>
      </c>
      <c r="H207" s="302">
        <f>$F105</f>
        <v>168.48000000000002</v>
      </c>
      <c r="I207" s="305">
        <f t="shared" ref="I207" si="20">$E35</f>
        <v>63612.000000000007</v>
      </c>
      <c r="J207" s="302">
        <f>$G105</f>
        <v>203.04</v>
      </c>
      <c r="K207" s="305">
        <f t="shared" ref="K207" si="21">$E35</f>
        <v>63612.000000000007</v>
      </c>
      <c r="L207" s="302">
        <f>$H105</f>
        <v>235.44000000000003</v>
      </c>
    </row>
    <row r="208" spans="1:12" outlineLevel="1">
      <c r="C208" s="310" t="str">
        <v>Ethernet (90Mbps)</v>
      </c>
      <c r="D208" s="302">
        <v>106250</v>
      </c>
      <c r="E208" s="305">
        <f t="shared" si="0"/>
        <v>46136</v>
      </c>
      <c r="F208" s="302">
        <f>$E107</f>
        <v>189.2</v>
      </c>
      <c r="G208" s="305">
        <f t="shared" ref="G208" si="22">$E36</f>
        <v>46136</v>
      </c>
      <c r="H208" s="302">
        <f>$F107</f>
        <v>275</v>
      </c>
      <c r="I208" s="305">
        <f t="shared" ref="I208" si="23">$E36</f>
        <v>46136</v>
      </c>
      <c r="J208" s="302">
        <f>$G107</f>
        <v>213.4</v>
      </c>
      <c r="K208" s="305">
        <f t="shared" ref="K208" si="24">$E36</f>
        <v>46136</v>
      </c>
      <c r="L208" s="302">
        <f>$H107</f>
        <v>154</v>
      </c>
    </row>
    <row r="209" spans="3:13" outlineLevel="1">
      <c r="C209" s="310" t="str">
        <v>GigaEthernet (100Mbps)</v>
      </c>
      <c r="D209" s="302">
        <v>240000</v>
      </c>
      <c r="E209" s="305">
        <f t="shared" si="0"/>
        <v>56550</v>
      </c>
      <c r="F209" s="302">
        <f>$E109</f>
        <v>200.25</v>
      </c>
      <c r="G209" s="305">
        <f t="shared" ref="G209" si="25">$E37</f>
        <v>56550</v>
      </c>
      <c r="H209" s="302">
        <f>$F109</f>
        <v>218.25</v>
      </c>
      <c r="I209" s="305">
        <f t="shared" ref="I209" si="26">$E37</f>
        <v>56550</v>
      </c>
      <c r="J209" s="302">
        <f>$G109</f>
        <v>265.5</v>
      </c>
      <c r="K209" s="305">
        <f t="shared" ref="K209" si="27">$E37</f>
        <v>56550</v>
      </c>
      <c r="L209" s="302">
        <f>$H109</f>
        <v>285.75</v>
      </c>
    </row>
    <row r="210" spans="3:13" outlineLevel="1">
      <c r="C210" s="310" t="str">
        <v>GigaEthernet (150Mbps)</v>
      </c>
      <c r="D210" s="302">
        <v>212500</v>
      </c>
      <c r="E210" s="305">
        <f t="shared" si="0"/>
        <v>79514</v>
      </c>
      <c r="F210" s="302">
        <f>$E111</f>
        <v>318.14999999999998</v>
      </c>
      <c r="G210" s="305">
        <f t="shared" ref="G210" si="28">$E38</f>
        <v>79514</v>
      </c>
      <c r="H210" s="302">
        <f>$F111</f>
        <v>261.45</v>
      </c>
      <c r="I210" s="305">
        <f t="shared" ref="I210" si="29">$E38</f>
        <v>79514</v>
      </c>
      <c r="J210" s="302">
        <f>$G111</f>
        <v>286.65000000000003</v>
      </c>
      <c r="K210" s="305">
        <f t="shared" ref="K210" si="30">$E38</f>
        <v>79514</v>
      </c>
      <c r="L210" s="302">
        <f>$H111</f>
        <v>384.3</v>
      </c>
    </row>
    <row r="211" spans="3:13" outlineLevel="1">
      <c r="C211" s="310" t="str">
        <v>GigaEthernet (200Mbps)</v>
      </c>
      <c r="D211" s="302">
        <v>230000</v>
      </c>
      <c r="E211" s="305">
        <f t="shared" si="0"/>
        <v>117696</v>
      </c>
      <c r="F211" s="302">
        <f>$E113</f>
        <v>529.20000000000005</v>
      </c>
      <c r="G211" s="305">
        <f t="shared" ref="G211" si="31">$E39</f>
        <v>117696</v>
      </c>
      <c r="H211" s="302">
        <f>$F113</f>
        <v>323.40000000000003</v>
      </c>
      <c r="I211" s="305">
        <f t="shared" ref="I211" si="32">$E39</f>
        <v>117696</v>
      </c>
      <c r="J211" s="302">
        <f>$G113</f>
        <v>432.6</v>
      </c>
      <c r="K211" s="305">
        <f t="shared" ref="K211" si="33">$E39</f>
        <v>117696</v>
      </c>
      <c r="L211" s="302">
        <f>$H113</f>
        <v>336</v>
      </c>
    </row>
    <row r="212" spans="3:13" outlineLevel="1">
      <c r="C212" s="310" t="str">
        <v>GigaEthernet (250Mbps)</v>
      </c>
      <c r="D212" s="302">
        <v>297500</v>
      </c>
      <c r="E212" s="305">
        <f t="shared" si="0"/>
        <v>105120</v>
      </c>
      <c r="F212" s="302">
        <f>$E115</f>
        <v>551.43999999999994</v>
      </c>
      <c r="G212" s="305">
        <f t="shared" ref="G212" si="34">$E40</f>
        <v>105120</v>
      </c>
      <c r="H212" s="302">
        <f>$F115</f>
        <v>541.68000000000006</v>
      </c>
      <c r="I212" s="305">
        <f t="shared" ref="I212" si="35">$E40</f>
        <v>105120</v>
      </c>
      <c r="J212" s="302">
        <f>$G115</f>
        <v>448.96000000000004</v>
      </c>
      <c r="K212" s="305">
        <f t="shared" ref="K212" si="36">$E40</f>
        <v>105120</v>
      </c>
      <c r="L212" s="302">
        <f>$H115</f>
        <v>483.12</v>
      </c>
    </row>
    <row r="213" spans="3:13" outlineLevel="1">
      <c r="C213" s="310" t="str">
        <v>GigaEthernet (300Mbps)</v>
      </c>
      <c r="D213" s="302">
        <v>245000</v>
      </c>
      <c r="E213" s="305">
        <f t="shared" si="0"/>
        <v>147295</v>
      </c>
      <c r="F213" s="302">
        <f>$E117</f>
        <v>579.15</v>
      </c>
      <c r="G213" s="305">
        <f t="shared" ref="G213" si="37">$E41</f>
        <v>147295</v>
      </c>
      <c r="H213" s="302">
        <f>$F117</f>
        <v>520.65</v>
      </c>
      <c r="I213" s="305">
        <f t="shared" ref="I213" si="38">$E41</f>
        <v>147295</v>
      </c>
      <c r="J213" s="302">
        <f>$G117</f>
        <v>514.79999999999995</v>
      </c>
      <c r="K213" s="305">
        <f t="shared" ref="K213" si="39">$E41</f>
        <v>147295</v>
      </c>
      <c r="L213" s="302">
        <f>$H117</f>
        <v>690.3</v>
      </c>
    </row>
    <row r="214" spans="3:13" outlineLevel="1">
      <c r="C214" s="310" t="str">
        <v>GigaEthernet (350Mbps)</v>
      </c>
      <c r="D214" s="302">
        <v>190000</v>
      </c>
      <c r="E214" s="305">
        <f t="shared" si="0"/>
        <v>157164</v>
      </c>
      <c r="F214" s="302">
        <f>$E119</f>
        <v>792.28</v>
      </c>
      <c r="G214" s="305">
        <f t="shared" ref="G214" si="40">$E42</f>
        <v>157164</v>
      </c>
      <c r="H214" s="302">
        <f>$F119</f>
        <v>648.85</v>
      </c>
      <c r="I214" s="305">
        <f t="shared" ref="I214" si="41">$E42</f>
        <v>157164</v>
      </c>
      <c r="J214" s="302">
        <f>$G119</f>
        <v>853.75</v>
      </c>
      <c r="K214" s="305">
        <f t="shared" ref="K214" si="42">$E42</f>
        <v>157164</v>
      </c>
      <c r="L214" s="302">
        <f>$H119</f>
        <v>826.43</v>
      </c>
    </row>
    <row r="215" spans="3:13" outlineLevel="1">
      <c r="C215" s="310" t="str">
        <v>GigaEthernet (400Mbps)</v>
      </c>
      <c r="D215" s="302">
        <v>247500</v>
      </c>
      <c r="E215" s="305">
        <f t="shared" si="0"/>
        <v>235604.99999999997</v>
      </c>
      <c r="F215" s="302">
        <f>$E121</f>
        <v>686.4</v>
      </c>
      <c r="G215" s="305">
        <f t="shared" ref="G215" si="43">$E43</f>
        <v>235604.99999999997</v>
      </c>
      <c r="H215" s="302">
        <f>$F121</f>
        <v>655.19999999999993</v>
      </c>
      <c r="I215" s="305">
        <f t="shared" ref="I215" si="44">$E43</f>
        <v>235604.99999999997</v>
      </c>
      <c r="J215" s="302">
        <f>$G121</f>
        <v>748.8</v>
      </c>
      <c r="K215" s="305">
        <f t="shared" ref="K215" si="45">$E43</f>
        <v>235604.99999999997</v>
      </c>
      <c r="L215" s="302">
        <f>$H121</f>
        <v>647.4</v>
      </c>
    </row>
    <row r="216" spans="3:13" outlineLevel="1">
      <c r="C216" s="310" t="str">
        <v>GigaEthernet (450Mbps)</v>
      </c>
      <c r="D216" s="302">
        <v>247500</v>
      </c>
      <c r="E216" s="305">
        <f t="shared" si="0"/>
        <v>174800</v>
      </c>
      <c r="F216" s="302">
        <f>$E123</f>
        <v>763.86</v>
      </c>
      <c r="G216" s="305">
        <f t="shared" ref="G216" si="46">$E44</f>
        <v>174800</v>
      </c>
      <c r="H216" s="302">
        <f>$F123</f>
        <v>623.38</v>
      </c>
      <c r="I216" s="305">
        <f t="shared" ref="I216" si="47">$E44</f>
        <v>174800</v>
      </c>
      <c r="J216" s="302">
        <f>$G123</f>
        <v>1115.06</v>
      </c>
      <c r="K216" s="305">
        <f t="shared" ref="K216" si="48">$E44</f>
        <v>174800</v>
      </c>
      <c r="L216" s="302">
        <f>$H123</f>
        <v>851.66</v>
      </c>
    </row>
    <row r="217" spans="3:13" outlineLevel="1">
      <c r="C217" s="310" t="str">
        <v>GigaEthernet (500Mbps)</v>
      </c>
      <c r="D217" s="302">
        <v>210000</v>
      </c>
      <c r="E217" s="305">
        <f t="shared" si="0"/>
        <v>176050</v>
      </c>
      <c r="F217" s="302">
        <f>$E125</f>
        <v>1153.26</v>
      </c>
      <c r="G217" s="305">
        <f t="shared" ref="G217" si="49">$E45</f>
        <v>176050</v>
      </c>
      <c r="H217" s="302">
        <f>$F125</f>
        <v>1063.8599999999999</v>
      </c>
      <c r="I217" s="305">
        <f t="shared" ref="I217" si="50">$E45</f>
        <v>176050</v>
      </c>
      <c r="J217" s="302">
        <f>$G125</f>
        <v>697.32</v>
      </c>
      <c r="K217" s="305">
        <f t="shared" ref="K217" si="51">$E45</f>
        <v>176050</v>
      </c>
      <c r="L217" s="302">
        <f>$H125</f>
        <v>938.7</v>
      </c>
    </row>
    <row r="218" spans="3:13" outlineLevel="1">
      <c r="C218" s="310" t="str">
        <v>GigaEthernet (550Mbps)</v>
      </c>
      <c r="D218" s="302">
        <v>322500</v>
      </c>
      <c r="E218" s="305">
        <f t="shared" si="0"/>
        <v>281087</v>
      </c>
      <c r="F218" s="302">
        <f>$E127</f>
        <v>1238.58</v>
      </c>
      <c r="G218" s="305">
        <f t="shared" ref="G218" si="52">$E46</f>
        <v>281087</v>
      </c>
      <c r="H218" s="302">
        <f>$F127</f>
        <v>747.08</v>
      </c>
      <c r="I218" s="305">
        <f t="shared" ref="I218" si="53">$E46</f>
        <v>281087</v>
      </c>
      <c r="J218" s="302">
        <f>$G127</f>
        <v>1022.32</v>
      </c>
      <c r="K218" s="305">
        <f t="shared" ref="K218" si="54">$E46</f>
        <v>281087</v>
      </c>
      <c r="L218" s="302">
        <f>$H127</f>
        <v>914.19</v>
      </c>
    </row>
    <row r="219" spans="3:13" outlineLevel="1">
      <c r="C219" s="310" t="str">
        <v>GigaEthernet (600Mbps)</v>
      </c>
      <c r="D219" s="302">
        <v>230000</v>
      </c>
      <c r="E219" s="305">
        <f t="shared" si="0"/>
        <v>209095</v>
      </c>
      <c r="F219" s="302">
        <f>$E129</f>
        <v>1180.3000000000002</v>
      </c>
      <c r="G219" s="305">
        <f t="shared" ref="G219" si="55">$E47</f>
        <v>209095</v>
      </c>
      <c r="H219" s="302">
        <f>$F129</f>
        <v>1394.9</v>
      </c>
      <c r="I219" s="305">
        <f t="shared" ref="I219" si="56">$E47</f>
        <v>209095</v>
      </c>
      <c r="J219" s="302">
        <f>$G129</f>
        <v>751.09999999999991</v>
      </c>
      <c r="K219" s="305">
        <f t="shared" ref="K219" si="57">$E47</f>
        <v>209095</v>
      </c>
      <c r="L219" s="302">
        <f>$H129</f>
        <v>1233.9499999999998</v>
      </c>
    </row>
    <row r="220" spans="3:13" outlineLevel="1">
      <c r="C220" s="310" t="str">
        <v>GigaEthernet (750Mbps)</v>
      </c>
      <c r="D220" s="302">
        <v>310000</v>
      </c>
      <c r="E220" s="305">
        <f t="shared" si="0"/>
        <v>467649</v>
      </c>
      <c r="F220" s="302">
        <f>$E131</f>
        <v>1059.3900000000001</v>
      </c>
      <c r="G220" s="305">
        <f t="shared" ref="G220" si="58">$E48</f>
        <v>467649</v>
      </c>
      <c r="H220" s="302">
        <f>$F131</f>
        <v>1434.8700000000001</v>
      </c>
      <c r="I220" s="305">
        <f t="shared" ref="I220" si="59">$E48</f>
        <v>467649</v>
      </c>
      <c r="J220" s="302">
        <f>$G131</f>
        <v>1287.3599999999999</v>
      </c>
      <c r="K220" s="305">
        <f t="shared" ref="K220" si="60">$E48</f>
        <v>467649</v>
      </c>
      <c r="L220" s="302">
        <f>$H131</f>
        <v>1139.8499999999999</v>
      </c>
    </row>
    <row r="221" spans="3:13">
      <c r="C221" s="310" t="str">
        <v>GigaEthernet (1 Gbps)</v>
      </c>
      <c r="D221" s="302">
        <v>187500</v>
      </c>
      <c r="E221" s="305">
        <f t="shared" si="0"/>
        <v>522313</v>
      </c>
      <c r="F221" s="302">
        <f>$E133</f>
        <v>1186.25</v>
      </c>
      <c r="G221" s="305">
        <f t="shared" ref="G221" si="61">$E49</f>
        <v>522313</v>
      </c>
      <c r="H221" s="302">
        <f>$F133</f>
        <v>2015</v>
      </c>
      <c r="I221" s="305">
        <f t="shared" ref="I221" si="62">$E49</f>
        <v>522313</v>
      </c>
      <c r="J221" s="302">
        <f>$G133</f>
        <v>1998.75</v>
      </c>
      <c r="K221" s="305">
        <f t="shared" ref="K221" si="63">$E49</f>
        <v>522313</v>
      </c>
      <c r="L221" s="302">
        <f>$H133</f>
        <v>1283.75</v>
      </c>
    </row>
    <row r="222" spans="3:13">
      <c r="M222" s="307" t="s">
        <v>123</v>
      </c>
    </row>
    <row r="225" spans="2:13" s="299" customFormat="1" ht="17.25" thickBot="1">
      <c r="B225" s="308" t="s">
        <v>523</v>
      </c>
      <c r="C225" s="308"/>
      <c r="D225" s="308"/>
      <c r="E225" s="308"/>
    </row>
    <row r="226" spans="2:13" s="299" customFormat="1" ht="18" thickTop="1" thickBot="1">
      <c r="B226" s="308" t="s">
        <v>547</v>
      </c>
      <c r="C226" s="308"/>
      <c r="D226" s="308"/>
      <c r="E226" s="308"/>
      <c r="F226" s="308"/>
      <c r="G226" s="308"/>
      <c r="H226" s="308"/>
      <c r="I226" s="308"/>
      <c r="J226" s="308"/>
      <c r="K226" s="308"/>
      <c r="L226" s="308"/>
      <c r="M226" s="308"/>
    </row>
    <row r="227" spans="2:13" s="299" customFormat="1" ht="12.75" thickTop="1"/>
    <row r="228" spans="2:13" s="299" customFormat="1" ht="36">
      <c r="C228" s="309" t="s">
        <v>442</v>
      </c>
      <c r="E228" s="309" t="s">
        <v>514</v>
      </c>
      <c r="F228" s="309" t="s">
        <v>516</v>
      </c>
      <c r="G228" s="309" t="s">
        <v>517</v>
      </c>
      <c r="H228" s="309" t="s">
        <v>518</v>
      </c>
    </row>
    <row r="229" spans="2:13" s="299" customFormat="1" ht="36">
      <c r="C229" s="309" t="s">
        <v>503</v>
      </c>
      <c r="E229" s="309" t="s">
        <v>515</v>
      </c>
      <c r="F229" s="309" t="s">
        <v>519</v>
      </c>
      <c r="G229" s="309" t="s">
        <v>520</v>
      </c>
      <c r="H229" s="309" t="s">
        <v>521</v>
      </c>
    </row>
    <row r="230" spans="2:13" s="299" customFormat="1">
      <c r="C230" s="518" t="s">
        <v>443</v>
      </c>
      <c r="D230" s="329" t="s">
        <v>508</v>
      </c>
      <c r="E230" s="468">
        <f t="array" ref="E230:E305">'7'!$K$150:$K$225</f>
        <v>6184.96</v>
      </c>
      <c r="F230" s="468">
        <f t="array" ref="F230:F305">'7'!$Y$150:$Y$225</f>
        <v>6183.0999999999995</v>
      </c>
      <c r="G230" s="468">
        <f t="array" ref="G230:G305">'7'!$AM$150:$AM$225</f>
        <v>7256.4</v>
      </c>
      <c r="H230" s="468">
        <f t="array" ref="H230:H305">'7'!$BA$150:$BA$225</f>
        <v>6726.0599999999995</v>
      </c>
    </row>
    <row r="231" spans="2:13" s="299" customFormat="1">
      <c r="C231" s="519"/>
      <c r="D231" s="329" t="s">
        <v>509</v>
      </c>
      <c r="E231" s="468">
        <v>14.560000000000002</v>
      </c>
      <c r="F231" s="468">
        <v>11.52</v>
      </c>
      <c r="G231" s="468">
        <v>3.81</v>
      </c>
      <c r="H231" s="468">
        <v>3.81</v>
      </c>
    </row>
    <row r="232" spans="2:13" s="299" customFormat="1" outlineLevel="1">
      <c r="C232" s="520" t="s">
        <v>444</v>
      </c>
      <c r="D232" s="329" t="s">
        <v>508</v>
      </c>
      <c r="E232" s="468">
        <v>8630.14</v>
      </c>
      <c r="F232" s="468">
        <v>8059.2999999999993</v>
      </c>
      <c r="G232" s="468">
        <v>11245.5</v>
      </c>
      <c r="H232" s="468">
        <v>14198.800000000001</v>
      </c>
    </row>
    <row r="233" spans="2:13" s="299" customFormat="1" outlineLevel="1">
      <c r="C233" s="521"/>
      <c r="D233" s="329" t="s">
        <v>509</v>
      </c>
      <c r="E233" s="468">
        <v>24.72</v>
      </c>
      <c r="F233" s="468">
        <v>18.700000000000003</v>
      </c>
      <c r="G233" s="468">
        <v>5.25</v>
      </c>
      <c r="H233" s="468">
        <v>6.4</v>
      </c>
    </row>
    <row r="234" spans="2:13" s="299" customFormat="1" outlineLevel="1">
      <c r="C234" s="522" t="s">
        <v>445</v>
      </c>
      <c r="D234" s="329" t="s">
        <v>508</v>
      </c>
      <c r="E234" s="468">
        <v>6461</v>
      </c>
      <c r="F234" s="468">
        <v>9379.9800000000014</v>
      </c>
      <c r="G234" s="468">
        <v>9906.0500000000011</v>
      </c>
      <c r="H234" s="468">
        <v>17946.62</v>
      </c>
    </row>
    <row r="235" spans="2:13" s="299" customFormat="1" outlineLevel="1">
      <c r="C235" s="523"/>
      <c r="D235" s="329" t="s">
        <v>509</v>
      </c>
      <c r="E235" s="468">
        <v>42.48</v>
      </c>
      <c r="F235" s="468">
        <v>32.76</v>
      </c>
      <c r="G235" s="468">
        <v>12.6</v>
      </c>
      <c r="H235" s="468">
        <v>6.79</v>
      </c>
    </row>
    <row r="236" spans="2:13" s="299" customFormat="1" outlineLevel="1">
      <c r="C236" s="522" t="s">
        <v>446</v>
      </c>
      <c r="D236" s="329" t="s">
        <v>508</v>
      </c>
      <c r="E236" s="468">
        <v>10937.16</v>
      </c>
      <c r="F236" s="468">
        <v>12868.230000000001</v>
      </c>
      <c r="G236" s="468">
        <v>12627.900000000001</v>
      </c>
      <c r="H236" s="468">
        <v>24526.77</v>
      </c>
    </row>
    <row r="237" spans="2:13" s="299" customFormat="1" outlineLevel="1">
      <c r="C237" s="523"/>
      <c r="D237" s="329" t="s">
        <v>509</v>
      </c>
      <c r="E237" s="468">
        <v>46.92</v>
      </c>
      <c r="F237" s="468">
        <v>46.62</v>
      </c>
      <c r="G237" s="468">
        <v>16.8</v>
      </c>
      <c r="H237" s="468">
        <v>7.7</v>
      </c>
    </row>
    <row r="238" spans="2:13" s="299" customFormat="1" outlineLevel="1">
      <c r="C238" s="522" t="s">
        <v>447</v>
      </c>
      <c r="D238" s="329" t="s">
        <v>508</v>
      </c>
      <c r="E238" s="468">
        <v>13521.97</v>
      </c>
      <c r="F238" s="468">
        <v>18477.64</v>
      </c>
      <c r="G238" s="468">
        <v>20433.149999999998</v>
      </c>
      <c r="H238" s="468">
        <v>24565.68</v>
      </c>
    </row>
    <row r="239" spans="2:13" s="299" customFormat="1" outlineLevel="1">
      <c r="C239" s="523"/>
      <c r="D239" s="329" t="s">
        <v>509</v>
      </c>
      <c r="E239" s="468">
        <v>107.80000000000001</v>
      </c>
      <c r="F239" s="468">
        <v>85.679999999999993</v>
      </c>
      <c r="G239" s="468">
        <v>38.08</v>
      </c>
      <c r="H239" s="468">
        <v>18.799999999999997</v>
      </c>
    </row>
    <row r="240" spans="2:13" s="299" customFormat="1" outlineLevel="1">
      <c r="C240" s="522" t="s">
        <v>448</v>
      </c>
      <c r="D240" s="329" t="s">
        <v>508</v>
      </c>
      <c r="E240" s="468">
        <v>11863.88</v>
      </c>
      <c r="F240" s="468">
        <v>19661.420000000002</v>
      </c>
      <c r="G240" s="468">
        <v>25782.120000000003</v>
      </c>
      <c r="H240" s="468">
        <v>45180.800000000003</v>
      </c>
    </row>
    <row r="241" spans="3:8" s="299" customFormat="1" outlineLevel="1">
      <c r="C241" s="523"/>
      <c r="D241" s="329" t="s">
        <v>509</v>
      </c>
      <c r="E241" s="468">
        <v>86.1</v>
      </c>
      <c r="F241" s="468">
        <v>101.01</v>
      </c>
      <c r="G241" s="468">
        <v>35.1</v>
      </c>
      <c r="H241" s="468">
        <v>23.5</v>
      </c>
    </row>
    <row r="242" spans="3:8" s="299" customFormat="1" outlineLevel="1">
      <c r="C242" s="522" t="s">
        <v>449</v>
      </c>
      <c r="D242" s="329" t="s">
        <v>508</v>
      </c>
      <c r="E242" s="468">
        <v>9380.5</v>
      </c>
      <c r="F242" s="468">
        <v>23631.02</v>
      </c>
      <c r="G242" s="468">
        <v>38171.25</v>
      </c>
      <c r="H242" s="468">
        <v>38180.839999999997</v>
      </c>
    </row>
    <row r="243" spans="3:8" s="299" customFormat="1" outlineLevel="1">
      <c r="C243" s="523"/>
      <c r="D243" s="329" t="s">
        <v>509</v>
      </c>
      <c r="E243" s="468">
        <v>174.32999999999998</v>
      </c>
      <c r="F243" s="468">
        <v>124.29999999999998</v>
      </c>
      <c r="G243" s="468">
        <v>51.06</v>
      </c>
      <c r="H243" s="468">
        <v>38.4</v>
      </c>
    </row>
    <row r="244" spans="3:8" s="299" customFormat="1" outlineLevel="1">
      <c r="C244" s="522" t="s">
        <v>450</v>
      </c>
      <c r="D244" s="329" t="s">
        <v>508</v>
      </c>
      <c r="E244" s="468">
        <v>11283.019999999999</v>
      </c>
      <c r="F244" s="468">
        <v>24928.55</v>
      </c>
      <c r="G244" s="468">
        <v>32487.84</v>
      </c>
      <c r="H244" s="468">
        <v>41171.520000000004</v>
      </c>
    </row>
    <row r="245" spans="3:8" s="299" customFormat="1" outlineLevel="1">
      <c r="C245" s="523"/>
      <c r="D245" s="329" t="s">
        <v>509</v>
      </c>
      <c r="E245" s="468">
        <v>220.98</v>
      </c>
      <c r="F245" s="468">
        <v>166.41</v>
      </c>
      <c r="G245" s="468">
        <v>69.12</v>
      </c>
      <c r="H245" s="468">
        <v>43.4</v>
      </c>
    </row>
    <row r="246" spans="3:8" s="299" customFormat="1" outlineLevel="1">
      <c r="C246" s="524" t="s">
        <v>451</v>
      </c>
      <c r="D246" s="329" t="s">
        <v>508</v>
      </c>
      <c r="E246" s="468">
        <v>12670.32</v>
      </c>
      <c r="F246" s="468">
        <v>35855.300000000003</v>
      </c>
      <c r="G246" s="468">
        <v>58763.88</v>
      </c>
      <c r="H246" s="468">
        <v>56386.840000000004</v>
      </c>
    </row>
    <row r="247" spans="3:8" s="299" customFormat="1" outlineLevel="1">
      <c r="C247" s="525"/>
      <c r="D247" s="329" t="s">
        <v>509</v>
      </c>
      <c r="E247" s="468">
        <v>232.78</v>
      </c>
      <c r="F247" s="468">
        <v>157.91999999999999</v>
      </c>
      <c r="G247" s="468">
        <v>68.48</v>
      </c>
      <c r="H247" s="468">
        <v>48.760000000000005</v>
      </c>
    </row>
    <row r="248" spans="3:8" s="299" customFormat="1" outlineLevel="1">
      <c r="C248" s="524" t="s">
        <v>510</v>
      </c>
      <c r="D248" s="329" t="s">
        <v>508</v>
      </c>
      <c r="E248" s="468">
        <v>70823.840000000011</v>
      </c>
      <c r="F248" s="468">
        <v>133492.04</v>
      </c>
      <c r="G248" s="468">
        <v>242517.6</v>
      </c>
      <c r="H248" s="468">
        <v>205273.44</v>
      </c>
    </row>
    <row r="249" spans="3:8" s="299" customFormat="1" outlineLevel="1">
      <c r="C249" s="525"/>
      <c r="D249" s="329" t="s">
        <v>509</v>
      </c>
      <c r="E249" s="468">
        <v>1012.4800000000001</v>
      </c>
      <c r="F249" s="468">
        <v>645.12</v>
      </c>
      <c r="G249" s="468">
        <v>286.72000000000003</v>
      </c>
      <c r="H249" s="468">
        <v>222.64</v>
      </c>
    </row>
    <row r="250" spans="3:8" s="299" customFormat="1" outlineLevel="1">
      <c r="C250" s="524" t="s">
        <v>27</v>
      </c>
      <c r="D250" s="329" t="s">
        <v>508</v>
      </c>
      <c r="E250" s="468" t="str">
        <v>NA</v>
      </c>
      <c r="F250" s="468" t="str">
        <v>NA</v>
      </c>
      <c r="G250" s="468" t="str">
        <v>NA</v>
      </c>
      <c r="H250" s="468" t="str">
        <v>NA</v>
      </c>
    </row>
    <row r="251" spans="3:8" s="299" customFormat="1" outlineLevel="1">
      <c r="C251" s="525"/>
      <c r="D251" s="329" t="s">
        <v>509</v>
      </c>
      <c r="E251" s="468" t="str">
        <v>NA</v>
      </c>
      <c r="F251" s="468" t="str">
        <v>NA</v>
      </c>
      <c r="G251" s="468" t="str">
        <v>NA</v>
      </c>
      <c r="H251" s="468" t="str">
        <v>NA</v>
      </c>
    </row>
    <row r="252" spans="3:8" s="299" customFormat="1" outlineLevel="1">
      <c r="C252" s="524" t="s">
        <v>28</v>
      </c>
      <c r="D252" s="329" t="s">
        <v>508</v>
      </c>
      <c r="E252" s="468">
        <v>380863.08</v>
      </c>
      <c r="F252" s="468">
        <v>419654.69</v>
      </c>
      <c r="G252" s="468">
        <v>289173.82</v>
      </c>
      <c r="H252" s="468">
        <v>423181.2</v>
      </c>
    </row>
    <row r="253" spans="3:8" s="299" customFormat="1" outlineLevel="1">
      <c r="C253" s="525"/>
      <c r="D253" s="329" t="s">
        <v>509</v>
      </c>
      <c r="E253" s="468">
        <v>296.00220000000002</v>
      </c>
      <c r="F253" s="468">
        <v>345.33590000000004</v>
      </c>
      <c r="G253" s="468">
        <v>292.20730000000003</v>
      </c>
      <c r="H253" s="468">
        <v>394.6696</v>
      </c>
    </row>
    <row r="254" spans="3:8" s="299" customFormat="1" outlineLevel="1">
      <c r="C254" s="526" t="s">
        <v>453</v>
      </c>
      <c r="D254" s="329" t="s">
        <v>508</v>
      </c>
      <c r="E254" s="468">
        <v>504573.08</v>
      </c>
      <c r="F254" s="468">
        <v>546044.84</v>
      </c>
      <c r="G254" s="468">
        <v>836347.16</v>
      </c>
      <c r="H254" s="468">
        <v>705019.92</v>
      </c>
    </row>
    <row r="255" spans="3:8" s="299" customFormat="1" outlineLevel="1">
      <c r="C255" s="527"/>
      <c r="D255" s="329" t="s">
        <v>509</v>
      </c>
      <c r="E255" s="468">
        <v>818.18000000000006</v>
      </c>
      <c r="F255" s="468">
        <v>758.67599999999993</v>
      </c>
      <c r="G255" s="468">
        <v>885.12199999999996</v>
      </c>
      <c r="H255" s="468">
        <v>535.53599999999994</v>
      </c>
    </row>
    <row r="256" spans="3:8" s="299" customFormat="1" outlineLevel="1">
      <c r="C256" s="526" t="s">
        <v>454</v>
      </c>
      <c r="D256" s="329" t="s">
        <v>508</v>
      </c>
      <c r="E256" s="468">
        <v>1570900</v>
      </c>
      <c r="F256" s="468">
        <v>1665154</v>
      </c>
      <c r="G256" s="468">
        <v>1241011</v>
      </c>
      <c r="H256" s="468">
        <v>1178175</v>
      </c>
    </row>
    <row r="257" spans="3:8" s="299" customFormat="1" outlineLevel="1">
      <c r="C257" s="527"/>
      <c r="D257" s="329" t="s">
        <v>509</v>
      </c>
      <c r="E257" s="468">
        <v>2064.0450000000001</v>
      </c>
      <c r="F257" s="468">
        <v>1878.095</v>
      </c>
      <c r="G257" s="468">
        <v>2324.375</v>
      </c>
      <c r="H257" s="468">
        <v>2064.0450000000001</v>
      </c>
    </row>
    <row r="258" spans="3:8" s="299" customFormat="1" outlineLevel="1">
      <c r="C258" s="526" t="s">
        <v>455</v>
      </c>
      <c r="D258" s="329" t="s">
        <v>508</v>
      </c>
      <c r="E258" s="468">
        <v>5074007</v>
      </c>
      <c r="F258" s="468">
        <v>5554702.4000000004</v>
      </c>
      <c r="G258" s="468">
        <v>3738741.9999999995</v>
      </c>
      <c r="H258" s="468">
        <v>4059205.6</v>
      </c>
    </row>
    <row r="259" spans="3:8" s="299" customFormat="1" outlineLevel="1">
      <c r="C259" s="527"/>
      <c r="D259" s="329" t="s">
        <v>509</v>
      </c>
      <c r="E259" s="468">
        <v>5120.8200000000006</v>
      </c>
      <c r="F259" s="468">
        <v>4804.72</v>
      </c>
      <c r="G259" s="468">
        <v>7207.079999999999</v>
      </c>
      <c r="H259" s="468">
        <v>4804.72</v>
      </c>
    </row>
    <row r="260" spans="3:8" s="299" customFormat="1" outlineLevel="1">
      <c r="C260" s="526" t="s">
        <v>456</v>
      </c>
      <c r="D260" s="329" t="s">
        <v>508</v>
      </c>
      <c r="E260" s="468">
        <v>20082385.599999998</v>
      </c>
      <c r="F260" s="468">
        <v>19441458.400000002</v>
      </c>
      <c r="G260" s="468">
        <v>16664107.200000001</v>
      </c>
      <c r="H260" s="468">
        <v>23714306.400000002</v>
      </c>
    </row>
    <row r="261" spans="3:8" s="299" customFormat="1" outlineLevel="1">
      <c r="C261" s="527"/>
      <c r="D261" s="329" t="s">
        <v>509</v>
      </c>
      <c r="E261" s="468">
        <v>31357.119999999999</v>
      </c>
      <c r="F261" s="468">
        <v>23770.719999999998</v>
      </c>
      <c r="G261" s="468">
        <v>29081.199999999997</v>
      </c>
      <c r="H261" s="468">
        <v>23264.960000000003</v>
      </c>
    </row>
    <row r="262" spans="3:8" s="299" customFormat="1" ht="36" outlineLevel="1">
      <c r="C262" s="520" t="s">
        <v>457</v>
      </c>
      <c r="D262" s="329" t="s">
        <v>508</v>
      </c>
      <c r="E262" s="468" t="str">
        <v>Igual a cobro por enlace local</v>
      </c>
      <c r="F262" s="468" t="str">
        <v>Igual a cobro por enlace local</v>
      </c>
      <c r="G262" s="468" t="str">
        <v>Igual a cobro por enlace local</v>
      </c>
      <c r="H262" s="468" t="str">
        <v>Igual a cobro por enlace local</v>
      </c>
    </row>
    <row r="263" spans="3:8" s="299" customFormat="1" outlineLevel="1">
      <c r="C263" s="521"/>
      <c r="D263" s="329" t="s">
        <v>511</v>
      </c>
      <c r="E263" s="468">
        <v>143.64000000000001</v>
      </c>
      <c r="F263" s="468">
        <v>136.79999999999998</v>
      </c>
      <c r="G263" s="468">
        <v>143.64000000000001</v>
      </c>
      <c r="H263" s="468">
        <v>116.28</v>
      </c>
    </row>
    <row r="264" spans="3:8" s="299" customFormat="1" ht="36" outlineLevel="1">
      <c r="C264" s="522" t="s">
        <v>458</v>
      </c>
      <c r="D264" s="329" t="s">
        <v>508</v>
      </c>
      <c r="E264" s="468" t="str">
        <v>Igual a cobro por enlace local</v>
      </c>
      <c r="F264" s="468" t="str">
        <v>Igual a cobro por enlace local</v>
      </c>
      <c r="G264" s="468" t="str">
        <v>Igual a cobro por enlace local</v>
      </c>
      <c r="H264" s="468" t="str">
        <v>Igual a cobro por enlace local</v>
      </c>
    </row>
    <row r="265" spans="3:8" s="299" customFormat="1" outlineLevel="1">
      <c r="C265" s="523"/>
      <c r="D265" s="329" t="s">
        <v>511</v>
      </c>
      <c r="E265" s="468">
        <v>129.60000000000002</v>
      </c>
      <c r="F265" s="468">
        <v>152.4</v>
      </c>
      <c r="G265" s="468">
        <v>87.6</v>
      </c>
      <c r="H265" s="468">
        <v>100.8</v>
      </c>
    </row>
    <row r="266" spans="3:8" s="299" customFormat="1" ht="36" outlineLevel="1">
      <c r="C266" s="522" t="s">
        <v>459</v>
      </c>
      <c r="D266" s="329" t="s">
        <v>508</v>
      </c>
      <c r="E266" s="468" t="str">
        <v>Igual a cobro por enlace local</v>
      </c>
      <c r="F266" s="468" t="str">
        <v>Igual a cobro por enlace local</v>
      </c>
      <c r="G266" s="468" t="str">
        <v>Igual a cobro por enlace local</v>
      </c>
      <c r="H266" s="468" t="str">
        <v>Igual a cobro por enlace local</v>
      </c>
    </row>
    <row r="267" spans="3:8" s="299" customFormat="1" outlineLevel="1">
      <c r="C267" s="523"/>
      <c r="D267" s="329" t="s">
        <v>511</v>
      </c>
      <c r="E267" s="468">
        <v>152.60000000000002</v>
      </c>
      <c r="F267" s="468">
        <v>169.4</v>
      </c>
      <c r="G267" s="468">
        <v>135.79999999999998</v>
      </c>
      <c r="H267" s="468">
        <v>151.20000000000002</v>
      </c>
    </row>
    <row r="268" spans="3:8" s="299" customFormat="1" ht="36" outlineLevel="1">
      <c r="C268" s="522" t="s">
        <v>460</v>
      </c>
      <c r="D268" s="329" t="s">
        <v>508</v>
      </c>
      <c r="E268" s="468" t="str">
        <v>Igual a cobro por enlace local</v>
      </c>
      <c r="F268" s="468" t="str">
        <v>Igual a cobro por enlace local</v>
      </c>
      <c r="G268" s="468" t="str">
        <v>Igual a cobro por enlace local</v>
      </c>
      <c r="H268" s="468" t="str">
        <v>Igual a cobro por enlace local</v>
      </c>
    </row>
    <row r="269" spans="3:8" s="299" customFormat="1" outlineLevel="1">
      <c r="C269" s="523"/>
      <c r="D269" s="329" t="s">
        <v>511</v>
      </c>
      <c r="E269" s="468">
        <v>135.72</v>
      </c>
      <c r="F269" s="468">
        <v>198.12</v>
      </c>
      <c r="G269" s="468">
        <v>190.32</v>
      </c>
      <c r="H269" s="468">
        <v>177.83999999999997</v>
      </c>
    </row>
    <row r="270" spans="3:8" s="299" customFormat="1" ht="36" outlineLevel="1">
      <c r="C270" s="522" t="s">
        <v>461</v>
      </c>
      <c r="D270" s="329" t="s">
        <v>508</v>
      </c>
      <c r="E270" s="468" t="str">
        <v>Igual a cobro por enlace local</v>
      </c>
      <c r="F270" s="468" t="str">
        <v>Igual a cobro por enlace local</v>
      </c>
      <c r="G270" s="468" t="str">
        <v>Igual a cobro por enlace local</v>
      </c>
      <c r="H270" s="468" t="str">
        <v>Igual a cobro por enlace local</v>
      </c>
    </row>
    <row r="271" spans="3:8" s="299" customFormat="1" outlineLevel="1">
      <c r="C271" s="523"/>
      <c r="D271" s="329" t="s">
        <v>511</v>
      </c>
      <c r="E271" s="468">
        <v>144</v>
      </c>
      <c r="F271" s="468">
        <v>133.19999999999999</v>
      </c>
      <c r="G271" s="468">
        <v>203.39999999999998</v>
      </c>
      <c r="H271" s="468">
        <v>174.6</v>
      </c>
    </row>
    <row r="272" spans="3:8" s="299" customFormat="1" ht="36" outlineLevel="1">
      <c r="C272" s="522" t="s">
        <v>462</v>
      </c>
      <c r="D272" s="329" t="s">
        <v>508</v>
      </c>
      <c r="E272" s="468" t="str">
        <v>Igual a cobro por enlace local</v>
      </c>
      <c r="F272" s="468" t="str">
        <v>Igual a cobro por enlace local</v>
      </c>
      <c r="G272" s="468" t="str">
        <v>Igual a cobro por enlace local</v>
      </c>
      <c r="H272" s="468" t="str">
        <v>Igual a cobro por enlace local</v>
      </c>
    </row>
    <row r="273" spans="3:8" s="299" customFormat="1" outlineLevel="1">
      <c r="C273" s="523"/>
      <c r="D273" s="329" t="s">
        <v>511</v>
      </c>
      <c r="E273" s="468">
        <v>198</v>
      </c>
      <c r="F273" s="468">
        <v>199.98</v>
      </c>
      <c r="G273" s="468">
        <v>237.6</v>
      </c>
      <c r="H273" s="468">
        <v>162.35999999999999</v>
      </c>
    </row>
    <row r="274" spans="3:8" s="299" customFormat="1" ht="36" outlineLevel="1">
      <c r="C274" s="522" t="s">
        <v>463</v>
      </c>
      <c r="D274" s="329" t="s">
        <v>508</v>
      </c>
      <c r="E274" s="468" t="str">
        <v>Igual a cobro por enlace local</v>
      </c>
      <c r="F274" s="468" t="str">
        <v>Igual a cobro por enlace local</v>
      </c>
      <c r="G274" s="468" t="str">
        <v>Igual a cobro por enlace local</v>
      </c>
      <c r="H274" s="468" t="str">
        <v>Igual a cobro por enlace local</v>
      </c>
    </row>
    <row r="275" spans="3:8" s="299" customFormat="1" outlineLevel="1">
      <c r="C275" s="523"/>
      <c r="D275" s="329" t="s">
        <v>511</v>
      </c>
      <c r="E275" s="468">
        <v>214.20000000000002</v>
      </c>
      <c r="F275" s="468">
        <v>245.7</v>
      </c>
      <c r="G275" s="468">
        <v>273</v>
      </c>
      <c r="H275" s="468">
        <v>256.2</v>
      </c>
    </row>
    <row r="276" spans="3:8" s="299" customFormat="1" ht="36" outlineLevel="1">
      <c r="C276" s="522" t="s">
        <v>464</v>
      </c>
      <c r="D276" s="329" t="s">
        <v>508</v>
      </c>
      <c r="E276" s="468" t="str">
        <v>Igual a cobro por enlace local</v>
      </c>
      <c r="F276" s="468" t="str">
        <v>Igual a cobro por enlace local</v>
      </c>
      <c r="G276" s="468" t="str">
        <v>Igual a cobro por enlace local</v>
      </c>
      <c r="H276" s="468" t="str">
        <v>Igual a cobro por enlace local</v>
      </c>
    </row>
    <row r="277" spans="3:8" s="299" customFormat="1" outlineLevel="1">
      <c r="C277" s="523"/>
      <c r="D277" s="329" t="s">
        <v>511</v>
      </c>
      <c r="E277" s="468">
        <v>226.8</v>
      </c>
      <c r="F277" s="468">
        <v>213.84</v>
      </c>
      <c r="G277" s="468">
        <v>261.36</v>
      </c>
      <c r="H277" s="468">
        <v>228.96</v>
      </c>
    </row>
    <row r="278" spans="3:8" s="299" customFormat="1" ht="36" outlineLevel="1">
      <c r="C278" s="522" t="s">
        <v>465</v>
      </c>
      <c r="D278" s="329" t="s">
        <v>508</v>
      </c>
      <c r="E278" s="468" t="str">
        <v>Igual a cobro por enlace local</v>
      </c>
      <c r="F278" s="468" t="str">
        <v>Igual a cobro por enlace local</v>
      </c>
      <c r="G278" s="468" t="str">
        <v>Igual a cobro por enlace local</v>
      </c>
      <c r="H278" s="468" t="str">
        <v>Igual a cobro por enlace local</v>
      </c>
    </row>
    <row r="279" spans="3:8" s="299" customFormat="1" ht="15.75" customHeight="1" outlineLevel="1">
      <c r="C279" s="523"/>
      <c r="D279" s="329" t="s">
        <v>511</v>
      </c>
      <c r="E279" s="468">
        <v>178.20000000000002</v>
      </c>
      <c r="F279" s="468">
        <v>228.8</v>
      </c>
      <c r="G279" s="468">
        <v>198</v>
      </c>
      <c r="H279" s="468">
        <v>235.4</v>
      </c>
    </row>
    <row r="280" spans="3:8" s="299" customFormat="1" ht="36" outlineLevel="1">
      <c r="C280" s="522" t="s">
        <v>466</v>
      </c>
      <c r="D280" s="329" t="s">
        <v>508</v>
      </c>
      <c r="E280" s="468" t="str">
        <v>Igual a cobro por enlace local</v>
      </c>
      <c r="F280" s="468" t="str">
        <v>Igual a cobro por enlace local</v>
      </c>
      <c r="G280" s="468" t="str">
        <v>Igual a cobro por enlace local</v>
      </c>
      <c r="H280" s="468" t="str">
        <v>Igual a cobro por enlace local</v>
      </c>
    </row>
    <row r="281" spans="3:8" s="299" customFormat="1" outlineLevel="1">
      <c r="C281" s="523"/>
      <c r="D281" s="329" t="s">
        <v>511</v>
      </c>
      <c r="E281" s="468">
        <v>166.5</v>
      </c>
      <c r="F281" s="468">
        <v>247.50000000000003</v>
      </c>
      <c r="G281" s="468">
        <v>225</v>
      </c>
      <c r="H281" s="468">
        <v>220.5</v>
      </c>
    </row>
    <row r="282" spans="3:8" s="299" customFormat="1" ht="36" outlineLevel="1">
      <c r="C282" s="522" t="s">
        <v>467</v>
      </c>
      <c r="D282" s="329" t="s">
        <v>508</v>
      </c>
      <c r="E282" s="468" t="str">
        <v>Igual a cobro por enlace local</v>
      </c>
      <c r="F282" s="468" t="str">
        <v>Igual a cobro por enlace local</v>
      </c>
      <c r="G282" s="468" t="str">
        <v>Igual a cobro por enlace local</v>
      </c>
      <c r="H282" s="468" t="str">
        <v>Igual a cobro por enlace local</v>
      </c>
    </row>
    <row r="283" spans="3:8" s="299" customFormat="1" outlineLevel="1">
      <c r="C283" s="523"/>
      <c r="D283" s="329" t="s">
        <v>511</v>
      </c>
      <c r="E283" s="468">
        <v>299.25</v>
      </c>
      <c r="F283" s="468">
        <v>396.9</v>
      </c>
      <c r="G283" s="468">
        <v>349.65000000000003</v>
      </c>
      <c r="H283" s="468">
        <v>283.5</v>
      </c>
    </row>
    <row r="284" spans="3:8" s="299" customFormat="1" ht="36" outlineLevel="1">
      <c r="C284" s="522" t="s">
        <v>468</v>
      </c>
      <c r="D284" s="329" t="s">
        <v>508</v>
      </c>
      <c r="E284" s="468" t="str">
        <v>Igual a cobro por enlace local</v>
      </c>
      <c r="F284" s="468" t="str">
        <v>Igual a cobro por enlace local</v>
      </c>
      <c r="G284" s="468" t="str">
        <v>Igual a cobro por enlace local</v>
      </c>
      <c r="H284" s="468" t="str">
        <v>Igual a cobro por enlace local</v>
      </c>
    </row>
    <row r="285" spans="3:8" s="299" customFormat="1" outlineLevel="1">
      <c r="C285" s="523"/>
      <c r="D285" s="329" t="s">
        <v>511</v>
      </c>
      <c r="E285" s="468">
        <v>420</v>
      </c>
      <c r="F285" s="468">
        <v>525</v>
      </c>
      <c r="G285" s="468">
        <v>466.20000000000005</v>
      </c>
      <c r="H285" s="468">
        <v>428.40000000000003</v>
      </c>
    </row>
    <row r="286" spans="3:8" s="299" customFormat="1" ht="36" outlineLevel="1">
      <c r="C286" s="522" t="s">
        <v>469</v>
      </c>
      <c r="D286" s="329" t="s">
        <v>508</v>
      </c>
      <c r="E286" s="468" t="str">
        <v>Igual a cobro por enlace local</v>
      </c>
      <c r="F286" s="468" t="str">
        <v>Igual a cobro por enlace local</v>
      </c>
      <c r="G286" s="468" t="str">
        <v>Igual a cobro por enlace local</v>
      </c>
      <c r="H286" s="468" t="str">
        <v>Igual a cobro por enlace local</v>
      </c>
    </row>
    <row r="287" spans="3:8" s="299" customFormat="1" outlineLevel="1">
      <c r="C287" s="523"/>
      <c r="D287" s="329" t="s">
        <v>511</v>
      </c>
      <c r="E287" s="468">
        <v>468.47999999999996</v>
      </c>
      <c r="F287" s="468">
        <v>390.40000000000003</v>
      </c>
      <c r="G287" s="468">
        <v>507.52000000000004</v>
      </c>
      <c r="H287" s="468">
        <v>531.92000000000007</v>
      </c>
    </row>
    <row r="288" spans="3:8" s="299" customFormat="1" ht="36" outlineLevel="1">
      <c r="C288" s="522" t="s">
        <v>470</v>
      </c>
      <c r="D288" s="329" t="s">
        <v>508</v>
      </c>
      <c r="E288" s="468" t="str">
        <v>Igual a cobro por enlace local</v>
      </c>
      <c r="F288" s="468" t="str">
        <v>Igual a cobro por enlace local</v>
      </c>
      <c r="G288" s="468" t="str">
        <v>Igual a cobro por enlace local</v>
      </c>
      <c r="H288" s="468" t="str">
        <v>Igual a cobro por enlace local</v>
      </c>
    </row>
    <row r="289" spans="3:8" s="299" customFormat="1" outlineLevel="1">
      <c r="C289" s="523"/>
      <c r="D289" s="329" t="s">
        <v>511</v>
      </c>
      <c r="E289" s="468">
        <v>573.29999999999995</v>
      </c>
      <c r="F289" s="468">
        <v>748.80000000000007</v>
      </c>
      <c r="G289" s="468">
        <v>409.5</v>
      </c>
      <c r="H289" s="468">
        <v>555.75</v>
      </c>
    </row>
    <row r="290" spans="3:8" s="299" customFormat="1" ht="36" outlineLevel="1">
      <c r="C290" s="522" t="s">
        <v>471</v>
      </c>
      <c r="D290" s="329" t="s">
        <v>508</v>
      </c>
      <c r="E290" s="468" t="str">
        <v>Igual a cobro por enlace local</v>
      </c>
      <c r="F290" s="468" t="str">
        <v>Igual a cobro por enlace local</v>
      </c>
      <c r="G290" s="468" t="str">
        <v>Igual a cobro por enlace local</v>
      </c>
      <c r="H290" s="468" t="str">
        <v>Igual a cobro por enlace local</v>
      </c>
    </row>
    <row r="291" spans="3:8" s="299" customFormat="1" outlineLevel="1">
      <c r="C291" s="523"/>
      <c r="D291" s="329" t="s">
        <v>511</v>
      </c>
      <c r="E291" s="468">
        <v>703.49</v>
      </c>
      <c r="F291" s="468">
        <v>601.04</v>
      </c>
      <c r="G291" s="468">
        <v>594.21</v>
      </c>
      <c r="H291" s="468">
        <v>764.96</v>
      </c>
    </row>
    <row r="292" spans="3:8" s="299" customFormat="1" ht="36" outlineLevel="1">
      <c r="C292" s="522" t="s">
        <v>472</v>
      </c>
      <c r="D292" s="329" t="s">
        <v>508</v>
      </c>
      <c r="E292" s="468" t="str">
        <v>Igual a cobro por enlace local</v>
      </c>
      <c r="F292" s="468" t="str">
        <v>Igual a cobro por enlace local</v>
      </c>
      <c r="G292" s="468" t="str">
        <v>Igual a cobro por enlace local</v>
      </c>
      <c r="H292" s="468" t="str">
        <v>Igual a cobro por enlace local</v>
      </c>
    </row>
    <row r="293" spans="3:8" s="299" customFormat="1" outlineLevel="1">
      <c r="C293" s="523"/>
      <c r="D293" s="329" t="s">
        <v>511</v>
      </c>
      <c r="E293" s="468">
        <v>616.20000000000005</v>
      </c>
      <c r="F293" s="468">
        <v>717.6</v>
      </c>
      <c r="G293" s="468">
        <v>858.00000000000011</v>
      </c>
      <c r="H293" s="468">
        <v>982.8</v>
      </c>
    </row>
    <row r="294" spans="3:8" s="299" customFormat="1" ht="36" outlineLevel="1">
      <c r="C294" s="522" t="s">
        <v>473</v>
      </c>
      <c r="D294" s="329" t="s">
        <v>508</v>
      </c>
      <c r="E294" s="468" t="str">
        <v>Igual a cobro por enlace local</v>
      </c>
      <c r="F294" s="468" t="str">
        <v>Igual a cobro por enlace local</v>
      </c>
      <c r="G294" s="468" t="str">
        <v>Igual a cobro por enlace local</v>
      </c>
      <c r="H294" s="468" t="str">
        <v>Igual a cobro por enlace local</v>
      </c>
    </row>
    <row r="295" spans="3:8" s="299" customFormat="1" outlineLevel="1">
      <c r="C295" s="523"/>
      <c r="D295" s="329" t="s">
        <v>511</v>
      </c>
      <c r="E295" s="468">
        <v>1132.6200000000001</v>
      </c>
      <c r="F295" s="468">
        <v>728.74</v>
      </c>
      <c r="G295" s="468">
        <v>658.5</v>
      </c>
      <c r="H295" s="468">
        <v>1106.28</v>
      </c>
    </row>
    <row r="296" spans="3:8" s="299" customFormat="1" ht="36" outlineLevel="1">
      <c r="C296" s="522" t="s">
        <v>474</v>
      </c>
      <c r="D296" s="329" t="s">
        <v>508</v>
      </c>
      <c r="E296" s="468" t="str">
        <v>Igual a cobro por enlace local</v>
      </c>
      <c r="F296" s="468" t="str">
        <v>Igual a cobro por enlace local</v>
      </c>
      <c r="G296" s="468" t="str">
        <v>Igual a cobro por enlace local</v>
      </c>
      <c r="H296" s="468" t="str">
        <v>Igual a cobro por enlace local</v>
      </c>
    </row>
    <row r="297" spans="3:8" s="299" customFormat="1" outlineLevel="1">
      <c r="C297" s="523"/>
      <c r="D297" s="329" t="s">
        <v>511</v>
      </c>
      <c r="E297" s="468">
        <v>1019.16</v>
      </c>
      <c r="F297" s="468">
        <v>840.3599999999999</v>
      </c>
      <c r="G297" s="468">
        <v>625.79999999999995</v>
      </c>
      <c r="H297" s="468">
        <v>759.9</v>
      </c>
    </row>
    <row r="298" spans="3:8" s="299" customFormat="1" ht="36" outlineLevel="1">
      <c r="C298" s="522" t="s">
        <v>475</v>
      </c>
      <c r="D298" s="329" t="s">
        <v>508</v>
      </c>
      <c r="E298" s="468" t="str">
        <v>Igual a cobro por enlace local</v>
      </c>
      <c r="F298" s="468" t="str">
        <v>Igual a cobro por enlace local</v>
      </c>
      <c r="G298" s="468" t="str">
        <v>Igual a cobro por enlace local</v>
      </c>
      <c r="H298" s="468" t="str">
        <v>Igual a cobro por enlace local</v>
      </c>
    </row>
    <row r="299" spans="3:8" s="299" customFormat="1" outlineLevel="1">
      <c r="C299" s="523"/>
      <c r="D299" s="329" t="s">
        <v>511</v>
      </c>
      <c r="E299" s="468">
        <v>1150.1099999999999</v>
      </c>
      <c r="F299" s="468">
        <v>1081.3000000000002</v>
      </c>
      <c r="G299" s="468">
        <v>1150.1099999999999</v>
      </c>
      <c r="H299" s="468">
        <v>1032.1500000000001</v>
      </c>
    </row>
    <row r="300" spans="3:8" s="299" customFormat="1" ht="36" outlineLevel="1">
      <c r="C300" s="512" t="s">
        <v>476</v>
      </c>
      <c r="D300" s="329" t="s">
        <v>508</v>
      </c>
      <c r="E300" s="468" t="str">
        <v>Igual a cobro por enlace local</v>
      </c>
      <c r="F300" s="468" t="str">
        <v>Igual a cobro por enlace local</v>
      </c>
      <c r="G300" s="468" t="str">
        <v>Igual a cobro por enlace local</v>
      </c>
      <c r="H300" s="468" t="str">
        <v>Igual a cobro por enlace local</v>
      </c>
    </row>
    <row r="301" spans="3:8" s="299" customFormat="1" outlineLevel="1">
      <c r="C301" s="523"/>
      <c r="D301" s="329" t="s">
        <v>511</v>
      </c>
      <c r="E301" s="468">
        <v>976.43000000000006</v>
      </c>
      <c r="F301" s="468">
        <v>1384.17</v>
      </c>
      <c r="G301" s="468">
        <v>890.58999999999992</v>
      </c>
      <c r="H301" s="468">
        <v>1030.08</v>
      </c>
    </row>
    <row r="302" spans="3:8" s="299" customFormat="1" ht="36" outlineLevel="1">
      <c r="C302" s="522" t="s">
        <v>477</v>
      </c>
      <c r="D302" s="329" t="s">
        <v>508</v>
      </c>
      <c r="E302" s="468" t="str">
        <v>Igual a cobro por enlace local</v>
      </c>
      <c r="F302" s="468" t="str">
        <v>Igual a cobro por enlace local</v>
      </c>
      <c r="G302" s="468" t="str">
        <v>Igual a cobro por enlace local</v>
      </c>
      <c r="H302" s="468" t="str">
        <v>Igual a cobro por enlace local</v>
      </c>
    </row>
    <row r="303" spans="3:8" s="299" customFormat="1" outlineLevel="1">
      <c r="C303" s="523"/>
      <c r="D303" s="329" t="s">
        <v>511</v>
      </c>
      <c r="E303" s="468">
        <v>965.52</v>
      </c>
      <c r="F303" s="468">
        <v>1743.3</v>
      </c>
      <c r="G303" s="468">
        <v>1180.08</v>
      </c>
      <c r="H303" s="468">
        <v>1381.23</v>
      </c>
    </row>
    <row r="304" spans="3:8" s="299" customFormat="1" ht="36">
      <c r="C304" s="522" t="s">
        <v>478</v>
      </c>
      <c r="D304" s="329" t="s">
        <v>508</v>
      </c>
      <c r="E304" s="468" t="str">
        <v>Igual a cobro por enlace local</v>
      </c>
      <c r="F304" s="468" t="str">
        <v>Igual a cobro por enlace local</v>
      </c>
      <c r="G304" s="468" t="str">
        <v>Igual a cobro por enlace local</v>
      </c>
      <c r="H304" s="468" t="str">
        <v>Igual a cobro por enlace local</v>
      </c>
    </row>
    <row r="305" spans="3:8" s="299" customFormat="1">
      <c r="C305" s="523"/>
      <c r="D305" s="329" t="s">
        <v>511</v>
      </c>
      <c r="E305" s="468">
        <v>1218.75</v>
      </c>
      <c r="F305" s="468">
        <v>1413.75</v>
      </c>
      <c r="G305" s="468">
        <v>1153.75</v>
      </c>
      <c r="H305" s="468">
        <v>1560</v>
      </c>
    </row>
    <row r="306" spans="3:8" s="299" customFormat="1"/>
    <row r="307" spans="3:8" s="299" customFormat="1"/>
    <row r="308" spans="3:8" s="299" customFormat="1" ht="24">
      <c r="D308" s="309" t="s">
        <v>524</v>
      </c>
    </row>
    <row r="309" spans="3:8" s="299" customFormat="1" ht="24">
      <c r="D309" s="309" t="s">
        <v>525</v>
      </c>
    </row>
    <row r="310" spans="3:8" s="299" customFormat="1">
      <c r="C310" s="310" t="str">
        <f t="array" ref="C310:C347">LL.list</f>
        <v>64 kbps</v>
      </c>
      <c r="D310" s="304">
        <f t="array" ref="D310:D347">'7'!$AJ$317:$AJ$354</f>
        <v>4427.1500000000005</v>
      </c>
    </row>
    <row r="311" spans="3:8" s="299" customFormat="1" outlineLevel="1">
      <c r="C311" s="310" t="str">
        <v>128 kbps</v>
      </c>
      <c r="D311" s="304">
        <v>4621.5600000000004</v>
      </c>
    </row>
    <row r="312" spans="3:8" s="299" customFormat="1" outlineLevel="1">
      <c r="C312" s="310" t="str">
        <v>192 kbps</v>
      </c>
      <c r="D312" s="304">
        <v>5674.24</v>
      </c>
    </row>
    <row r="313" spans="3:8" s="299" customFormat="1" outlineLevel="1">
      <c r="C313" s="310" t="str">
        <v>256 kbps</v>
      </c>
      <c r="D313" s="304">
        <v>6544.14</v>
      </c>
    </row>
    <row r="314" spans="3:8" s="299" customFormat="1" outlineLevel="1">
      <c r="C314" s="310" t="str">
        <v>384 kbps</v>
      </c>
      <c r="D314" s="304">
        <v>6533.72</v>
      </c>
    </row>
    <row r="315" spans="3:8" s="299" customFormat="1" outlineLevel="1">
      <c r="C315" s="310" t="str">
        <v>512 kbps</v>
      </c>
      <c r="D315" s="304">
        <v>8897.32</v>
      </c>
    </row>
    <row r="316" spans="3:8" s="299" customFormat="1" outlineLevel="1">
      <c r="C316" s="310" t="str">
        <v>768 kbps</v>
      </c>
      <c r="D316" s="304">
        <v>9009.36</v>
      </c>
    </row>
    <row r="317" spans="3:8" s="299" customFormat="1" outlineLevel="1">
      <c r="C317" s="310" t="str">
        <v>1024 kbps</v>
      </c>
      <c r="D317" s="304">
        <v>10047.85</v>
      </c>
    </row>
    <row r="318" spans="3:8" s="299" customFormat="1" outlineLevel="1">
      <c r="C318" s="331" t="str">
        <v>E1 (2.04 Mbps)</v>
      </c>
      <c r="D318" s="304">
        <v>19362</v>
      </c>
    </row>
    <row r="319" spans="3:8" s="299" customFormat="1" outlineLevel="1">
      <c r="C319" s="331" t="str">
        <v>E2 *</v>
      </c>
      <c r="D319" s="304">
        <v>54582.400000000001</v>
      </c>
    </row>
    <row r="320" spans="3:8" s="299" customFormat="1" outlineLevel="1">
      <c r="C320" s="331" t="str">
        <v>E3 (34 Mbps)</v>
      </c>
      <c r="D320" s="304" t="str">
        <v>NA</v>
      </c>
    </row>
    <row r="321" spans="3:4" s="299" customFormat="1" outlineLevel="1">
      <c r="C321" s="331" t="str">
        <v>STM-1 (155 Mbps)</v>
      </c>
      <c r="D321" s="304">
        <v>973467.41</v>
      </c>
    </row>
    <row r="322" spans="3:4" s="299" customFormat="1" outlineLevel="1">
      <c r="C322" s="310" t="str">
        <v>STM-4 (622.08 Mbps)</v>
      </c>
      <c r="D322" s="304">
        <v>4033889.53</v>
      </c>
    </row>
    <row r="323" spans="3:4" s="299" customFormat="1" outlineLevel="1">
      <c r="C323" s="310" t="str">
        <v>STM-16 (2488.32Mbps)</v>
      </c>
      <c r="D323" s="304">
        <v>6400881.5999999996</v>
      </c>
    </row>
    <row r="324" spans="3:4" s="299" customFormat="1" outlineLevel="1">
      <c r="C324" s="310" t="str">
        <v>STM-64 (9953.28Mbps)</v>
      </c>
      <c r="D324" s="304">
        <v>8445813.4399999995</v>
      </c>
    </row>
    <row r="325" spans="3:4" s="299" customFormat="1" outlineLevel="1">
      <c r="C325" s="310" t="str">
        <v>STM-256 (39813.12 Mbps)*</v>
      </c>
      <c r="D325" s="304">
        <v>44432322.879999995</v>
      </c>
    </row>
    <row r="326" spans="3:4" s="299" customFormat="1" outlineLevel="1">
      <c r="C326" s="310" t="str">
        <v>Ethernet (10Mbps)</v>
      </c>
      <c r="D326" s="304">
        <v>148750</v>
      </c>
    </row>
    <row r="327" spans="3:4" s="299" customFormat="1" outlineLevel="1">
      <c r="C327" s="310" t="str">
        <v>Ethernet (20Mbps)</v>
      </c>
      <c r="D327" s="304">
        <v>160000</v>
      </c>
    </row>
    <row r="328" spans="3:4" s="299" customFormat="1" outlineLevel="1">
      <c r="C328" s="310" t="str">
        <v>Ethernet (30Mbps)</v>
      </c>
      <c r="D328" s="304">
        <v>97500</v>
      </c>
    </row>
    <row r="329" spans="3:4" s="299" customFormat="1" outlineLevel="1">
      <c r="C329" s="310" t="str">
        <v>Ethernet (40Mbps)</v>
      </c>
      <c r="D329" s="304">
        <v>148750</v>
      </c>
    </row>
    <row r="330" spans="3:4" s="299" customFormat="1" outlineLevel="1">
      <c r="C330" s="310" t="str">
        <v>Ethernet (50Mbps)</v>
      </c>
      <c r="D330" s="304">
        <v>150000</v>
      </c>
    </row>
    <row r="331" spans="3:4" s="299" customFormat="1" outlineLevel="1">
      <c r="C331" s="310" t="str">
        <v>Ethernet (60Mbps)</v>
      </c>
      <c r="D331" s="304">
        <v>106250</v>
      </c>
    </row>
    <row r="332" spans="3:4" s="299" customFormat="1" outlineLevel="1">
      <c r="C332" s="310" t="str">
        <v>Ethernet (70Mbps)</v>
      </c>
      <c r="D332" s="304">
        <v>112500</v>
      </c>
    </row>
    <row r="333" spans="3:4" s="299" customFormat="1" outlineLevel="1">
      <c r="C333" s="310" t="str">
        <v>Ethernet (80Mbps)</v>
      </c>
      <c r="D333" s="304">
        <v>91250</v>
      </c>
    </row>
    <row r="334" spans="3:4" s="299" customFormat="1" outlineLevel="1">
      <c r="C334" s="310" t="str">
        <v>Ethernet (90Mbps)</v>
      </c>
      <c r="D334" s="304">
        <v>91250</v>
      </c>
    </row>
    <row r="335" spans="3:4" s="299" customFormat="1" outlineLevel="1">
      <c r="C335" s="310" t="str">
        <v>GigaEthernet (100Mbps)</v>
      </c>
      <c r="D335" s="304">
        <v>267500</v>
      </c>
    </row>
    <row r="336" spans="3:4" s="299" customFormat="1" outlineLevel="1">
      <c r="C336" s="310" t="str">
        <v>GigaEthernet (150Mbps)</v>
      </c>
      <c r="D336" s="304">
        <v>227500</v>
      </c>
    </row>
    <row r="337" spans="3:12" s="299" customFormat="1" outlineLevel="1">
      <c r="C337" s="310" t="str">
        <v>GigaEthernet (200Mbps)</v>
      </c>
      <c r="D337" s="304">
        <v>297500</v>
      </c>
    </row>
    <row r="338" spans="3:12" s="299" customFormat="1" outlineLevel="1">
      <c r="C338" s="310" t="str">
        <v>GigaEthernet (250Mbps)</v>
      </c>
      <c r="D338" s="304">
        <v>185000</v>
      </c>
    </row>
    <row r="339" spans="3:12" s="299" customFormat="1" outlineLevel="1">
      <c r="C339" s="310" t="str">
        <v>GigaEthernet (300Mbps)</v>
      </c>
      <c r="D339" s="304">
        <v>230000</v>
      </c>
    </row>
    <row r="340" spans="3:12" s="299" customFormat="1" outlineLevel="1">
      <c r="C340" s="310" t="str">
        <v>GigaEthernet (350Mbps)</v>
      </c>
      <c r="D340" s="304">
        <v>267500</v>
      </c>
    </row>
    <row r="341" spans="3:12" s="299" customFormat="1" outlineLevel="1">
      <c r="C341" s="310" t="str">
        <v>GigaEthernet (400Mbps)</v>
      </c>
      <c r="D341" s="304">
        <v>230000</v>
      </c>
    </row>
    <row r="342" spans="3:12" s="299" customFormat="1" outlineLevel="1">
      <c r="C342" s="310" t="str">
        <v>GigaEthernet (450Mbps)</v>
      </c>
      <c r="D342" s="304">
        <v>212500</v>
      </c>
    </row>
    <row r="343" spans="3:12" s="299" customFormat="1" outlineLevel="1">
      <c r="C343" s="310" t="str">
        <v>GigaEthernet (500Mbps)</v>
      </c>
      <c r="D343" s="304">
        <v>240000</v>
      </c>
    </row>
    <row r="344" spans="3:12" s="299" customFormat="1" outlineLevel="1">
      <c r="C344" s="310" t="str">
        <v>GigaEthernet (550Mbps)</v>
      </c>
      <c r="D344" s="304">
        <v>275000</v>
      </c>
    </row>
    <row r="345" spans="3:12" s="299" customFormat="1" outlineLevel="1">
      <c r="C345" s="310" t="str">
        <v>GigaEthernet (600Mbps)</v>
      </c>
      <c r="D345" s="304">
        <v>282500</v>
      </c>
    </row>
    <row r="346" spans="3:12" s="299" customFormat="1" outlineLevel="1">
      <c r="C346" s="310" t="str">
        <v>GigaEthernet (750Mbps)</v>
      </c>
      <c r="D346" s="304">
        <v>220000</v>
      </c>
    </row>
    <row r="347" spans="3:12" s="299" customFormat="1">
      <c r="C347" s="310" t="str">
        <v>GigaEthernet (1 Gbps)</v>
      </c>
      <c r="D347" s="304">
        <v>305000</v>
      </c>
    </row>
    <row r="348" spans="3:12" s="299" customFormat="1"/>
    <row r="349" spans="3:12" s="299" customFormat="1">
      <c r="E349" s="129"/>
      <c r="F349" s="129"/>
      <c r="G349" s="129"/>
      <c r="H349" s="129"/>
      <c r="I349" s="129"/>
    </row>
    <row r="350" spans="3:12" s="299" customFormat="1">
      <c r="E350" s="539" t="s">
        <v>186</v>
      </c>
      <c r="F350" s="540"/>
      <c r="G350" s="540"/>
      <c r="H350" s="540"/>
      <c r="I350" s="540"/>
      <c r="J350" s="540"/>
      <c r="K350" s="540"/>
      <c r="L350" s="541"/>
    </row>
    <row r="351" spans="3:12" s="299" customFormat="1">
      <c r="D351" s="542" t="s">
        <v>185</v>
      </c>
      <c r="E351" s="548" t="s">
        <v>30</v>
      </c>
      <c r="F351" s="549"/>
      <c r="G351" s="548" t="s">
        <v>115</v>
      </c>
      <c r="H351" s="549"/>
      <c r="I351" s="548" t="s">
        <v>116</v>
      </c>
      <c r="J351" s="549"/>
      <c r="K351" s="548" t="s">
        <v>117</v>
      </c>
      <c r="L351" s="549"/>
    </row>
    <row r="352" spans="3:12" s="299" customFormat="1">
      <c r="E352" s="546" t="s">
        <v>187</v>
      </c>
      <c r="F352" s="550" t="s">
        <v>188</v>
      </c>
      <c r="G352" s="551" t="s">
        <v>187</v>
      </c>
      <c r="H352" s="552" t="s">
        <v>188</v>
      </c>
      <c r="I352" s="552" t="s">
        <v>187</v>
      </c>
      <c r="J352" s="552" t="s">
        <v>188</v>
      </c>
      <c r="K352" s="550" t="s">
        <v>187</v>
      </c>
      <c r="L352" s="551" t="s">
        <v>188</v>
      </c>
    </row>
    <row r="353" spans="3:12" s="299" customFormat="1">
      <c r="D353" s="129"/>
      <c r="E353" s="543" t="s">
        <v>26</v>
      </c>
      <c r="F353" s="544"/>
      <c r="G353" s="538"/>
      <c r="H353" s="538"/>
      <c r="I353" s="538"/>
      <c r="J353" s="538"/>
      <c r="K353" s="538"/>
      <c r="L353" s="547"/>
    </row>
    <row r="354" spans="3:12" s="299" customFormat="1">
      <c r="D354" s="542" t="s">
        <v>25</v>
      </c>
      <c r="E354" s="548" t="s">
        <v>30</v>
      </c>
      <c r="F354" s="549"/>
      <c r="G354" s="548" t="s">
        <v>115</v>
      </c>
      <c r="H354" s="549"/>
      <c r="I354" s="548" t="s">
        <v>116</v>
      </c>
      <c r="J354" s="549"/>
      <c r="K354" s="548" t="s">
        <v>117</v>
      </c>
      <c r="L354" s="549"/>
    </row>
    <row r="355" spans="3:12" s="299" customFormat="1">
      <c r="E355" s="545" t="s">
        <v>31</v>
      </c>
      <c r="F355" s="545" t="s">
        <v>32</v>
      </c>
      <c r="G355" s="545" t="s">
        <v>31</v>
      </c>
      <c r="H355" s="545" t="s">
        <v>32</v>
      </c>
      <c r="I355" s="545" t="s">
        <v>31</v>
      </c>
      <c r="J355" s="545" t="s">
        <v>32</v>
      </c>
      <c r="K355" s="545" t="s">
        <v>31</v>
      </c>
      <c r="L355" s="545" t="s">
        <v>32</v>
      </c>
    </row>
    <row r="356" spans="3:12" s="299" customFormat="1">
      <c r="C356" s="310" t="str">
        <f t="array" ref="C356:C393">LL.list</f>
        <v>64 kbps</v>
      </c>
      <c r="D356" s="302">
        <f t="array" ref="D356:D365">D310:D319</f>
        <v>4427.1500000000005</v>
      </c>
      <c r="E356" s="304">
        <f>$E230</f>
        <v>6184.96</v>
      </c>
      <c r="F356" s="302">
        <f>$E231</f>
        <v>14.560000000000002</v>
      </c>
      <c r="G356" s="304">
        <f>$F230</f>
        <v>6183.0999999999995</v>
      </c>
      <c r="H356" s="302">
        <f>$F231</f>
        <v>11.52</v>
      </c>
      <c r="I356" s="304">
        <f>$G230</f>
        <v>7256.4</v>
      </c>
      <c r="J356" s="302">
        <f>$G231</f>
        <v>3.81</v>
      </c>
      <c r="K356" s="304">
        <f>$H230</f>
        <v>6726.0599999999995</v>
      </c>
      <c r="L356" s="302">
        <f>$H231</f>
        <v>3.81</v>
      </c>
    </row>
    <row r="357" spans="3:12" s="299" customFormat="1" outlineLevel="1">
      <c r="C357" s="310" t="str">
        <v>128 kbps</v>
      </c>
      <c r="D357" s="302">
        <v>4621.5600000000004</v>
      </c>
      <c r="E357" s="304">
        <f>$E232</f>
        <v>8630.14</v>
      </c>
      <c r="F357" s="302">
        <f>$E233</f>
        <v>24.72</v>
      </c>
      <c r="G357" s="304">
        <f>$F232</f>
        <v>8059.2999999999993</v>
      </c>
      <c r="H357" s="302">
        <f>$F233</f>
        <v>18.700000000000003</v>
      </c>
      <c r="I357" s="304">
        <f>$G232</f>
        <v>11245.5</v>
      </c>
      <c r="J357" s="302">
        <f>$G233</f>
        <v>5.25</v>
      </c>
      <c r="K357" s="304">
        <f>$H232</f>
        <v>14198.800000000001</v>
      </c>
      <c r="L357" s="302">
        <f>$H233</f>
        <v>6.4</v>
      </c>
    </row>
    <row r="358" spans="3:12" s="299" customFormat="1" outlineLevel="1">
      <c r="C358" s="310" t="str">
        <v>192 kbps</v>
      </c>
      <c r="D358" s="302">
        <v>5674.24</v>
      </c>
      <c r="E358" s="304">
        <f>$E234</f>
        <v>6461</v>
      </c>
      <c r="F358" s="302">
        <f>$E235</f>
        <v>42.48</v>
      </c>
      <c r="G358" s="304">
        <f>$F234</f>
        <v>9379.9800000000014</v>
      </c>
      <c r="H358" s="302">
        <f>$F235</f>
        <v>32.76</v>
      </c>
      <c r="I358" s="304">
        <f>$G234</f>
        <v>9906.0500000000011</v>
      </c>
      <c r="J358" s="302">
        <f>$G235</f>
        <v>12.6</v>
      </c>
      <c r="K358" s="304">
        <f>$H234</f>
        <v>17946.62</v>
      </c>
      <c r="L358" s="302">
        <f>$H235</f>
        <v>6.79</v>
      </c>
    </row>
    <row r="359" spans="3:12" s="299" customFormat="1" outlineLevel="1">
      <c r="C359" s="310" t="str">
        <v>256 kbps</v>
      </c>
      <c r="D359" s="302">
        <v>6544.14</v>
      </c>
      <c r="E359" s="304">
        <f>$E236</f>
        <v>10937.16</v>
      </c>
      <c r="F359" s="302">
        <f>$E237</f>
        <v>46.92</v>
      </c>
      <c r="G359" s="304">
        <f>$F236</f>
        <v>12868.230000000001</v>
      </c>
      <c r="H359" s="302">
        <f>$F237</f>
        <v>46.62</v>
      </c>
      <c r="I359" s="304">
        <f>$G236</f>
        <v>12627.900000000001</v>
      </c>
      <c r="J359" s="302">
        <f>$G237</f>
        <v>16.8</v>
      </c>
      <c r="K359" s="304">
        <f>$H236</f>
        <v>24526.77</v>
      </c>
      <c r="L359" s="302">
        <f>$H237</f>
        <v>7.7</v>
      </c>
    </row>
    <row r="360" spans="3:12" s="299" customFormat="1" outlineLevel="1">
      <c r="C360" s="310" t="str">
        <v>384 kbps</v>
      </c>
      <c r="D360" s="302">
        <v>6533.72</v>
      </c>
      <c r="E360" s="304">
        <f>$E238</f>
        <v>13521.97</v>
      </c>
      <c r="F360" s="302">
        <f>$E239</f>
        <v>107.80000000000001</v>
      </c>
      <c r="G360" s="304">
        <f>$F238</f>
        <v>18477.64</v>
      </c>
      <c r="H360" s="302">
        <f>$F239</f>
        <v>85.679999999999993</v>
      </c>
      <c r="I360" s="304">
        <f>$G238</f>
        <v>20433.149999999998</v>
      </c>
      <c r="J360" s="302">
        <f>$G239</f>
        <v>38.08</v>
      </c>
      <c r="K360" s="304">
        <f>$H238</f>
        <v>24565.68</v>
      </c>
      <c r="L360" s="302">
        <f>$H239</f>
        <v>18.799999999999997</v>
      </c>
    </row>
    <row r="361" spans="3:12" s="299" customFormat="1" outlineLevel="1">
      <c r="C361" s="310" t="str">
        <v>512 kbps</v>
      </c>
      <c r="D361" s="302">
        <v>8897.32</v>
      </c>
      <c r="E361" s="304">
        <f>$E240</f>
        <v>11863.88</v>
      </c>
      <c r="F361" s="302">
        <f>$E241</f>
        <v>86.1</v>
      </c>
      <c r="G361" s="304">
        <f>$F240</f>
        <v>19661.420000000002</v>
      </c>
      <c r="H361" s="302">
        <f>$F241</f>
        <v>101.01</v>
      </c>
      <c r="I361" s="304">
        <f>$G240</f>
        <v>25782.120000000003</v>
      </c>
      <c r="J361" s="302">
        <f>$G241</f>
        <v>35.1</v>
      </c>
      <c r="K361" s="304">
        <f>$H240</f>
        <v>45180.800000000003</v>
      </c>
      <c r="L361" s="302">
        <f>$H241</f>
        <v>23.5</v>
      </c>
    </row>
    <row r="362" spans="3:12" s="299" customFormat="1" outlineLevel="1">
      <c r="C362" s="310" t="str">
        <v>768 kbps</v>
      </c>
      <c r="D362" s="302">
        <v>9009.36</v>
      </c>
      <c r="E362" s="304">
        <f>$E242</f>
        <v>9380.5</v>
      </c>
      <c r="F362" s="302">
        <f>$E243</f>
        <v>174.32999999999998</v>
      </c>
      <c r="G362" s="304">
        <f>$F242</f>
        <v>23631.02</v>
      </c>
      <c r="H362" s="302">
        <f>$F243</f>
        <v>124.29999999999998</v>
      </c>
      <c r="I362" s="304">
        <f>$G242</f>
        <v>38171.25</v>
      </c>
      <c r="J362" s="302">
        <f>$G243</f>
        <v>51.06</v>
      </c>
      <c r="K362" s="304">
        <f>$H242</f>
        <v>38180.839999999997</v>
      </c>
      <c r="L362" s="302">
        <f>$H243</f>
        <v>38.4</v>
      </c>
    </row>
    <row r="363" spans="3:12" s="299" customFormat="1" outlineLevel="1">
      <c r="C363" s="310" t="str">
        <v>1024 kbps</v>
      </c>
      <c r="D363" s="302">
        <v>10047.85</v>
      </c>
      <c r="E363" s="304">
        <f>$E244</f>
        <v>11283.019999999999</v>
      </c>
      <c r="F363" s="302">
        <f>$E245</f>
        <v>220.98</v>
      </c>
      <c r="G363" s="304">
        <f>$F244</f>
        <v>24928.55</v>
      </c>
      <c r="H363" s="302">
        <f>$F245</f>
        <v>166.41</v>
      </c>
      <c r="I363" s="304">
        <f>$G244</f>
        <v>32487.84</v>
      </c>
      <c r="J363" s="302">
        <f>$G245</f>
        <v>69.12</v>
      </c>
      <c r="K363" s="304">
        <f>$H244</f>
        <v>41171.520000000004</v>
      </c>
      <c r="L363" s="302">
        <f>$H245</f>
        <v>43.4</v>
      </c>
    </row>
    <row r="364" spans="3:12" s="299" customFormat="1" outlineLevel="1">
      <c r="C364" s="331" t="str">
        <v>E1 (2.04 Mbps)</v>
      </c>
      <c r="D364" s="302">
        <v>19362</v>
      </c>
      <c r="E364" s="304">
        <f>$E246</f>
        <v>12670.32</v>
      </c>
      <c r="F364" s="302">
        <f>$E247</f>
        <v>232.78</v>
      </c>
      <c r="G364" s="304">
        <f>$F246</f>
        <v>35855.300000000003</v>
      </c>
      <c r="H364" s="302">
        <f>$F247</f>
        <v>157.91999999999999</v>
      </c>
      <c r="I364" s="304">
        <f>$G246</f>
        <v>58763.88</v>
      </c>
      <c r="J364" s="302">
        <f>$G247</f>
        <v>68.48</v>
      </c>
      <c r="K364" s="304">
        <f>$H246</f>
        <v>56386.840000000004</v>
      </c>
      <c r="L364" s="302">
        <f>$H247</f>
        <v>48.760000000000005</v>
      </c>
    </row>
    <row r="365" spans="3:12" s="299" customFormat="1" outlineLevel="1">
      <c r="C365" s="331" t="str">
        <v>E2 *</v>
      </c>
      <c r="D365" s="302">
        <v>54582.400000000001</v>
      </c>
      <c r="E365" s="304">
        <f>$E248</f>
        <v>70823.840000000011</v>
      </c>
      <c r="F365" s="302">
        <f>$E249</f>
        <v>1012.4800000000001</v>
      </c>
      <c r="G365" s="304">
        <f>$F248</f>
        <v>133492.04</v>
      </c>
      <c r="H365" s="302">
        <f>$F249</f>
        <v>645.12</v>
      </c>
      <c r="I365" s="304">
        <f>$G248</f>
        <v>242517.6</v>
      </c>
      <c r="J365" s="302">
        <f>$G249</f>
        <v>286.72000000000003</v>
      </c>
      <c r="K365" s="304">
        <f>$H248</f>
        <v>205273.44</v>
      </c>
      <c r="L365" s="302">
        <f>$H249</f>
        <v>222.64</v>
      </c>
    </row>
    <row r="366" spans="3:12" s="299" customFormat="1" outlineLevel="1">
      <c r="C366" s="331" t="str">
        <v>E3 (34 Mbps)</v>
      </c>
      <c r="D366" s="303">
        <v>0</v>
      </c>
      <c r="E366" s="303">
        <v>0</v>
      </c>
      <c r="F366" s="303">
        <v>0</v>
      </c>
      <c r="G366" s="303">
        <v>0</v>
      </c>
      <c r="H366" s="303">
        <v>0</v>
      </c>
      <c r="I366" s="303">
        <v>0</v>
      </c>
      <c r="J366" s="303">
        <v>0</v>
      </c>
      <c r="K366" s="303">
        <v>0</v>
      </c>
      <c r="L366" s="303">
        <v>0</v>
      </c>
    </row>
    <row r="367" spans="3:12" s="299" customFormat="1" outlineLevel="1">
      <c r="C367" s="331" t="str">
        <v>STM-1 (155 Mbps)</v>
      </c>
      <c r="D367" s="302">
        <f t="array" ref="D367:D393">D321:D347</f>
        <v>973467.41</v>
      </c>
      <c r="E367" s="304">
        <f>$E252</f>
        <v>380863.08</v>
      </c>
      <c r="F367" s="302">
        <f>$E253</f>
        <v>296.00220000000002</v>
      </c>
      <c r="G367" s="304">
        <f>$F252</f>
        <v>419654.69</v>
      </c>
      <c r="H367" s="302">
        <f>$F253</f>
        <v>345.33590000000004</v>
      </c>
      <c r="I367" s="304">
        <f>$G252</f>
        <v>289173.82</v>
      </c>
      <c r="J367" s="302">
        <f>$G253</f>
        <v>292.20730000000003</v>
      </c>
      <c r="K367" s="304">
        <f>$H252</f>
        <v>423181.2</v>
      </c>
      <c r="L367" s="302">
        <f>$H253</f>
        <v>394.6696</v>
      </c>
    </row>
    <row r="368" spans="3:12" s="299" customFormat="1" outlineLevel="1">
      <c r="C368" s="310" t="str">
        <v>STM-4 (622.08 Mbps)</v>
      </c>
      <c r="D368" s="302">
        <v>4033889.53</v>
      </c>
      <c r="E368" s="304">
        <f>$E254</f>
        <v>504573.08</v>
      </c>
      <c r="F368" s="302">
        <f>$E255</f>
        <v>818.18000000000006</v>
      </c>
      <c r="G368" s="304">
        <f>$F254</f>
        <v>546044.84</v>
      </c>
      <c r="H368" s="302">
        <f>$F255</f>
        <v>758.67599999999993</v>
      </c>
      <c r="I368" s="304">
        <f>$G254</f>
        <v>836347.16</v>
      </c>
      <c r="J368" s="302">
        <f>$G255</f>
        <v>885.12199999999996</v>
      </c>
      <c r="K368" s="304">
        <f>$H254</f>
        <v>705019.92</v>
      </c>
      <c r="L368" s="302">
        <f>$H255</f>
        <v>535.53599999999994</v>
      </c>
    </row>
    <row r="369" spans="3:12" s="299" customFormat="1" outlineLevel="1">
      <c r="C369" s="310" t="str">
        <v>STM-16 (2488.32Mbps)</v>
      </c>
      <c r="D369" s="302">
        <v>6400881.5999999996</v>
      </c>
      <c r="E369" s="304">
        <f>$E256</f>
        <v>1570900</v>
      </c>
      <c r="F369" s="302">
        <f>$E257</f>
        <v>2064.0450000000001</v>
      </c>
      <c r="G369" s="304">
        <f>$F256</f>
        <v>1665154</v>
      </c>
      <c r="H369" s="302">
        <f>$F257</f>
        <v>1878.095</v>
      </c>
      <c r="I369" s="304">
        <f>$G256</f>
        <v>1241011</v>
      </c>
      <c r="J369" s="302">
        <f>$G257</f>
        <v>2324.375</v>
      </c>
      <c r="K369" s="304">
        <f>$H256</f>
        <v>1178175</v>
      </c>
      <c r="L369" s="302">
        <f>$H257</f>
        <v>2064.0450000000001</v>
      </c>
    </row>
    <row r="370" spans="3:12" s="299" customFormat="1" outlineLevel="1">
      <c r="C370" s="310" t="str">
        <v>STM-64 (9953.28Mbps)</v>
      </c>
      <c r="D370" s="302">
        <v>8445813.4399999995</v>
      </c>
      <c r="E370" s="304">
        <f>$E258</f>
        <v>5074007</v>
      </c>
      <c r="F370" s="302">
        <f>$E259</f>
        <v>5120.8200000000006</v>
      </c>
      <c r="G370" s="304">
        <f>$F258</f>
        <v>5554702.4000000004</v>
      </c>
      <c r="H370" s="302">
        <f>$F259</f>
        <v>4804.72</v>
      </c>
      <c r="I370" s="304">
        <f>$G258</f>
        <v>3738741.9999999995</v>
      </c>
      <c r="J370" s="302">
        <f>$G259</f>
        <v>7207.079999999999</v>
      </c>
      <c r="K370" s="304">
        <f>$H258</f>
        <v>4059205.6</v>
      </c>
      <c r="L370" s="302">
        <f>$H259</f>
        <v>4804.72</v>
      </c>
    </row>
    <row r="371" spans="3:12" s="299" customFormat="1" outlineLevel="1">
      <c r="C371" s="310" t="str">
        <v>STM-256 (39813.12 Mbps)*</v>
      </c>
      <c r="D371" s="302">
        <v>44432322.879999995</v>
      </c>
      <c r="E371" s="304">
        <f>$E260</f>
        <v>20082385.599999998</v>
      </c>
      <c r="F371" s="302">
        <f>$E261</f>
        <v>31357.119999999999</v>
      </c>
      <c r="G371" s="304">
        <f>$F260</f>
        <v>19441458.400000002</v>
      </c>
      <c r="H371" s="302">
        <f>$F261</f>
        <v>23770.719999999998</v>
      </c>
      <c r="I371" s="304">
        <f>$G260</f>
        <v>16664107.200000001</v>
      </c>
      <c r="J371" s="302">
        <f>$G261</f>
        <v>29081.199999999997</v>
      </c>
      <c r="K371" s="304">
        <f>$H260</f>
        <v>23714306.400000002</v>
      </c>
      <c r="L371" s="302">
        <f>$H261</f>
        <v>23264.960000000003</v>
      </c>
    </row>
    <row r="372" spans="3:12" s="299" customFormat="1" outlineLevel="1">
      <c r="C372" s="310" t="str">
        <v>Ethernet (10Mbps)</v>
      </c>
      <c r="D372" s="302">
        <v>148750</v>
      </c>
      <c r="E372" s="305">
        <f>$E28</f>
        <v>18500</v>
      </c>
      <c r="F372" s="302">
        <f>$E263</f>
        <v>143.64000000000001</v>
      </c>
      <c r="G372" s="305">
        <f>$E200</f>
        <v>18500</v>
      </c>
      <c r="H372" s="302">
        <f>$F263</f>
        <v>136.79999999999998</v>
      </c>
      <c r="I372" s="305">
        <f>$E200</f>
        <v>18500</v>
      </c>
      <c r="J372" s="302">
        <f>$G263</f>
        <v>143.64000000000001</v>
      </c>
      <c r="K372" s="305">
        <f>$E200</f>
        <v>18500</v>
      </c>
      <c r="L372" s="302">
        <f>$H263</f>
        <v>116.28</v>
      </c>
    </row>
    <row r="373" spans="3:12" s="299" customFormat="1" outlineLevel="1">
      <c r="C373" s="310" t="str">
        <v>Ethernet (20Mbps)</v>
      </c>
      <c r="D373" s="302">
        <v>160000</v>
      </c>
      <c r="E373" s="305">
        <f t="shared" ref="E373:E393" si="64">$E29</f>
        <v>19125</v>
      </c>
      <c r="F373" s="302">
        <f>$E265</f>
        <v>129.60000000000002</v>
      </c>
      <c r="G373" s="305">
        <f t="shared" ref="G373:G393" si="65">$E201</f>
        <v>19125</v>
      </c>
      <c r="H373" s="302">
        <f>$F265</f>
        <v>152.4</v>
      </c>
      <c r="I373" s="305">
        <f t="shared" ref="I373:I393" si="66">$E201</f>
        <v>19125</v>
      </c>
      <c r="J373" s="302">
        <f>$G265</f>
        <v>87.6</v>
      </c>
      <c r="K373" s="305">
        <f t="shared" ref="K373:K393" si="67">$E201</f>
        <v>19125</v>
      </c>
      <c r="L373" s="302">
        <f>$H265</f>
        <v>100.8</v>
      </c>
    </row>
    <row r="374" spans="3:12" s="299" customFormat="1" outlineLevel="1">
      <c r="C374" s="310" t="str">
        <v>Ethernet (30Mbps)</v>
      </c>
      <c r="D374" s="302">
        <v>97500</v>
      </c>
      <c r="E374" s="305">
        <f t="shared" si="64"/>
        <v>25330</v>
      </c>
      <c r="F374" s="302">
        <f>$E267</f>
        <v>152.60000000000002</v>
      </c>
      <c r="G374" s="305">
        <f t="shared" si="65"/>
        <v>25330</v>
      </c>
      <c r="H374" s="302">
        <f>$F267</f>
        <v>169.4</v>
      </c>
      <c r="I374" s="305">
        <f t="shared" si="66"/>
        <v>25330</v>
      </c>
      <c r="J374" s="302">
        <f>$G267</f>
        <v>135.79999999999998</v>
      </c>
      <c r="K374" s="305">
        <f t="shared" si="67"/>
        <v>25330</v>
      </c>
      <c r="L374" s="302">
        <f>$H267</f>
        <v>151.20000000000002</v>
      </c>
    </row>
    <row r="375" spans="3:12" s="299" customFormat="1" outlineLevel="1">
      <c r="C375" s="310" t="str">
        <v>Ethernet (40Mbps)</v>
      </c>
      <c r="D375" s="302">
        <v>148750</v>
      </c>
      <c r="E375" s="305">
        <f t="shared" si="64"/>
        <v>31126</v>
      </c>
      <c r="F375" s="302">
        <f>$E269</f>
        <v>135.72</v>
      </c>
      <c r="G375" s="305">
        <f t="shared" si="65"/>
        <v>31126</v>
      </c>
      <c r="H375" s="302">
        <f>$F269</f>
        <v>198.12</v>
      </c>
      <c r="I375" s="305">
        <f t="shared" si="66"/>
        <v>31126</v>
      </c>
      <c r="J375" s="302">
        <f>$G269</f>
        <v>190.32</v>
      </c>
      <c r="K375" s="305">
        <f t="shared" si="67"/>
        <v>31126</v>
      </c>
      <c r="L375" s="302">
        <f>$H269</f>
        <v>177.83999999999997</v>
      </c>
    </row>
    <row r="376" spans="3:12" s="299" customFormat="1" outlineLevel="1">
      <c r="C376" s="310" t="str">
        <v>Ethernet (50Mbps)</v>
      </c>
      <c r="D376" s="302">
        <v>150000</v>
      </c>
      <c r="E376" s="305">
        <f t="shared" si="64"/>
        <v>55440</v>
      </c>
      <c r="F376" s="302">
        <f>$E271</f>
        <v>144</v>
      </c>
      <c r="G376" s="305">
        <f t="shared" si="65"/>
        <v>55440</v>
      </c>
      <c r="H376" s="302">
        <f>$F271</f>
        <v>133.19999999999999</v>
      </c>
      <c r="I376" s="305">
        <f t="shared" si="66"/>
        <v>55440</v>
      </c>
      <c r="J376" s="302">
        <f>$G271</f>
        <v>203.39999999999998</v>
      </c>
      <c r="K376" s="305">
        <f t="shared" si="67"/>
        <v>55440</v>
      </c>
      <c r="L376" s="302">
        <f>$H271</f>
        <v>174.6</v>
      </c>
    </row>
    <row r="377" spans="3:12" s="299" customFormat="1" outlineLevel="1">
      <c r="C377" s="310" t="str">
        <v>Ethernet (60Mbps)</v>
      </c>
      <c r="D377" s="302">
        <v>106250</v>
      </c>
      <c r="E377" s="305">
        <f t="shared" si="64"/>
        <v>42252</v>
      </c>
      <c r="F377" s="302">
        <f>$E273</f>
        <v>198</v>
      </c>
      <c r="G377" s="305">
        <f t="shared" si="65"/>
        <v>42252</v>
      </c>
      <c r="H377" s="302">
        <f>$F273</f>
        <v>199.98</v>
      </c>
      <c r="I377" s="305">
        <f t="shared" si="66"/>
        <v>42252</v>
      </c>
      <c r="J377" s="302">
        <f>$G273</f>
        <v>237.6</v>
      </c>
      <c r="K377" s="305">
        <f t="shared" si="67"/>
        <v>42252</v>
      </c>
      <c r="L377" s="302">
        <f>$H273</f>
        <v>162.35999999999999</v>
      </c>
    </row>
    <row r="378" spans="3:12" s="299" customFormat="1" outlineLevel="1">
      <c r="C378" s="310" t="str">
        <v>Ethernet (70Mbps)</v>
      </c>
      <c r="D378" s="302">
        <v>112500</v>
      </c>
      <c r="E378" s="305">
        <f t="shared" si="64"/>
        <v>51324</v>
      </c>
      <c r="F378" s="302">
        <f>$E275</f>
        <v>214.20000000000002</v>
      </c>
      <c r="G378" s="305">
        <f t="shared" si="65"/>
        <v>51324</v>
      </c>
      <c r="H378" s="302">
        <f>$F275</f>
        <v>245.7</v>
      </c>
      <c r="I378" s="305">
        <f t="shared" si="66"/>
        <v>51324</v>
      </c>
      <c r="J378" s="302">
        <f>$G275</f>
        <v>273</v>
      </c>
      <c r="K378" s="305">
        <f t="shared" si="67"/>
        <v>51324</v>
      </c>
      <c r="L378" s="302">
        <f>$H275</f>
        <v>256.2</v>
      </c>
    </row>
    <row r="379" spans="3:12" s="299" customFormat="1" outlineLevel="1">
      <c r="C379" s="310" t="str">
        <v>Ethernet (80Mbps)</v>
      </c>
      <c r="D379" s="302">
        <v>91250</v>
      </c>
      <c r="E379" s="305">
        <f t="shared" si="64"/>
        <v>63612.000000000007</v>
      </c>
      <c r="F379" s="302">
        <f>$E277</f>
        <v>226.8</v>
      </c>
      <c r="G379" s="305">
        <f t="shared" si="65"/>
        <v>63612.000000000007</v>
      </c>
      <c r="H379" s="302">
        <f>$F277</f>
        <v>213.84</v>
      </c>
      <c r="I379" s="305">
        <f t="shared" si="66"/>
        <v>63612.000000000007</v>
      </c>
      <c r="J379" s="302">
        <f>$G277</f>
        <v>261.36</v>
      </c>
      <c r="K379" s="305">
        <f t="shared" si="67"/>
        <v>63612.000000000007</v>
      </c>
      <c r="L379" s="302">
        <f>$H277</f>
        <v>228.96</v>
      </c>
    </row>
    <row r="380" spans="3:12" s="299" customFormat="1" outlineLevel="1">
      <c r="C380" s="310" t="str">
        <v>Ethernet (90Mbps)</v>
      </c>
      <c r="D380" s="302">
        <v>91250</v>
      </c>
      <c r="E380" s="305">
        <f t="shared" si="64"/>
        <v>46136</v>
      </c>
      <c r="F380" s="302">
        <f>$E279</f>
        <v>178.20000000000002</v>
      </c>
      <c r="G380" s="305">
        <f t="shared" si="65"/>
        <v>46136</v>
      </c>
      <c r="H380" s="302">
        <f>$F279</f>
        <v>228.8</v>
      </c>
      <c r="I380" s="305">
        <f t="shared" si="66"/>
        <v>46136</v>
      </c>
      <c r="J380" s="302">
        <f>$G279</f>
        <v>198</v>
      </c>
      <c r="K380" s="305">
        <f t="shared" si="67"/>
        <v>46136</v>
      </c>
      <c r="L380" s="302">
        <f>$H279</f>
        <v>235.4</v>
      </c>
    </row>
    <row r="381" spans="3:12" s="299" customFormat="1" outlineLevel="1">
      <c r="C381" s="310" t="str">
        <v>GigaEthernet (100Mbps)</v>
      </c>
      <c r="D381" s="302">
        <v>267500</v>
      </c>
      <c r="E381" s="305">
        <f t="shared" si="64"/>
        <v>56550</v>
      </c>
      <c r="F381" s="302">
        <f>$E281</f>
        <v>166.5</v>
      </c>
      <c r="G381" s="305">
        <f t="shared" si="65"/>
        <v>56550</v>
      </c>
      <c r="H381" s="302">
        <f>$F281</f>
        <v>247.50000000000003</v>
      </c>
      <c r="I381" s="305">
        <f t="shared" si="66"/>
        <v>56550</v>
      </c>
      <c r="J381" s="302">
        <f>$G281</f>
        <v>225</v>
      </c>
      <c r="K381" s="305">
        <f t="shared" si="67"/>
        <v>56550</v>
      </c>
      <c r="L381" s="302">
        <f>$H281</f>
        <v>220.5</v>
      </c>
    </row>
    <row r="382" spans="3:12" s="299" customFormat="1" outlineLevel="1">
      <c r="C382" s="310" t="str">
        <v>GigaEthernet (150Mbps)</v>
      </c>
      <c r="D382" s="302">
        <v>227500</v>
      </c>
      <c r="E382" s="305">
        <f t="shared" si="64"/>
        <v>79514</v>
      </c>
      <c r="F382" s="302">
        <f>$E283</f>
        <v>299.25</v>
      </c>
      <c r="G382" s="305">
        <f t="shared" si="65"/>
        <v>79514</v>
      </c>
      <c r="H382" s="302">
        <f>$F283</f>
        <v>396.9</v>
      </c>
      <c r="I382" s="305">
        <f t="shared" si="66"/>
        <v>79514</v>
      </c>
      <c r="J382" s="302">
        <f>$G283</f>
        <v>349.65000000000003</v>
      </c>
      <c r="K382" s="305">
        <f t="shared" si="67"/>
        <v>79514</v>
      </c>
      <c r="L382" s="302">
        <f>$H283</f>
        <v>283.5</v>
      </c>
    </row>
    <row r="383" spans="3:12" s="299" customFormat="1" outlineLevel="1">
      <c r="C383" s="310" t="str">
        <v>GigaEthernet (200Mbps)</v>
      </c>
      <c r="D383" s="302">
        <v>297500</v>
      </c>
      <c r="E383" s="305">
        <f t="shared" si="64"/>
        <v>117696</v>
      </c>
      <c r="F383" s="302">
        <f>$E285</f>
        <v>420</v>
      </c>
      <c r="G383" s="305">
        <f t="shared" si="65"/>
        <v>117696</v>
      </c>
      <c r="H383" s="302">
        <f>$F285</f>
        <v>525</v>
      </c>
      <c r="I383" s="305">
        <f t="shared" si="66"/>
        <v>117696</v>
      </c>
      <c r="J383" s="302">
        <f>$G285</f>
        <v>466.20000000000005</v>
      </c>
      <c r="K383" s="305">
        <f t="shared" si="67"/>
        <v>117696</v>
      </c>
      <c r="L383" s="302">
        <f>$H285</f>
        <v>428.40000000000003</v>
      </c>
    </row>
    <row r="384" spans="3:12" s="299" customFormat="1" outlineLevel="1">
      <c r="C384" s="310" t="str">
        <v>GigaEthernet (250Mbps)</v>
      </c>
      <c r="D384" s="302">
        <v>185000</v>
      </c>
      <c r="E384" s="305">
        <f t="shared" si="64"/>
        <v>105120</v>
      </c>
      <c r="F384" s="302">
        <f>$E287</f>
        <v>468.47999999999996</v>
      </c>
      <c r="G384" s="305">
        <f t="shared" si="65"/>
        <v>105120</v>
      </c>
      <c r="H384" s="302">
        <f>$F287</f>
        <v>390.40000000000003</v>
      </c>
      <c r="I384" s="305">
        <f t="shared" si="66"/>
        <v>105120</v>
      </c>
      <c r="J384" s="302">
        <f>$G287</f>
        <v>507.52000000000004</v>
      </c>
      <c r="K384" s="305">
        <f t="shared" si="67"/>
        <v>105120</v>
      </c>
      <c r="L384" s="302">
        <f>$H287</f>
        <v>531.92000000000007</v>
      </c>
    </row>
    <row r="385" spans="2:13" s="299" customFormat="1" outlineLevel="1">
      <c r="C385" s="310" t="str">
        <v>GigaEthernet (300Mbps)</v>
      </c>
      <c r="D385" s="302">
        <v>230000</v>
      </c>
      <c r="E385" s="305">
        <f t="shared" si="64"/>
        <v>147295</v>
      </c>
      <c r="F385" s="302">
        <f>$E289</f>
        <v>573.29999999999995</v>
      </c>
      <c r="G385" s="305">
        <f t="shared" si="65"/>
        <v>147295</v>
      </c>
      <c r="H385" s="302">
        <f>$F289</f>
        <v>748.80000000000007</v>
      </c>
      <c r="I385" s="305">
        <f t="shared" si="66"/>
        <v>147295</v>
      </c>
      <c r="J385" s="302">
        <f>$G289</f>
        <v>409.5</v>
      </c>
      <c r="K385" s="305">
        <f t="shared" si="67"/>
        <v>147295</v>
      </c>
      <c r="L385" s="302">
        <f>$H289</f>
        <v>555.75</v>
      </c>
    </row>
    <row r="386" spans="2:13" s="299" customFormat="1" outlineLevel="1">
      <c r="C386" s="310" t="str">
        <v>GigaEthernet (350Mbps)</v>
      </c>
      <c r="D386" s="302">
        <v>267500</v>
      </c>
      <c r="E386" s="305">
        <f t="shared" si="64"/>
        <v>157164</v>
      </c>
      <c r="F386" s="302">
        <f>$E291</f>
        <v>703.49</v>
      </c>
      <c r="G386" s="305">
        <f t="shared" si="65"/>
        <v>157164</v>
      </c>
      <c r="H386" s="302">
        <f>$F291</f>
        <v>601.04</v>
      </c>
      <c r="I386" s="305">
        <f t="shared" si="66"/>
        <v>157164</v>
      </c>
      <c r="J386" s="302">
        <f>$G291</f>
        <v>594.21</v>
      </c>
      <c r="K386" s="305">
        <f t="shared" si="67"/>
        <v>157164</v>
      </c>
      <c r="L386" s="302">
        <f>$H291</f>
        <v>764.96</v>
      </c>
    </row>
    <row r="387" spans="2:13" s="299" customFormat="1" outlineLevel="1">
      <c r="C387" s="310" t="str">
        <v>GigaEthernet (400Mbps)</v>
      </c>
      <c r="D387" s="302">
        <v>230000</v>
      </c>
      <c r="E387" s="305">
        <f t="shared" si="64"/>
        <v>235604.99999999997</v>
      </c>
      <c r="F387" s="302">
        <f>$E293</f>
        <v>616.20000000000005</v>
      </c>
      <c r="G387" s="305">
        <f t="shared" si="65"/>
        <v>235604.99999999997</v>
      </c>
      <c r="H387" s="302">
        <f>$F293</f>
        <v>717.6</v>
      </c>
      <c r="I387" s="305">
        <f t="shared" si="66"/>
        <v>235604.99999999997</v>
      </c>
      <c r="J387" s="302">
        <f>$G293</f>
        <v>858.00000000000011</v>
      </c>
      <c r="K387" s="305">
        <f t="shared" si="67"/>
        <v>235604.99999999997</v>
      </c>
      <c r="L387" s="302">
        <f>$H293</f>
        <v>982.8</v>
      </c>
    </row>
    <row r="388" spans="2:13" s="299" customFormat="1" outlineLevel="1">
      <c r="C388" s="310" t="str">
        <v>GigaEthernet (450Mbps)</v>
      </c>
      <c r="D388" s="302">
        <v>212500</v>
      </c>
      <c r="E388" s="305">
        <f t="shared" si="64"/>
        <v>174800</v>
      </c>
      <c r="F388" s="302">
        <f>$E295</f>
        <v>1132.6200000000001</v>
      </c>
      <c r="G388" s="305">
        <f t="shared" si="65"/>
        <v>174800</v>
      </c>
      <c r="H388" s="302">
        <f>$F295</f>
        <v>728.74</v>
      </c>
      <c r="I388" s="305">
        <f t="shared" si="66"/>
        <v>174800</v>
      </c>
      <c r="J388" s="302">
        <f>$G295</f>
        <v>658.5</v>
      </c>
      <c r="K388" s="305">
        <f t="shared" si="67"/>
        <v>174800</v>
      </c>
      <c r="L388" s="302">
        <f>$H295</f>
        <v>1106.28</v>
      </c>
    </row>
    <row r="389" spans="2:13" s="299" customFormat="1" outlineLevel="1">
      <c r="C389" s="310" t="str">
        <v>GigaEthernet (500Mbps)</v>
      </c>
      <c r="D389" s="302">
        <v>240000</v>
      </c>
      <c r="E389" s="305">
        <f t="shared" si="64"/>
        <v>176050</v>
      </c>
      <c r="F389" s="302">
        <f>$E297</f>
        <v>1019.16</v>
      </c>
      <c r="G389" s="305">
        <f t="shared" si="65"/>
        <v>176050</v>
      </c>
      <c r="H389" s="302">
        <f>$F297</f>
        <v>840.3599999999999</v>
      </c>
      <c r="I389" s="305">
        <f t="shared" si="66"/>
        <v>176050</v>
      </c>
      <c r="J389" s="302">
        <f>$G297</f>
        <v>625.79999999999995</v>
      </c>
      <c r="K389" s="305">
        <f t="shared" si="67"/>
        <v>176050</v>
      </c>
      <c r="L389" s="302">
        <f>$H297</f>
        <v>759.9</v>
      </c>
    </row>
    <row r="390" spans="2:13" s="299" customFormat="1" outlineLevel="1">
      <c r="C390" s="310" t="str">
        <v>GigaEthernet (550Mbps)</v>
      </c>
      <c r="D390" s="302">
        <v>275000</v>
      </c>
      <c r="E390" s="305">
        <f t="shared" si="64"/>
        <v>281087</v>
      </c>
      <c r="F390" s="302">
        <f>$E299</f>
        <v>1150.1099999999999</v>
      </c>
      <c r="G390" s="305">
        <f t="shared" si="65"/>
        <v>281087</v>
      </c>
      <c r="H390" s="302">
        <f>$F299</f>
        <v>1081.3000000000002</v>
      </c>
      <c r="I390" s="305">
        <f t="shared" si="66"/>
        <v>281087</v>
      </c>
      <c r="J390" s="302">
        <f>$G299</f>
        <v>1150.1099999999999</v>
      </c>
      <c r="K390" s="305">
        <f t="shared" si="67"/>
        <v>281087</v>
      </c>
      <c r="L390" s="302">
        <f>$H299</f>
        <v>1032.1500000000001</v>
      </c>
    </row>
    <row r="391" spans="2:13" s="299" customFormat="1" outlineLevel="1">
      <c r="C391" s="310" t="str">
        <v>GigaEthernet (600Mbps)</v>
      </c>
      <c r="D391" s="302">
        <v>282500</v>
      </c>
      <c r="E391" s="305">
        <f t="shared" si="64"/>
        <v>209095</v>
      </c>
      <c r="F391" s="302">
        <f>$E301</f>
        <v>976.43000000000006</v>
      </c>
      <c r="G391" s="305">
        <f t="shared" si="65"/>
        <v>209095</v>
      </c>
      <c r="H391" s="302">
        <f>$F301</f>
        <v>1384.17</v>
      </c>
      <c r="I391" s="305">
        <f t="shared" si="66"/>
        <v>209095</v>
      </c>
      <c r="J391" s="302">
        <f>$G301</f>
        <v>890.58999999999992</v>
      </c>
      <c r="K391" s="305">
        <f t="shared" si="67"/>
        <v>209095</v>
      </c>
      <c r="L391" s="302">
        <f>$H301</f>
        <v>1030.08</v>
      </c>
    </row>
    <row r="392" spans="2:13" s="299" customFormat="1" outlineLevel="1">
      <c r="C392" s="310" t="str">
        <v>GigaEthernet (750Mbps)</v>
      </c>
      <c r="D392" s="302">
        <v>220000</v>
      </c>
      <c r="E392" s="305">
        <f t="shared" si="64"/>
        <v>467649</v>
      </c>
      <c r="F392" s="302">
        <f>$E303</f>
        <v>965.52</v>
      </c>
      <c r="G392" s="305">
        <f t="shared" si="65"/>
        <v>467649</v>
      </c>
      <c r="H392" s="302">
        <f>$F303</f>
        <v>1743.3</v>
      </c>
      <c r="I392" s="305">
        <f t="shared" si="66"/>
        <v>467649</v>
      </c>
      <c r="J392" s="302">
        <f>$G303</f>
        <v>1180.08</v>
      </c>
      <c r="K392" s="305">
        <f t="shared" si="67"/>
        <v>467649</v>
      </c>
      <c r="L392" s="302">
        <f>$H303</f>
        <v>1381.23</v>
      </c>
    </row>
    <row r="393" spans="2:13" s="299" customFormat="1">
      <c r="C393" s="310" t="str">
        <v>GigaEthernet (1 Gbps)</v>
      </c>
      <c r="D393" s="302">
        <v>305000</v>
      </c>
      <c r="E393" s="305">
        <f t="shared" si="64"/>
        <v>522313</v>
      </c>
      <c r="F393" s="302">
        <f>$E305</f>
        <v>1218.75</v>
      </c>
      <c r="G393" s="305">
        <f t="shared" si="65"/>
        <v>522313</v>
      </c>
      <c r="H393" s="302">
        <f>$F305</f>
        <v>1413.75</v>
      </c>
      <c r="I393" s="305">
        <f t="shared" si="66"/>
        <v>522313</v>
      </c>
      <c r="J393" s="302">
        <f>$G305</f>
        <v>1153.75</v>
      </c>
      <c r="K393" s="305">
        <f t="shared" si="67"/>
        <v>522313</v>
      </c>
      <c r="L393" s="302">
        <f>$H305</f>
        <v>1560</v>
      </c>
    </row>
    <row r="394" spans="2:13">
      <c r="M394" s="307" t="s">
        <v>124</v>
      </c>
    </row>
    <row r="397" spans="2:13" s="299" customFormat="1" ht="17.25" thickBot="1">
      <c r="B397" s="308" t="s">
        <v>529</v>
      </c>
      <c r="C397" s="308"/>
      <c r="D397" s="308"/>
      <c r="E397" s="308"/>
    </row>
    <row r="398" spans="2:13" s="299" customFormat="1" ht="18" thickTop="1" thickBot="1">
      <c r="B398" s="308" t="s">
        <v>530</v>
      </c>
      <c r="C398" s="308"/>
      <c r="D398" s="308"/>
      <c r="E398" s="308"/>
      <c r="F398" s="308"/>
      <c r="G398" s="308"/>
      <c r="H398" s="308"/>
      <c r="I398" s="308"/>
      <c r="J398" s="308"/>
      <c r="K398" s="308"/>
      <c r="L398" s="308"/>
      <c r="M398" s="308"/>
    </row>
    <row r="399" spans="2:13" s="299" customFormat="1" ht="12.75" thickTop="1"/>
    <row r="400" spans="2:13" s="299" customFormat="1">
      <c r="C400" s="309" t="s">
        <v>442</v>
      </c>
      <c r="E400" s="309" t="s">
        <v>186</v>
      </c>
      <c r="F400"/>
      <c r="G400"/>
      <c r="H400"/>
    </row>
    <row r="401" spans="3:8" s="299" customFormat="1">
      <c r="C401" s="309" t="s">
        <v>503</v>
      </c>
      <c r="E401" s="309" t="s">
        <v>26</v>
      </c>
      <c r="F401"/>
      <c r="G401"/>
      <c r="H401"/>
    </row>
    <row r="402" spans="3:8" s="299" customFormat="1">
      <c r="C402" s="528" t="s">
        <v>443</v>
      </c>
      <c r="D402" s="329" t="s">
        <v>508</v>
      </c>
      <c r="E402" s="468">
        <f t="array" ref="E402:E477">'7'!$K$233:$K$308</f>
        <v>4654.32</v>
      </c>
      <c r="F402"/>
      <c r="G402"/>
      <c r="H402"/>
    </row>
    <row r="403" spans="3:8" s="299" customFormat="1">
      <c r="C403" s="529"/>
      <c r="D403" s="329" t="s">
        <v>509</v>
      </c>
      <c r="E403" s="468" t="str">
        <v>NA</v>
      </c>
      <c r="F403"/>
      <c r="G403"/>
      <c r="H403"/>
    </row>
    <row r="404" spans="3:8" s="299" customFormat="1" outlineLevel="1">
      <c r="C404" s="530" t="s">
        <v>444</v>
      </c>
      <c r="D404" s="329" t="s">
        <v>508</v>
      </c>
      <c r="E404" s="468">
        <v>5389.9199999999992</v>
      </c>
      <c r="F404"/>
      <c r="G404"/>
      <c r="H404"/>
    </row>
    <row r="405" spans="3:8" s="299" customFormat="1" outlineLevel="1">
      <c r="C405" s="531"/>
      <c r="D405" s="329" t="s">
        <v>509</v>
      </c>
      <c r="E405" s="468" t="str">
        <v>NA</v>
      </c>
      <c r="F405"/>
      <c r="G405"/>
      <c r="H405"/>
    </row>
    <row r="406" spans="3:8" s="299" customFormat="1" outlineLevel="1">
      <c r="C406" s="532" t="s">
        <v>445</v>
      </c>
      <c r="D406" s="329" t="s">
        <v>508</v>
      </c>
      <c r="E406" s="468">
        <v>4712.82</v>
      </c>
      <c r="F406"/>
      <c r="G406"/>
      <c r="H406"/>
    </row>
    <row r="407" spans="3:8" s="299" customFormat="1" outlineLevel="1">
      <c r="C407" s="533"/>
      <c r="D407" s="329" t="s">
        <v>509</v>
      </c>
      <c r="E407" s="468" t="str">
        <v>NA</v>
      </c>
      <c r="F407"/>
      <c r="G407"/>
      <c r="H407"/>
    </row>
    <row r="408" spans="3:8" s="299" customFormat="1" outlineLevel="1">
      <c r="C408" s="532" t="s">
        <v>446</v>
      </c>
      <c r="D408" s="329" t="s">
        <v>508</v>
      </c>
      <c r="E408" s="468">
        <v>5231.2300000000005</v>
      </c>
      <c r="F408"/>
      <c r="G408"/>
      <c r="H408"/>
    </row>
    <row r="409" spans="3:8" s="299" customFormat="1" outlineLevel="1">
      <c r="C409" s="533"/>
      <c r="D409" s="329" t="s">
        <v>509</v>
      </c>
      <c r="E409" s="468" t="str">
        <v>NA</v>
      </c>
      <c r="F409"/>
      <c r="G409"/>
      <c r="H409"/>
    </row>
    <row r="410" spans="3:8" s="299" customFormat="1" outlineLevel="1">
      <c r="C410" s="532" t="s">
        <v>447</v>
      </c>
      <c r="D410" s="329" t="s">
        <v>508</v>
      </c>
      <c r="E410" s="468">
        <v>6340.1399999999994</v>
      </c>
      <c r="F410"/>
      <c r="G410"/>
      <c r="H410"/>
    </row>
    <row r="411" spans="3:8" s="299" customFormat="1" outlineLevel="1">
      <c r="C411" s="533"/>
      <c r="D411" s="329" t="s">
        <v>509</v>
      </c>
      <c r="E411" s="468" t="str">
        <v>NA</v>
      </c>
      <c r="F411"/>
      <c r="G411"/>
      <c r="H411"/>
    </row>
    <row r="412" spans="3:8" s="299" customFormat="1" outlineLevel="1">
      <c r="C412" s="532" t="s">
        <v>448</v>
      </c>
      <c r="D412" s="329" t="s">
        <v>508</v>
      </c>
      <c r="E412" s="468">
        <v>4874.58</v>
      </c>
      <c r="F412"/>
      <c r="G412"/>
      <c r="H412"/>
    </row>
    <row r="413" spans="3:8" s="299" customFormat="1" outlineLevel="1">
      <c r="C413" s="533"/>
      <c r="D413" s="329" t="s">
        <v>509</v>
      </c>
      <c r="E413" s="468" t="str">
        <v>NA</v>
      </c>
      <c r="F413"/>
      <c r="G413"/>
      <c r="H413"/>
    </row>
    <row r="414" spans="3:8" s="299" customFormat="1" outlineLevel="1">
      <c r="C414" s="532" t="s">
        <v>449</v>
      </c>
      <c r="D414" s="329" t="s">
        <v>508</v>
      </c>
      <c r="E414" s="468">
        <v>6985</v>
      </c>
      <c r="F414"/>
      <c r="G414"/>
      <c r="H414"/>
    </row>
    <row r="415" spans="3:8" s="299" customFormat="1" outlineLevel="1">
      <c r="C415" s="533"/>
      <c r="D415" s="329" t="s">
        <v>509</v>
      </c>
      <c r="E415" s="468" t="str">
        <v>NA</v>
      </c>
      <c r="F415"/>
      <c r="G415"/>
      <c r="H415"/>
    </row>
    <row r="416" spans="3:8" s="299" customFormat="1" outlineLevel="1">
      <c r="C416" s="532" t="s">
        <v>450</v>
      </c>
      <c r="D416" s="329" t="s">
        <v>508</v>
      </c>
      <c r="E416" s="468">
        <v>7278.42</v>
      </c>
      <c r="F416"/>
      <c r="G416"/>
      <c r="H416"/>
    </row>
    <row r="417" spans="3:8" s="299" customFormat="1" outlineLevel="1">
      <c r="C417" s="533"/>
      <c r="D417" s="329" t="s">
        <v>509</v>
      </c>
      <c r="E417" s="468" t="str">
        <v>NA</v>
      </c>
      <c r="F417"/>
      <c r="G417"/>
      <c r="H417"/>
    </row>
    <row r="418" spans="3:8" s="299" customFormat="1" outlineLevel="1">
      <c r="C418" s="534" t="s">
        <v>451</v>
      </c>
      <c r="D418" s="329" t="s">
        <v>508</v>
      </c>
      <c r="E418" s="468">
        <v>7819.64</v>
      </c>
      <c r="F418"/>
      <c r="G418"/>
      <c r="H418"/>
    </row>
    <row r="419" spans="3:8" s="299" customFormat="1" outlineLevel="1">
      <c r="C419" s="535"/>
      <c r="D419" s="329" t="s">
        <v>509</v>
      </c>
      <c r="E419" s="468" t="str">
        <v>NA</v>
      </c>
      <c r="F419"/>
      <c r="G419"/>
      <c r="H419"/>
    </row>
    <row r="420" spans="3:8" s="299" customFormat="1" outlineLevel="1">
      <c r="C420" s="534" t="s">
        <v>510</v>
      </c>
      <c r="D420" s="329" t="s">
        <v>508</v>
      </c>
      <c r="E420" s="468">
        <v>43625.36</v>
      </c>
      <c r="F420"/>
      <c r="G420"/>
      <c r="H420"/>
    </row>
    <row r="421" spans="3:8" s="299" customFormat="1" outlineLevel="1">
      <c r="C421" s="535"/>
      <c r="D421" s="329" t="s">
        <v>509</v>
      </c>
      <c r="E421" s="468" t="str">
        <v>NA</v>
      </c>
      <c r="F421"/>
      <c r="G421"/>
      <c r="H421"/>
    </row>
    <row r="422" spans="3:8" s="299" customFormat="1" outlineLevel="1">
      <c r="C422" s="534" t="s">
        <v>27</v>
      </c>
      <c r="D422" s="329" t="s">
        <v>508</v>
      </c>
      <c r="E422" s="468" t="str">
        <v>NA</v>
      </c>
      <c r="F422"/>
      <c r="G422"/>
      <c r="H422"/>
    </row>
    <row r="423" spans="3:8" s="299" customFormat="1" outlineLevel="1">
      <c r="C423" s="535"/>
      <c r="D423" s="329" t="s">
        <v>509</v>
      </c>
      <c r="E423" s="468" t="str">
        <v>NA</v>
      </c>
      <c r="F423"/>
      <c r="G423"/>
      <c r="H423"/>
    </row>
    <row r="424" spans="3:8" s="299" customFormat="1" outlineLevel="1">
      <c r="C424" s="534" t="s">
        <v>28</v>
      </c>
      <c r="D424" s="329" t="s">
        <v>508</v>
      </c>
      <c r="E424" s="468">
        <v>197748.72</v>
      </c>
      <c r="F424"/>
      <c r="G424"/>
      <c r="H424"/>
    </row>
    <row r="425" spans="3:8" s="299" customFormat="1" outlineLevel="1">
      <c r="C425" s="535"/>
      <c r="D425" s="329" t="s">
        <v>509</v>
      </c>
      <c r="E425" s="468" t="str">
        <v>NA</v>
      </c>
      <c r="F425"/>
      <c r="G425"/>
      <c r="H425"/>
    </row>
    <row r="426" spans="3:8" s="299" customFormat="1" outlineLevel="1">
      <c r="C426" s="536" t="s">
        <v>453</v>
      </c>
      <c r="D426" s="329" t="s">
        <v>508</v>
      </c>
      <c r="E426" s="468">
        <v>943742.71000000008</v>
      </c>
      <c r="F426"/>
      <c r="G426"/>
      <c r="H426"/>
    </row>
    <row r="427" spans="3:8" s="299" customFormat="1" outlineLevel="1">
      <c r="C427" s="537"/>
      <c r="D427" s="329" t="s">
        <v>509</v>
      </c>
      <c r="E427" s="468" t="str">
        <v>NA</v>
      </c>
      <c r="F427"/>
      <c r="G427"/>
      <c r="H427"/>
    </row>
    <row r="428" spans="3:8" s="299" customFormat="1" outlineLevel="1">
      <c r="C428" s="536" t="s">
        <v>454</v>
      </c>
      <c r="D428" s="329" t="s">
        <v>508</v>
      </c>
      <c r="E428" s="468">
        <v>2207837.94</v>
      </c>
      <c r="F428"/>
      <c r="G428"/>
      <c r="H428"/>
    </row>
    <row r="429" spans="3:8" s="299" customFormat="1" outlineLevel="1">
      <c r="C429" s="537"/>
      <c r="D429" s="329" t="s">
        <v>509</v>
      </c>
      <c r="E429" s="468" t="str">
        <v>NA</v>
      </c>
      <c r="F429"/>
      <c r="G429"/>
      <c r="H429"/>
    </row>
    <row r="430" spans="3:8" s="299" customFormat="1" outlineLevel="1">
      <c r="C430" s="536" t="s">
        <v>455</v>
      </c>
      <c r="D430" s="329" t="s">
        <v>508</v>
      </c>
      <c r="E430" s="468">
        <v>6329136.46</v>
      </c>
      <c r="F430"/>
      <c r="G430"/>
      <c r="H430"/>
    </row>
    <row r="431" spans="3:8" s="299" customFormat="1" outlineLevel="1">
      <c r="C431" s="537"/>
      <c r="D431" s="329" t="s">
        <v>509</v>
      </c>
      <c r="E431" s="468" t="str">
        <v>NA</v>
      </c>
      <c r="F431"/>
      <c r="G431"/>
      <c r="H431"/>
    </row>
    <row r="432" spans="3:8" s="299" customFormat="1" outlineLevel="1">
      <c r="C432" s="536" t="s">
        <v>456</v>
      </c>
      <c r="D432" s="329" t="s">
        <v>508</v>
      </c>
      <c r="E432" s="468">
        <v>37974818.759999998</v>
      </c>
      <c r="F432"/>
      <c r="G432"/>
      <c r="H432"/>
    </row>
    <row r="433" spans="3:8" s="299" customFormat="1" outlineLevel="1">
      <c r="C433" s="537"/>
      <c r="D433" s="329" t="s">
        <v>509</v>
      </c>
      <c r="E433" s="468" t="str">
        <v>NA</v>
      </c>
      <c r="F433"/>
      <c r="G433"/>
      <c r="H433"/>
    </row>
    <row r="434" spans="3:8" s="299" customFormat="1" outlineLevel="1">
      <c r="C434" s="530" t="s">
        <v>457</v>
      </c>
      <c r="D434" s="329" t="s">
        <v>508</v>
      </c>
      <c r="E434" s="468">
        <v>27868.1</v>
      </c>
      <c r="F434"/>
      <c r="G434"/>
      <c r="H434"/>
    </row>
    <row r="435" spans="3:8" s="299" customFormat="1" outlineLevel="1">
      <c r="C435" s="531"/>
      <c r="D435" s="329" t="s">
        <v>511</v>
      </c>
      <c r="E435" s="468" t="str">
        <v>NA</v>
      </c>
      <c r="F435"/>
      <c r="G435"/>
      <c r="H435"/>
    </row>
    <row r="436" spans="3:8" s="299" customFormat="1" outlineLevel="1">
      <c r="C436" s="532" t="s">
        <v>458</v>
      </c>
      <c r="D436" s="329" t="s">
        <v>508</v>
      </c>
      <c r="E436" s="468">
        <v>33053.599999999999</v>
      </c>
      <c r="F436"/>
      <c r="G436"/>
      <c r="H436"/>
    </row>
    <row r="437" spans="3:8" s="299" customFormat="1" outlineLevel="1">
      <c r="C437" s="533"/>
      <c r="D437" s="329" t="s">
        <v>511</v>
      </c>
      <c r="E437" s="468" t="str">
        <v>NA</v>
      </c>
      <c r="F437"/>
      <c r="G437"/>
      <c r="H437"/>
    </row>
    <row r="438" spans="3:8" s="299" customFormat="1" outlineLevel="1">
      <c r="C438" s="532" t="s">
        <v>459</v>
      </c>
      <c r="D438" s="329" t="s">
        <v>508</v>
      </c>
      <c r="E438" s="468">
        <v>42047.799999999996</v>
      </c>
      <c r="F438"/>
      <c r="G438"/>
      <c r="H438"/>
    </row>
    <row r="439" spans="3:8" s="299" customFormat="1" outlineLevel="1">
      <c r="C439" s="533"/>
      <c r="D439" s="329" t="s">
        <v>511</v>
      </c>
      <c r="E439" s="468" t="str">
        <v>NA</v>
      </c>
      <c r="F439"/>
      <c r="G439"/>
      <c r="H439"/>
    </row>
    <row r="440" spans="3:8" s="299" customFormat="1" outlineLevel="1">
      <c r="C440" s="532" t="s">
        <v>460</v>
      </c>
      <c r="D440" s="329" t="s">
        <v>508</v>
      </c>
      <c r="E440" s="468">
        <v>68319.600000000006</v>
      </c>
      <c r="F440"/>
      <c r="G440"/>
      <c r="H440"/>
    </row>
    <row r="441" spans="3:8" s="299" customFormat="1" outlineLevel="1">
      <c r="C441" s="533"/>
      <c r="D441" s="329" t="s">
        <v>511</v>
      </c>
      <c r="E441" s="468" t="str">
        <v>NA</v>
      </c>
      <c r="F441"/>
      <c r="G441"/>
      <c r="H441"/>
    </row>
    <row r="442" spans="3:8" s="299" customFormat="1" outlineLevel="1">
      <c r="C442" s="532" t="s">
        <v>461</v>
      </c>
      <c r="D442" s="329" t="s">
        <v>508</v>
      </c>
      <c r="E442" s="468">
        <v>76507.199999999997</v>
      </c>
      <c r="F442"/>
      <c r="G442"/>
      <c r="H442"/>
    </row>
    <row r="443" spans="3:8" s="299" customFormat="1" outlineLevel="1">
      <c r="C443" s="533"/>
      <c r="D443" s="329" t="s">
        <v>511</v>
      </c>
      <c r="E443" s="468" t="str">
        <v>NA</v>
      </c>
      <c r="F443"/>
      <c r="G443"/>
      <c r="H443"/>
    </row>
    <row r="444" spans="3:8" s="299" customFormat="1" outlineLevel="1">
      <c r="C444" s="532" t="s">
        <v>462</v>
      </c>
      <c r="D444" s="329" t="s">
        <v>508</v>
      </c>
      <c r="E444" s="468">
        <v>76959</v>
      </c>
      <c r="F444"/>
      <c r="G444"/>
      <c r="H444"/>
    </row>
    <row r="445" spans="3:8" s="299" customFormat="1" outlineLevel="1">
      <c r="C445" s="533"/>
      <c r="D445" s="329" t="s">
        <v>511</v>
      </c>
      <c r="E445" s="468" t="str">
        <v>NA</v>
      </c>
      <c r="F445"/>
      <c r="G445"/>
      <c r="H445"/>
    </row>
    <row r="446" spans="3:8" s="299" customFormat="1" outlineLevel="1">
      <c r="C446" s="532" t="s">
        <v>463</v>
      </c>
      <c r="D446" s="329" t="s">
        <v>508</v>
      </c>
      <c r="E446" s="468">
        <v>44787.6</v>
      </c>
      <c r="F446"/>
      <c r="G446"/>
      <c r="H446"/>
    </row>
    <row r="447" spans="3:8" s="299" customFormat="1" outlineLevel="1">
      <c r="C447" s="533"/>
      <c r="D447" s="329" t="s">
        <v>511</v>
      </c>
      <c r="E447" s="468" t="str">
        <v>NA</v>
      </c>
      <c r="F447"/>
      <c r="G447"/>
      <c r="H447"/>
    </row>
    <row r="448" spans="3:8" s="299" customFormat="1" outlineLevel="1">
      <c r="C448" s="532" t="s">
        <v>464</v>
      </c>
      <c r="D448" s="329" t="s">
        <v>508</v>
      </c>
      <c r="E448" s="468">
        <v>122983.2</v>
      </c>
      <c r="F448"/>
      <c r="G448"/>
      <c r="H448"/>
    </row>
    <row r="449" spans="3:8" s="299" customFormat="1" outlineLevel="1">
      <c r="C449" s="533"/>
      <c r="D449" s="329" t="s">
        <v>511</v>
      </c>
      <c r="E449" s="468" t="str">
        <v>NA</v>
      </c>
      <c r="F449"/>
      <c r="G449"/>
      <c r="H449"/>
    </row>
    <row r="450" spans="3:8" s="299" customFormat="1" outlineLevel="1">
      <c r="C450" s="532" t="s">
        <v>465</v>
      </c>
      <c r="D450" s="329" t="s">
        <v>508</v>
      </c>
      <c r="E450" s="468">
        <v>112622.39999999999</v>
      </c>
      <c r="F450"/>
      <c r="G450"/>
      <c r="H450"/>
    </row>
    <row r="451" spans="3:8" s="299" customFormat="1" ht="15.75" customHeight="1" outlineLevel="1">
      <c r="C451" s="533"/>
      <c r="D451" s="329" t="s">
        <v>511</v>
      </c>
      <c r="E451" s="468" t="str">
        <v>NA</v>
      </c>
      <c r="F451"/>
      <c r="G451"/>
      <c r="H451"/>
    </row>
    <row r="452" spans="3:8" s="299" customFormat="1" outlineLevel="1">
      <c r="C452" s="532" t="s">
        <v>466</v>
      </c>
      <c r="D452" s="329" t="s">
        <v>508</v>
      </c>
      <c r="E452" s="468">
        <v>100620</v>
      </c>
      <c r="F452"/>
      <c r="G452"/>
      <c r="H452"/>
    </row>
    <row r="453" spans="3:8" s="299" customFormat="1" outlineLevel="1">
      <c r="C453" s="533"/>
      <c r="D453" s="329" t="s">
        <v>511</v>
      </c>
      <c r="E453" s="468" t="str">
        <v>NA</v>
      </c>
      <c r="F453"/>
      <c r="G453"/>
      <c r="H453"/>
    </row>
    <row r="454" spans="3:8" s="299" customFormat="1" outlineLevel="1">
      <c r="C454" s="532" t="s">
        <v>467</v>
      </c>
      <c r="D454" s="329" t="s">
        <v>508</v>
      </c>
      <c r="E454" s="468">
        <v>136069.6</v>
      </c>
      <c r="F454"/>
      <c r="G454"/>
      <c r="H454"/>
    </row>
    <row r="455" spans="3:8" s="299" customFormat="1" outlineLevel="1">
      <c r="C455" s="533"/>
      <c r="D455" s="329" t="s">
        <v>511</v>
      </c>
      <c r="E455" s="468" t="str">
        <v>NA</v>
      </c>
      <c r="F455"/>
      <c r="G455"/>
      <c r="H455"/>
    </row>
    <row r="456" spans="3:8" s="299" customFormat="1" outlineLevel="1">
      <c r="C456" s="532" t="s">
        <v>468</v>
      </c>
      <c r="D456" s="329" t="s">
        <v>508</v>
      </c>
      <c r="E456" s="468">
        <v>220680</v>
      </c>
      <c r="F456"/>
      <c r="G456"/>
      <c r="H456"/>
    </row>
    <row r="457" spans="3:8" s="299" customFormat="1" outlineLevel="1">
      <c r="C457" s="533"/>
      <c r="D457" s="329" t="s">
        <v>511</v>
      </c>
      <c r="E457" s="468" t="str">
        <v>NA</v>
      </c>
      <c r="F457"/>
      <c r="G457"/>
      <c r="H457"/>
    </row>
    <row r="458" spans="3:8" s="299" customFormat="1" outlineLevel="1">
      <c r="C458" s="532" t="s">
        <v>469</v>
      </c>
      <c r="D458" s="329" t="s">
        <v>508</v>
      </c>
      <c r="E458" s="468">
        <v>212544</v>
      </c>
      <c r="F458"/>
      <c r="G458"/>
      <c r="H458"/>
    </row>
    <row r="459" spans="3:8" s="299" customFormat="1" outlineLevel="1">
      <c r="C459" s="533"/>
      <c r="D459" s="329" t="s">
        <v>511</v>
      </c>
      <c r="E459" s="468" t="str">
        <v>NA</v>
      </c>
      <c r="F459"/>
      <c r="G459"/>
      <c r="H459"/>
    </row>
    <row r="460" spans="3:8" s="299" customFormat="1" outlineLevel="1">
      <c r="C460" s="532" t="s">
        <v>470</v>
      </c>
      <c r="D460" s="329" t="s">
        <v>508</v>
      </c>
      <c r="E460" s="468">
        <v>238320</v>
      </c>
      <c r="F460"/>
      <c r="G460"/>
      <c r="H460"/>
    </row>
    <row r="461" spans="3:8" s="299" customFormat="1" outlineLevel="1">
      <c r="C461" s="533"/>
      <c r="D461" s="329" t="s">
        <v>511</v>
      </c>
      <c r="E461" s="468" t="str">
        <v>NA</v>
      </c>
      <c r="F461"/>
      <c r="G461"/>
      <c r="H461"/>
    </row>
    <row r="462" spans="3:8" s="299" customFormat="1" outlineLevel="1">
      <c r="C462" s="532" t="s">
        <v>471</v>
      </c>
      <c r="D462" s="329" t="s">
        <v>508</v>
      </c>
      <c r="E462" s="468">
        <v>282895.2</v>
      </c>
      <c r="F462"/>
      <c r="G462"/>
      <c r="H462"/>
    </row>
    <row r="463" spans="3:8" s="299" customFormat="1" outlineLevel="1">
      <c r="C463" s="533"/>
      <c r="D463" s="329" t="s">
        <v>511</v>
      </c>
      <c r="E463" s="468" t="str">
        <v>NA</v>
      </c>
      <c r="F463"/>
      <c r="G463"/>
      <c r="H463"/>
    </row>
    <row r="464" spans="3:8" s="299" customFormat="1" outlineLevel="1">
      <c r="C464" s="532" t="s">
        <v>472</v>
      </c>
      <c r="D464" s="329" t="s">
        <v>508</v>
      </c>
      <c r="E464" s="468">
        <v>480384</v>
      </c>
      <c r="F464"/>
      <c r="G464"/>
      <c r="H464"/>
    </row>
    <row r="465" spans="3:8" s="299" customFormat="1" outlineLevel="1">
      <c r="C465" s="533"/>
      <c r="D465" s="329" t="s">
        <v>511</v>
      </c>
      <c r="E465" s="468" t="str">
        <v>NA</v>
      </c>
      <c r="F465"/>
      <c r="G465"/>
      <c r="H465"/>
    </row>
    <row r="466" spans="3:8" s="299" customFormat="1" outlineLevel="1">
      <c r="C466" s="532" t="s">
        <v>473</v>
      </c>
      <c r="D466" s="329" t="s">
        <v>508</v>
      </c>
      <c r="E466" s="468">
        <v>335340</v>
      </c>
      <c r="F466"/>
      <c r="G466"/>
      <c r="H466"/>
    </row>
    <row r="467" spans="3:8" s="299" customFormat="1" outlineLevel="1">
      <c r="C467" s="533"/>
      <c r="D467" s="329" t="s">
        <v>511</v>
      </c>
      <c r="E467" s="468" t="str">
        <v>NA</v>
      </c>
      <c r="F467"/>
      <c r="G467"/>
      <c r="H467"/>
    </row>
    <row r="468" spans="3:8" s="299" customFormat="1" outlineLevel="1">
      <c r="C468" s="532" t="s">
        <v>474</v>
      </c>
      <c r="D468" s="329" t="s">
        <v>508</v>
      </c>
      <c r="E468" s="468">
        <v>439119</v>
      </c>
      <c r="F468"/>
      <c r="G468"/>
      <c r="H468"/>
    </row>
    <row r="469" spans="3:8" s="299" customFormat="1" outlineLevel="1">
      <c r="C469" s="533"/>
      <c r="D469" s="329" t="s">
        <v>511</v>
      </c>
      <c r="E469" s="468" t="str">
        <v>NA</v>
      </c>
      <c r="F469"/>
      <c r="G469"/>
      <c r="H469"/>
    </row>
    <row r="470" spans="3:8" s="299" customFormat="1" outlineLevel="1">
      <c r="C470" s="532" t="s">
        <v>475</v>
      </c>
      <c r="D470" s="329" t="s">
        <v>508</v>
      </c>
      <c r="E470" s="468">
        <v>442098</v>
      </c>
      <c r="F470"/>
      <c r="G470"/>
      <c r="H470"/>
    </row>
    <row r="471" spans="3:8" s="299" customFormat="1" outlineLevel="1">
      <c r="C471" s="533"/>
      <c r="D471" s="329" t="s">
        <v>511</v>
      </c>
      <c r="E471" s="468" t="str">
        <v>NA</v>
      </c>
      <c r="F471"/>
      <c r="G471"/>
      <c r="H471"/>
    </row>
    <row r="472" spans="3:8" s="299" customFormat="1" outlineLevel="1">
      <c r="C472" s="532" t="s">
        <v>476</v>
      </c>
      <c r="D472" s="329" t="s">
        <v>508</v>
      </c>
      <c r="E472" s="468">
        <v>429381</v>
      </c>
      <c r="F472"/>
      <c r="G472"/>
      <c r="H472"/>
    </row>
    <row r="473" spans="3:8" s="299" customFormat="1" outlineLevel="1">
      <c r="C473" s="533"/>
      <c r="D473" s="329" t="s">
        <v>511</v>
      </c>
      <c r="E473" s="468" t="str">
        <v>NA</v>
      </c>
      <c r="F473"/>
      <c r="G473"/>
      <c r="H473"/>
    </row>
    <row r="474" spans="3:8" s="299" customFormat="1" outlineLevel="1">
      <c r="C474" s="532" t="s">
        <v>477</v>
      </c>
      <c r="D474" s="329" t="s">
        <v>508</v>
      </c>
      <c r="E474" s="468">
        <v>539595</v>
      </c>
      <c r="F474"/>
      <c r="G474"/>
      <c r="H474"/>
    </row>
    <row r="475" spans="3:8" s="299" customFormat="1" outlineLevel="1">
      <c r="C475" s="533"/>
      <c r="D475" s="329" t="s">
        <v>511</v>
      </c>
      <c r="E475" s="468" t="str">
        <v>NA</v>
      </c>
      <c r="F475"/>
      <c r="G475"/>
      <c r="H475"/>
    </row>
    <row r="476" spans="3:8" s="299" customFormat="1">
      <c r="C476" s="532" t="s">
        <v>478</v>
      </c>
      <c r="D476" s="329" t="s">
        <v>508</v>
      </c>
      <c r="E476" s="468">
        <v>1168358.4000000001</v>
      </c>
      <c r="F476"/>
      <c r="G476"/>
      <c r="H476"/>
    </row>
    <row r="477" spans="3:8" s="299" customFormat="1">
      <c r="C477" s="533"/>
      <c r="D477" s="329" t="s">
        <v>511</v>
      </c>
      <c r="E477" s="468" t="str">
        <v>NA</v>
      </c>
      <c r="F477"/>
      <c r="G477"/>
      <c r="H477"/>
    </row>
    <row r="478" spans="3:8" s="299" customFormat="1"/>
    <row r="479" spans="3:8" s="299" customFormat="1"/>
    <row r="480" spans="3:8" s="299" customFormat="1" ht="24">
      <c r="D480" s="309" t="s">
        <v>527</v>
      </c>
    </row>
    <row r="481" spans="3:4" s="299" customFormat="1" ht="24">
      <c r="D481" s="309" t="s">
        <v>528</v>
      </c>
    </row>
    <row r="482" spans="3:4" s="299" customFormat="1">
      <c r="C482" s="310" t="str">
        <f t="array" ref="C482:C519">LL.list</f>
        <v>64 kbps</v>
      </c>
      <c r="D482" s="304">
        <f t="array" ref="D482:D519">'7'!$AW$317:$AW$354</f>
        <v>14069.720000000001</v>
      </c>
    </row>
    <row r="483" spans="3:4" s="299" customFormat="1" outlineLevel="1">
      <c r="C483" s="310" t="str">
        <v>128 kbps</v>
      </c>
      <c r="D483" s="304">
        <v>23621.64</v>
      </c>
    </row>
    <row r="484" spans="3:4" s="299" customFormat="1" outlineLevel="1">
      <c r="C484" s="310" t="str">
        <v>192 kbps</v>
      </c>
      <c r="D484" s="304">
        <v>21169.119999999999</v>
      </c>
    </row>
    <row r="485" spans="3:4" s="299" customFormat="1" outlineLevel="1">
      <c r="C485" s="310" t="str">
        <v>256 kbps</v>
      </c>
      <c r="D485" s="304">
        <v>41305.599999999999</v>
      </c>
    </row>
    <row r="486" spans="3:4" s="299" customFormat="1" outlineLevel="1">
      <c r="C486" s="310" t="str">
        <v>384 kbps</v>
      </c>
      <c r="D486" s="304">
        <v>39498.480000000003</v>
      </c>
    </row>
    <row r="487" spans="3:4" s="299" customFormat="1" outlineLevel="1">
      <c r="C487" s="310" t="str">
        <v>512 kbps</v>
      </c>
      <c r="D487" s="304">
        <v>44726.22</v>
      </c>
    </row>
    <row r="488" spans="3:4" s="299" customFormat="1" outlineLevel="1">
      <c r="C488" s="310" t="str">
        <v>768 kbps</v>
      </c>
      <c r="D488" s="304">
        <v>51115.68</v>
      </c>
    </row>
    <row r="489" spans="3:4" s="299" customFormat="1" outlineLevel="1">
      <c r="C489" s="310" t="str">
        <v>1024 kbps</v>
      </c>
      <c r="D489" s="304">
        <v>47630.52</v>
      </c>
    </row>
    <row r="490" spans="3:4" s="299" customFormat="1" outlineLevel="1">
      <c r="C490" s="331" t="str">
        <v>E1 (2.04 Mbps)</v>
      </c>
      <c r="D490" s="304">
        <v>111894.33</v>
      </c>
    </row>
    <row r="491" spans="3:4" s="299" customFormat="1" outlineLevel="1">
      <c r="C491" s="331" t="str">
        <v>E2 *</v>
      </c>
      <c r="D491" s="304">
        <v>269274.15999999997</v>
      </c>
    </row>
    <row r="492" spans="3:4" s="299" customFormat="1" outlineLevel="1">
      <c r="C492" s="331" t="str">
        <v>E3 (34 Mbps)</v>
      </c>
      <c r="D492" s="304">
        <v>710229.72</v>
      </c>
    </row>
    <row r="493" spans="3:4" s="299" customFormat="1" outlineLevel="1">
      <c r="C493" s="331" t="str">
        <v>STM-1 (155 Mbps)</v>
      </c>
      <c r="D493" s="304">
        <v>71418.2</v>
      </c>
    </row>
    <row r="494" spans="3:4" s="299" customFormat="1" outlineLevel="1">
      <c r="C494" s="310" t="str">
        <v>STM-4 (622.08 Mbps)</v>
      </c>
      <c r="D494" s="304">
        <v>2501613.2200000002</v>
      </c>
    </row>
    <row r="495" spans="3:4" s="299" customFormat="1" outlineLevel="1">
      <c r="C495" s="310" t="str">
        <v>STM-16 (2488.32Mbps)</v>
      </c>
      <c r="D495" s="304">
        <v>5336009.8500000006</v>
      </c>
    </row>
    <row r="496" spans="3:4" s="299" customFormat="1" outlineLevel="1">
      <c r="C496" s="310" t="str">
        <v>STM-64 (9953.28Mbps)</v>
      </c>
      <c r="D496" s="304">
        <v>10740871.439999999</v>
      </c>
    </row>
    <row r="497" spans="3:4" s="299" customFormat="1" outlineLevel="1">
      <c r="C497" s="310" t="str">
        <v>STM-256 (39813.12 Mbps)*</v>
      </c>
      <c r="D497" s="304">
        <v>26071858.879999999</v>
      </c>
    </row>
    <row r="498" spans="3:4" s="299" customFormat="1" outlineLevel="1">
      <c r="C498" s="310" t="str">
        <v>Ethernet (10Mbps)</v>
      </c>
      <c r="D498" s="304">
        <v>142500</v>
      </c>
    </row>
    <row r="499" spans="3:4" s="299" customFormat="1" outlineLevel="1">
      <c r="C499" s="310" t="str">
        <v>Ethernet (20Mbps)</v>
      </c>
      <c r="D499" s="304">
        <v>147500</v>
      </c>
    </row>
    <row r="500" spans="3:4" s="299" customFormat="1" outlineLevel="1">
      <c r="C500" s="310" t="str">
        <v>Ethernet (30Mbps)</v>
      </c>
      <c r="D500" s="304">
        <v>110000</v>
      </c>
    </row>
    <row r="501" spans="3:4" s="299" customFormat="1" outlineLevel="1">
      <c r="C501" s="310" t="str">
        <v>Ethernet (40Mbps)</v>
      </c>
      <c r="D501" s="304">
        <v>141250</v>
      </c>
    </row>
    <row r="502" spans="3:4" s="299" customFormat="1" outlineLevel="1">
      <c r="C502" s="310" t="str">
        <v>Ethernet (50Mbps)</v>
      </c>
      <c r="D502" s="304">
        <v>135000</v>
      </c>
    </row>
    <row r="503" spans="3:4" s="299" customFormat="1" outlineLevel="1">
      <c r="C503" s="310" t="str">
        <v>Ethernet (60Mbps)</v>
      </c>
      <c r="D503" s="304">
        <v>162500</v>
      </c>
    </row>
    <row r="504" spans="3:4" s="299" customFormat="1" outlineLevel="1">
      <c r="C504" s="310" t="str">
        <v>Ethernet (70Mbps)</v>
      </c>
      <c r="D504" s="304">
        <v>101250</v>
      </c>
    </row>
    <row r="505" spans="3:4" s="299" customFormat="1" outlineLevel="1">
      <c r="C505" s="310" t="str">
        <v>Ethernet (80Mbps)</v>
      </c>
      <c r="D505" s="304">
        <v>95000</v>
      </c>
    </row>
    <row r="506" spans="3:4" s="299" customFormat="1" outlineLevel="1">
      <c r="C506" s="310" t="str">
        <v>Ethernet (90Mbps)</v>
      </c>
      <c r="D506" s="304">
        <v>130000</v>
      </c>
    </row>
    <row r="507" spans="3:4" s="299" customFormat="1" outlineLevel="1">
      <c r="C507" s="310" t="str">
        <v>GigaEthernet (100Mbps)</v>
      </c>
      <c r="D507" s="304">
        <v>200000</v>
      </c>
    </row>
    <row r="508" spans="3:4" s="299" customFormat="1" outlineLevel="1">
      <c r="C508" s="310" t="str">
        <v>GigaEthernet (150Mbps)</v>
      </c>
      <c r="D508" s="304">
        <v>245000</v>
      </c>
    </row>
    <row r="509" spans="3:4" s="299" customFormat="1" outlineLevel="1">
      <c r="C509" s="310" t="str">
        <v>GigaEthernet (200Mbps)</v>
      </c>
      <c r="D509" s="304">
        <v>200000</v>
      </c>
    </row>
    <row r="510" spans="3:4" s="299" customFormat="1" outlineLevel="1">
      <c r="C510" s="310" t="str">
        <v>GigaEthernet (250Mbps)</v>
      </c>
      <c r="D510" s="304">
        <v>322500</v>
      </c>
    </row>
    <row r="511" spans="3:4" s="299" customFormat="1" outlineLevel="1">
      <c r="C511" s="310" t="str">
        <v>GigaEthernet (300Mbps)</v>
      </c>
      <c r="D511" s="304">
        <v>325000</v>
      </c>
    </row>
    <row r="512" spans="3:4" s="299" customFormat="1" outlineLevel="1">
      <c r="C512" s="310" t="str">
        <v>GigaEthernet (350Mbps)</v>
      </c>
      <c r="D512" s="304">
        <v>247500</v>
      </c>
    </row>
    <row r="513" spans="3:12" s="299" customFormat="1" outlineLevel="1">
      <c r="C513" s="310" t="str">
        <v>GigaEthernet (400Mbps)</v>
      </c>
      <c r="D513" s="304">
        <v>222500</v>
      </c>
    </row>
    <row r="514" spans="3:12" s="299" customFormat="1" outlineLevel="1">
      <c r="C514" s="310" t="str">
        <v>GigaEthernet (450Mbps)</v>
      </c>
      <c r="D514" s="304">
        <v>207500</v>
      </c>
    </row>
    <row r="515" spans="3:12" s="299" customFormat="1" outlineLevel="1">
      <c r="C515" s="310" t="str">
        <v>GigaEthernet (500Mbps)</v>
      </c>
      <c r="D515" s="304">
        <v>227500</v>
      </c>
    </row>
    <row r="516" spans="3:12" s="299" customFormat="1" outlineLevel="1">
      <c r="C516" s="310" t="str">
        <v>GigaEthernet (550Mbps)</v>
      </c>
      <c r="D516" s="304">
        <v>225000</v>
      </c>
    </row>
    <row r="517" spans="3:12" s="299" customFormat="1" outlineLevel="1">
      <c r="C517" s="310" t="str">
        <v>GigaEthernet (600Mbps)</v>
      </c>
      <c r="D517" s="304">
        <v>307500</v>
      </c>
    </row>
    <row r="518" spans="3:12" s="299" customFormat="1" outlineLevel="1">
      <c r="C518" s="310" t="str">
        <v>GigaEthernet (750Mbps)</v>
      </c>
      <c r="D518" s="304">
        <v>325000</v>
      </c>
    </row>
    <row r="519" spans="3:12" s="299" customFormat="1">
      <c r="C519" s="310" t="str">
        <v>GigaEthernet (1 Gbps)</v>
      </c>
      <c r="D519" s="304">
        <v>245000</v>
      </c>
    </row>
    <row r="520" spans="3:12" s="299" customFormat="1"/>
    <row r="521" spans="3:12" s="299" customFormat="1"/>
    <row r="522" spans="3:12" s="299" customFormat="1">
      <c r="G522"/>
      <c r="H522"/>
      <c r="I522"/>
      <c r="J522"/>
      <c r="K522"/>
      <c r="L522"/>
    </row>
    <row r="523" spans="3:12" s="299" customFormat="1">
      <c r="D523" s="309" t="s">
        <v>185</v>
      </c>
      <c r="E523" s="516" t="s">
        <v>186</v>
      </c>
      <c r="F523" s="517"/>
      <c r="G523"/>
      <c r="H523"/>
      <c r="I523"/>
      <c r="J523"/>
      <c r="K523"/>
      <c r="L523"/>
    </row>
    <row r="524" spans="3:12" s="299" customFormat="1">
      <c r="E524" s="309" t="s">
        <v>187</v>
      </c>
      <c r="F524" s="309" t="s">
        <v>188</v>
      </c>
      <c r="G524"/>
      <c r="H524"/>
      <c r="I524"/>
      <c r="J524"/>
      <c r="K524"/>
      <c r="L524"/>
    </row>
    <row r="525" spans="3:12" s="299" customFormat="1">
      <c r="D525" s="309" t="s">
        <v>25</v>
      </c>
      <c r="E525" s="514" t="s">
        <v>26</v>
      </c>
      <c r="F525" s="515"/>
      <c r="G525"/>
      <c r="H525"/>
      <c r="I525"/>
      <c r="J525"/>
      <c r="K525"/>
      <c r="L525"/>
    </row>
    <row r="526" spans="3:12" s="299" customFormat="1">
      <c r="E526" s="309" t="s">
        <v>31</v>
      </c>
      <c r="F526" s="309" t="s">
        <v>32</v>
      </c>
      <c r="G526"/>
      <c r="H526"/>
      <c r="I526"/>
      <c r="J526"/>
      <c r="K526"/>
      <c r="L526"/>
    </row>
    <row r="527" spans="3:12" s="299" customFormat="1">
      <c r="C527" s="310" t="str">
        <f t="array" ref="C527:C564">LL.list</f>
        <v>64 kbps</v>
      </c>
      <c r="D527" s="302">
        <f t="array" ref="D527:D564">D482:D519</f>
        <v>14069.720000000001</v>
      </c>
      <c r="E527" s="304">
        <f>$E402</f>
        <v>4654.32</v>
      </c>
      <c r="F527" s="302" t="str">
        <f>$E403</f>
        <v>NA</v>
      </c>
      <c r="G527"/>
      <c r="H527"/>
      <c r="I527"/>
      <c r="J527"/>
      <c r="K527"/>
      <c r="L527"/>
    </row>
    <row r="528" spans="3:12" s="299" customFormat="1">
      <c r="C528" s="310" t="str">
        <v>128 kbps</v>
      </c>
      <c r="D528" s="302">
        <v>23621.64</v>
      </c>
      <c r="E528" s="304">
        <f>$E404</f>
        <v>5389.9199999999992</v>
      </c>
      <c r="F528" s="302" t="str">
        <f>$E405</f>
        <v>NA</v>
      </c>
      <c r="G528"/>
      <c r="H528"/>
      <c r="I528"/>
      <c r="J528"/>
      <c r="K528"/>
      <c r="L528"/>
    </row>
    <row r="529" spans="3:12" s="299" customFormat="1">
      <c r="C529" s="310" t="str">
        <v>192 kbps</v>
      </c>
      <c r="D529" s="302">
        <v>21169.119999999999</v>
      </c>
      <c r="E529" s="304">
        <f>$E406</f>
        <v>4712.82</v>
      </c>
      <c r="F529" s="302" t="str">
        <f>$E407</f>
        <v>NA</v>
      </c>
      <c r="G529"/>
      <c r="H529"/>
      <c r="I529"/>
      <c r="J529"/>
      <c r="K529"/>
      <c r="L529"/>
    </row>
    <row r="530" spans="3:12" s="299" customFormat="1">
      <c r="C530" s="310" t="str">
        <v>256 kbps</v>
      </c>
      <c r="D530" s="302">
        <v>41305.599999999999</v>
      </c>
      <c r="E530" s="304">
        <f>$E408</f>
        <v>5231.2300000000005</v>
      </c>
      <c r="F530" s="302" t="str">
        <f>$E409</f>
        <v>NA</v>
      </c>
      <c r="G530"/>
      <c r="H530"/>
      <c r="I530"/>
      <c r="J530"/>
      <c r="K530"/>
      <c r="L530"/>
    </row>
    <row r="531" spans="3:12" s="299" customFormat="1">
      <c r="C531" s="310" t="str">
        <v>384 kbps</v>
      </c>
      <c r="D531" s="302">
        <v>39498.480000000003</v>
      </c>
      <c r="E531" s="304">
        <f>$E410</f>
        <v>6340.1399999999994</v>
      </c>
      <c r="F531" s="302" t="str">
        <f>$E411</f>
        <v>NA</v>
      </c>
      <c r="G531"/>
      <c r="H531"/>
      <c r="I531"/>
      <c r="J531"/>
      <c r="K531"/>
      <c r="L531"/>
    </row>
    <row r="532" spans="3:12" s="299" customFormat="1">
      <c r="C532" s="310" t="str">
        <v>512 kbps</v>
      </c>
      <c r="D532" s="302">
        <v>44726.22</v>
      </c>
      <c r="E532" s="304">
        <f>$E412</f>
        <v>4874.58</v>
      </c>
      <c r="F532" s="302" t="str">
        <f>$E413</f>
        <v>NA</v>
      </c>
      <c r="G532"/>
      <c r="H532"/>
      <c r="I532"/>
      <c r="J532"/>
      <c r="K532"/>
      <c r="L532"/>
    </row>
    <row r="533" spans="3:12" s="299" customFormat="1">
      <c r="C533" s="310" t="str">
        <v>768 kbps</v>
      </c>
      <c r="D533" s="302">
        <v>51115.68</v>
      </c>
      <c r="E533" s="304">
        <f>$E414</f>
        <v>6985</v>
      </c>
      <c r="F533" s="302" t="str">
        <f>$E415</f>
        <v>NA</v>
      </c>
      <c r="G533"/>
      <c r="H533"/>
      <c r="I533"/>
      <c r="J533"/>
      <c r="K533"/>
      <c r="L533"/>
    </row>
    <row r="534" spans="3:12" s="299" customFormat="1">
      <c r="C534" s="310" t="str">
        <v>1024 kbps</v>
      </c>
      <c r="D534" s="302">
        <v>47630.52</v>
      </c>
      <c r="E534" s="304">
        <f>$E416</f>
        <v>7278.42</v>
      </c>
      <c r="F534" s="302" t="str">
        <f>$E417</f>
        <v>NA</v>
      </c>
      <c r="G534"/>
      <c r="H534"/>
      <c r="I534"/>
      <c r="J534"/>
      <c r="K534"/>
      <c r="L534"/>
    </row>
    <row r="535" spans="3:12" s="299" customFormat="1">
      <c r="C535" s="331" t="str">
        <v>E1 (2.04 Mbps)</v>
      </c>
      <c r="D535" s="302">
        <v>111894.33</v>
      </c>
      <c r="E535" s="304">
        <f>$E418</f>
        <v>7819.64</v>
      </c>
      <c r="F535" s="302" t="str">
        <f>$E419</f>
        <v>NA</v>
      </c>
      <c r="G535"/>
      <c r="H535"/>
      <c r="I535"/>
      <c r="J535"/>
      <c r="K535"/>
      <c r="L535"/>
    </row>
    <row r="536" spans="3:12" s="299" customFormat="1">
      <c r="C536" s="331" t="str">
        <v>E2 *</v>
      </c>
      <c r="D536" s="302">
        <v>269274.15999999997</v>
      </c>
      <c r="E536" s="304">
        <f>$E420</f>
        <v>43625.36</v>
      </c>
      <c r="F536" s="302" t="str">
        <f>$E421</f>
        <v>NA</v>
      </c>
      <c r="G536"/>
      <c r="H536"/>
      <c r="I536"/>
      <c r="J536"/>
      <c r="K536"/>
      <c r="L536"/>
    </row>
    <row r="537" spans="3:12" s="299" customFormat="1">
      <c r="C537" s="331" t="str">
        <v>E3 (34 Mbps)</v>
      </c>
      <c r="D537" s="302">
        <v>710229.72</v>
      </c>
      <c r="E537" s="303">
        <v>0</v>
      </c>
      <c r="F537" s="302" t="str">
        <f>$E423</f>
        <v>NA</v>
      </c>
      <c r="G537"/>
      <c r="H537"/>
      <c r="I537"/>
      <c r="J537"/>
      <c r="K537"/>
      <c r="L537"/>
    </row>
    <row r="538" spans="3:12" s="299" customFormat="1">
      <c r="C538" s="331" t="str">
        <v>STM-1 (155 Mbps)</v>
      </c>
      <c r="D538" s="302">
        <v>71418.2</v>
      </c>
      <c r="E538" s="304">
        <f>$E424</f>
        <v>197748.72</v>
      </c>
      <c r="F538" s="302" t="str">
        <f>$E425</f>
        <v>NA</v>
      </c>
      <c r="G538"/>
      <c r="H538"/>
      <c r="I538"/>
      <c r="J538"/>
      <c r="K538"/>
      <c r="L538"/>
    </row>
    <row r="539" spans="3:12" s="299" customFormat="1">
      <c r="C539" s="310" t="str">
        <v>STM-4 (622.08 Mbps)</v>
      </c>
      <c r="D539" s="302">
        <v>2501613.2200000002</v>
      </c>
      <c r="E539" s="304">
        <f>$E426</f>
        <v>943742.71000000008</v>
      </c>
      <c r="F539" s="302" t="str">
        <f>$E427</f>
        <v>NA</v>
      </c>
      <c r="G539"/>
      <c r="H539"/>
      <c r="I539"/>
      <c r="J539"/>
      <c r="K539"/>
      <c r="L539"/>
    </row>
    <row r="540" spans="3:12" s="299" customFormat="1">
      <c r="C540" s="310" t="str">
        <v>STM-16 (2488.32Mbps)</v>
      </c>
      <c r="D540" s="302">
        <v>5336009.8500000006</v>
      </c>
      <c r="E540" s="304">
        <f>$E428</f>
        <v>2207837.94</v>
      </c>
      <c r="F540" s="302" t="str">
        <f>$E429</f>
        <v>NA</v>
      </c>
      <c r="G540"/>
      <c r="H540"/>
      <c r="I540"/>
      <c r="J540"/>
      <c r="K540"/>
      <c r="L540"/>
    </row>
    <row r="541" spans="3:12" s="299" customFormat="1">
      <c r="C541" s="310" t="str">
        <v>STM-64 (9953.28Mbps)</v>
      </c>
      <c r="D541" s="302">
        <v>10740871.439999999</v>
      </c>
      <c r="E541" s="304">
        <f>$E430</f>
        <v>6329136.46</v>
      </c>
      <c r="F541" s="302" t="str">
        <f>$E431</f>
        <v>NA</v>
      </c>
      <c r="G541"/>
      <c r="H541"/>
      <c r="I541"/>
      <c r="J541"/>
      <c r="K541"/>
      <c r="L541"/>
    </row>
    <row r="542" spans="3:12" s="299" customFormat="1">
      <c r="C542" s="310" t="str">
        <v>STM-256 (39813.12 Mbps)*</v>
      </c>
      <c r="D542" s="302">
        <v>26071858.879999999</v>
      </c>
      <c r="E542" s="304">
        <f>$E432</f>
        <v>37974818.759999998</v>
      </c>
      <c r="F542" s="302" t="str">
        <f>$E433</f>
        <v>NA</v>
      </c>
      <c r="G542"/>
      <c r="H542"/>
      <c r="I542"/>
      <c r="J542"/>
      <c r="K542"/>
      <c r="L542"/>
    </row>
    <row r="543" spans="3:12" s="299" customFormat="1">
      <c r="C543" s="310" t="str">
        <v>Ethernet (10Mbps)</v>
      </c>
      <c r="D543" s="302">
        <v>142500</v>
      </c>
      <c r="E543" s="305">
        <f>$E200</f>
        <v>18500</v>
      </c>
      <c r="F543" s="302" t="str">
        <f>$E435</f>
        <v>NA</v>
      </c>
      <c r="G543"/>
      <c r="H543"/>
      <c r="I543"/>
      <c r="J543"/>
      <c r="K543"/>
      <c r="L543"/>
    </row>
    <row r="544" spans="3:12" s="299" customFormat="1">
      <c r="C544" s="310" t="str">
        <v>Ethernet (20Mbps)</v>
      </c>
      <c r="D544" s="302">
        <v>147500</v>
      </c>
      <c r="E544" s="305">
        <f t="shared" ref="E544:E564" si="68">$E201</f>
        <v>19125</v>
      </c>
      <c r="F544" s="302" t="str">
        <f>$E437</f>
        <v>NA</v>
      </c>
      <c r="G544"/>
      <c r="H544"/>
      <c r="I544"/>
      <c r="J544"/>
      <c r="K544"/>
      <c r="L544"/>
    </row>
    <row r="545" spans="3:12" s="299" customFormat="1">
      <c r="C545" s="310" t="str">
        <v>Ethernet (30Mbps)</v>
      </c>
      <c r="D545" s="302">
        <v>110000</v>
      </c>
      <c r="E545" s="305">
        <f t="shared" si="68"/>
        <v>25330</v>
      </c>
      <c r="F545" s="302" t="str">
        <f>$E439</f>
        <v>NA</v>
      </c>
      <c r="G545"/>
      <c r="H545"/>
      <c r="I545"/>
      <c r="J545"/>
      <c r="K545"/>
      <c r="L545"/>
    </row>
    <row r="546" spans="3:12" s="299" customFormat="1">
      <c r="C546" s="310" t="str">
        <v>Ethernet (40Mbps)</v>
      </c>
      <c r="D546" s="302">
        <v>141250</v>
      </c>
      <c r="E546" s="305">
        <f t="shared" si="68"/>
        <v>31126</v>
      </c>
      <c r="F546" s="302" t="str">
        <f>$E441</f>
        <v>NA</v>
      </c>
      <c r="G546"/>
      <c r="H546"/>
      <c r="I546"/>
      <c r="J546"/>
      <c r="K546"/>
      <c r="L546"/>
    </row>
    <row r="547" spans="3:12" s="299" customFormat="1">
      <c r="C547" s="310" t="str">
        <v>Ethernet (50Mbps)</v>
      </c>
      <c r="D547" s="302">
        <v>135000</v>
      </c>
      <c r="E547" s="305">
        <f t="shared" si="68"/>
        <v>55440</v>
      </c>
      <c r="F547" s="302" t="str">
        <f>$E443</f>
        <v>NA</v>
      </c>
      <c r="G547"/>
      <c r="H547"/>
      <c r="I547"/>
      <c r="J547"/>
      <c r="K547"/>
      <c r="L547"/>
    </row>
    <row r="548" spans="3:12" s="299" customFormat="1">
      <c r="C548" s="310" t="str">
        <v>Ethernet (60Mbps)</v>
      </c>
      <c r="D548" s="302">
        <v>162500</v>
      </c>
      <c r="E548" s="305">
        <f t="shared" si="68"/>
        <v>42252</v>
      </c>
      <c r="F548" s="302" t="str">
        <f>$E445</f>
        <v>NA</v>
      </c>
      <c r="G548"/>
      <c r="H548"/>
      <c r="I548"/>
      <c r="J548"/>
      <c r="K548"/>
      <c r="L548"/>
    </row>
    <row r="549" spans="3:12" s="299" customFormat="1">
      <c r="C549" s="310" t="str">
        <v>Ethernet (70Mbps)</v>
      </c>
      <c r="D549" s="302">
        <v>101250</v>
      </c>
      <c r="E549" s="305">
        <f t="shared" si="68"/>
        <v>51324</v>
      </c>
      <c r="F549" s="302" t="str">
        <f>$E447</f>
        <v>NA</v>
      </c>
      <c r="G549"/>
      <c r="H549"/>
      <c r="I549"/>
      <c r="J549"/>
      <c r="K549"/>
      <c r="L549"/>
    </row>
    <row r="550" spans="3:12" s="299" customFormat="1">
      <c r="C550" s="310" t="str">
        <v>Ethernet (80Mbps)</v>
      </c>
      <c r="D550" s="302">
        <v>95000</v>
      </c>
      <c r="E550" s="305">
        <f t="shared" si="68"/>
        <v>63612.000000000007</v>
      </c>
      <c r="F550" s="302" t="str">
        <f>$E449</f>
        <v>NA</v>
      </c>
      <c r="G550"/>
      <c r="H550"/>
      <c r="I550"/>
      <c r="J550"/>
      <c r="K550"/>
      <c r="L550"/>
    </row>
    <row r="551" spans="3:12" s="299" customFormat="1">
      <c r="C551" s="310" t="str">
        <v>Ethernet (90Mbps)</v>
      </c>
      <c r="D551" s="302">
        <v>130000</v>
      </c>
      <c r="E551" s="305">
        <f t="shared" si="68"/>
        <v>46136</v>
      </c>
      <c r="F551" s="302" t="str">
        <f>$E451</f>
        <v>NA</v>
      </c>
      <c r="G551"/>
      <c r="H551"/>
      <c r="I551"/>
      <c r="J551"/>
      <c r="K551"/>
      <c r="L551"/>
    </row>
    <row r="552" spans="3:12" s="299" customFormat="1">
      <c r="C552" s="310" t="str">
        <v>GigaEthernet (100Mbps)</v>
      </c>
      <c r="D552" s="302">
        <v>200000</v>
      </c>
      <c r="E552" s="305">
        <f t="shared" si="68"/>
        <v>56550</v>
      </c>
      <c r="F552" s="302" t="str">
        <f>$E453</f>
        <v>NA</v>
      </c>
      <c r="G552"/>
      <c r="H552"/>
      <c r="I552"/>
      <c r="J552"/>
      <c r="K552"/>
      <c r="L552"/>
    </row>
    <row r="553" spans="3:12" s="299" customFormat="1">
      <c r="C553" s="310" t="str">
        <v>GigaEthernet (150Mbps)</v>
      </c>
      <c r="D553" s="302">
        <v>245000</v>
      </c>
      <c r="E553" s="305">
        <f t="shared" si="68"/>
        <v>79514</v>
      </c>
      <c r="F553" s="302" t="str">
        <f>$E455</f>
        <v>NA</v>
      </c>
      <c r="G553"/>
      <c r="H553"/>
      <c r="I553"/>
      <c r="J553"/>
      <c r="K553"/>
      <c r="L553"/>
    </row>
    <row r="554" spans="3:12" s="299" customFormat="1">
      <c r="C554" s="310" t="str">
        <v>GigaEthernet (200Mbps)</v>
      </c>
      <c r="D554" s="302">
        <v>200000</v>
      </c>
      <c r="E554" s="305">
        <f t="shared" si="68"/>
        <v>117696</v>
      </c>
      <c r="F554" s="302" t="str">
        <f>$E457</f>
        <v>NA</v>
      </c>
      <c r="G554"/>
      <c r="H554"/>
      <c r="I554"/>
      <c r="J554"/>
      <c r="K554"/>
      <c r="L554"/>
    </row>
    <row r="555" spans="3:12" s="299" customFormat="1">
      <c r="C555" s="310" t="str">
        <v>GigaEthernet (250Mbps)</v>
      </c>
      <c r="D555" s="302">
        <v>322500</v>
      </c>
      <c r="E555" s="305">
        <f t="shared" si="68"/>
        <v>105120</v>
      </c>
      <c r="F555" s="302" t="str">
        <f>$E459</f>
        <v>NA</v>
      </c>
      <c r="G555"/>
      <c r="H555"/>
      <c r="I555"/>
      <c r="J555"/>
      <c r="K555"/>
      <c r="L555"/>
    </row>
    <row r="556" spans="3:12" s="299" customFormat="1">
      <c r="C556" s="310" t="str">
        <v>GigaEthernet (300Mbps)</v>
      </c>
      <c r="D556" s="302">
        <v>325000</v>
      </c>
      <c r="E556" s="305">
        <f t="shared" si="68"/>
        <v>147295</v>
      </c>
      <c r="F556" s="302" t="str">
        <f>$E461</f>
        <v>NA</v>
      </c>
      <c r="G556"/>
      <c r="H556"/>
      <c r="I556"/>
      <c r="J556"/>
      <c r="K556"/>
      <c r="L556"/>
    </row>
    <row r="557" spans="3:12" s="299" customFormat="1">
      <c r="C557" s="310" t="str">
        <v>GigaEthernet (350Mbps)</v>
      </c>
      <c r="D557" s="302">
        <v>247500</v>
      </c>
      <c r="E557" s="305">
        <f t="shared" si="68"/>
        <v>157164</v>
      </c>
      <c r="F557" s="302" t="str">
        <f>$E463</f>
        <v>NA</v>
      </c>
      <c r="G557"/>
      <c r="H557"/>
      <c r="I557"/>
      <c r="J557"/>
      <c r="K557"/>
      <c r="L557"/>
    </row>
    <row r="558" spans="3:12" s="299" customFormat="1">
      <c r="C558" s="310" t="str">
        <v>GigaEthernet (400Mbps)</v>
      </c>
      <c r="D558" s="302">
        <v>222500</v>
      </c>
      <c r="E558" s="305">
        <f t="shared" si="68"/>
        <v>235604.99999999997</v>
      </c>
      <c r="F558" s="302" t="str">
        <f>$E465</f>
        <v>NA</v>
      </c>
      <c r="G558"/>
      <c r="H558"/>
      <c r="I558"/>
      <c r="J558"/>
      <c r="K558"/>
      <c r="L558"/>
    </row>
    <row r="559" spans="3:12" s="299" customFormat="1">
      <c r="C559" s="310" t="str">
        <v>GigaEthernet (450Mbps)</v>
      </c>
      <c r="D559" s="302">
        <v>207500</v>
      </c>
      <c r="E559" s="305">
        <f t="shared" si="68"/>
        <v>174800</v>
      </c>
      <c r="F559" s="302" t="str">
        <f>$E467</f>
        <v>NA</v>
      </c>
      <c r="G559"/>
      <c r="H559"/>
      <c r="I559"/>
      <c r="J559"/>
      <c r="K559"/>
      <c r="L559"/>
    </row>
    <row r="560" spans="3:12" s="299" customFormat="1">
      <c r="C560" s="310" t="str">
        <v>GigaEthernet (500Mbps)</v>
      </c>
      <c r="D560" s="302">
        <v>227500</v>
      </c>
      <c r="E560" s="305">
        <f t="shared" si="68"/>
        <v>176050</v>
      </c>
      <c r="F560" s="302" t="str">
        <f>$E469</f>
        <v>NA</v>
      </c>
      <c r="G560"/>
      <c r="H560"/>
      <c r="I560"/>
      <c r="J560"/>
      <c r="K560"/>
      <c r="L560"/>
    </row>
    <row r="561" spans="2:13" s="299" customFormat="1">
      <c r="C561" s="310" t="str">
        <v>GigaEthernet (550Mbps)</v>
      </c>
      <c r="D561" s="302">
        <v>225000</v>
      </c>
      <c r="E561" s="305">
        <f t="shared" si="68"/>
        <v>281087</v>
      </c>
      <c r="F561" s="302" t="str">
        <f>$E471</f>
        <v>NA</v>
      </c>
      <c r="G561"/>
      <c r="H561"/>
      <c r="I561"/>
      <c r="J561"/>
      <c r="K561"/>
      <c r="L561"/>
    </row>
    <row r="562" spans="2:13" s="299" customFormat="1">
      <c r="C562" s="310" t="str">
        <v>GigaEthernet (600Mbps)</v>
      </c>
      <c r="D562" s="302">
        <v>307500</v>
      </c>
      <c r="E562" s="305">
        <f t="shared" si="68"/>
        <v>209095</v>
      </c>
      <c r="F562" s="302" t="str">
        <f>$E473</f>
        <v>NA</v>
      </c>
      <c r="G562"/>
      <c r="H562"/>
      <c r="I562"/>
      <c r="J562"/>
      <c r="K562"/>
      <c r="L562"/>
    </row>
    <row r="563" spans="2:13" s="299" customFormat="1">
      <c r="C563" s="310" t="str">
        <v>GigaEthernet (750Mbps)</v>
      </c>
      <c r="D563" s="302">
        <v>325000</v>
      </c>
      <c r="E563" s="305">
        <f t="shared" si="68"/>
        <v>467649</v>
      </c>
      <c r="F563" s="302" t="str">
        <f>$E475</f>
        <v>NA</v>
      </c>
      <c r="G563"/>
      <c r="H563"/>
      <c r="I563"/>
      <c r="J563"/>
      <c r="K563"/>
      <c r="L563"/>
    </row>
    <row r="564" spans="2:13" s="299" customFormat="1">
      <c r="C564" s="310" t="str">
        <v>GigaEthernet (1 Gbps)</v>
      </c>
      <c r="D564" s="302">
        <v>245000</v>
      </c>
      <c r="E564" s="305">
        <f t="shared" si="68"/>
        <v>522313</v>
      </c>
      <c r="F564" s="302" t="str">
        <f>$E477</f>
        <v>NA</v>
      </c>
      <c r="G564"/>
      <c r="H564"/>
      <c r="I564"/>
      <c r="J564"/>
      <c r="K564"/>
      <c r="L564"/>
    </row>
    <row r="565" spans="2:13">
      <c r="F565" s="307" t="s">
        <v>550</v>
      </c>
    </row>
    <row r="569" spans="2:13" s="299" customFormat="1" ht="17.25" thickBot="1">
      <c r="B569" s="308" t="s">
        <v>433</v>
      </c>
    </row>
    <row r="570" spans="2:13" s="299" customFormat="1" ht="18" thickTop="1" thickBot="1">
      <c r="B570" s="308" t="s">
        <v>432</v>
      </c>
      <c r="C570" s="308"/>
      <c r="D570" s="308"/>
      <c r="E570" s="308"/>
      <c r="F570" s="308"/>
      <c r="G570" s="308"/>
      <c r="H570" s="308"/>
      <c r="I570" s="308"/>
      <c r="J570" s="308"/>
      <c r="K570" s="308"/>
      <c r="L570" s="308"/>
      <c r="M570" s="308"/>
    </row>
    <row r="571" spans="2:13" s="299" customFormat="1" ht="12.75" thickTop="1"/>
    <row r="572" spans="2:13" s="299" customFormat="1">
      <c r="C572" s="509">
        <v>4.0982532409643613E-2</v>
      </c>
      <c r="D572" s="307" t="s">
        <v>434</v>
      </c>
      <c r="E572" s="132"/>
    </row>
    <row r="573" spans="2:13" s="299" customFormat="1"/>
    <row r="574" spans="2:13">
      <c r="B574" s="299"/>
      <c r="C574" s="299"/>
      <c r="D574" s="299"/>
      <c r="E574" s="299"/>
      <c r="F574" s="299"/>
      <c r="G574" s="299"/>
      <c r="H574" s="299"/>
      <c r="I574" s="299"/>
    </row>
    <row r="575" spans="2:13" s="299" customFormat="1"/>
    <row r="576" spans="2:13" s="299" customFormat="1"/>
    <row r="577" spans="4:6" s="299" customFormat="1"/>
    <row r="578" spans="4:6" s="299" customFormat="1"/>
    <row r="579" spans="4:6" s="299" customFormat="1"/>
    <row r="580" spans="4:6" s="299" customFormat="1"/>
    <row r="581" spans="4:6" s="299" customFormat="1"/>
    <row r="582" spans="4:6" s="299" customFormat="1"/>
    <row r="583" spans="4:6" s="299" customFormat="1"/>
    <row r="584" spans="4:6" s="299" customFormat="1">
      <c r="D584" s="132"/>
      <c r="E584" s="132"/>
      <c r="F584" s="132"/>
    </row>
    <row r="585" spans="4:6">
      <c r="D585" s="132"/>
      <c r="E585" s="132"/>
      <c r="F585" s="132"/>
    </row>
    <row r="586" spans="4:6">
      <c r="D586" s="132"/>
      <c r="E586" s="132"/>
      <c r="F586" s="132"/>
    </row>
    <row r="587" spans="4:6">
      <c r="D587" s="132"/>
      <c r="E587" s="132"/>
      <c r="F587" s="132"/>
    </row>
    <row r="588" spans="4:6">
      <c r="D588" s="132"/>
      <c r="E588" s="132"/>
      <c r="F588" s="132"/>
    </row>
  </sheetData>
  <phoneticPr fontId="0" type="noConversion"/>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V320"/>
  <sheetViews>
    <sheetView showGridLines="0" defaultGridColor="0" colorId="22" zoomScaleNormal="100" workbookViewId="0">
      <pane ySplit="2" topLeftCell="A3" activePane="bottomLeft" state="frozen"/>
      <selection pane="bottomLeft" activeCell="K36" sqref="K36"/>
    </sheetView>
  </sheetViews>
  <sheetFormatPr baseColWidth="10" defaultColWidth="12.7109375" defaultRowHeight="12"/>
  <cols>
    <col min="1" max="1" width="6.7109375" style="95" customWidth="1"/>
    <col min="2" max="2" width="12.7109375" style="95"/>
    <col min="3" max="3" width="19.140625" style="95" customWidth="1"/>
    <col min="4" max="6" width="12.7109375" style="95" customWidth="1"/>
    <col min="7" max="17" width="12.7109375" style="95"/>
    <col min="18" max="33" width="12.7109375" style="299"/>
    <col min="34" max="16384" width="12.7109375" style="95"/>
  </cols>
  <sheetData>
    <row r="1" spans="1:48" s="96" customFormat="1" ht="33.75" customHeight="1">
      <c r="D1" s="140" t="s">
        <v>191</v>
      </c>
      <c r="L1" s="96" t="s">
        <v>20</v>
      </c>
      <c r="R1" s="138"/>
      <c r="S1" s="138"/>
      <c r="T1" s="138"/>
      <c r="U1"/>
      <c r="V1"/>
      <c r="W1"/>
      <c r="X1"/>
      <c r="Y1"/>
      <c r="Z1"/>
      <c r="AA1" s="138"/>
      <c r="AB1" s="138"/>
      <c r="AC1" s="138"/>
      <c r="AD1" s="138"/>
      <c r="AE1" s="138"/>
      <c r="AF1" s="138"/>
      <c r="AG1" s="138"/>
    </row>
    <row r="2" spans="1:48" s="138" customFormat="1" ht="33.75" customHeight="1">
      <c r="D2" s="98" t="s">
        <v>35</v>
      </c>
      <c r="U2"/>
      <c r="V2"/>
      <c r="W2"/>
      <c r="X2"/>
      <c r="Y2"/>
      <c r="Z2"/>
    </row>
    <row r="3" spans="1:48">
      <c r="U3"/>
      <c r="V3"/>
      <c r="W3"/>
      <c r="X3"/>
      <c r="Y3"/>
      <c r="Z3"/>
    </row>
    <row r="4" spans="1:48" ht="20.25" thickBot="1">
      <c r="A4" s="142" t="s">
        <v>183</v>
      </c>
      <c r="B4" s="142"/>
      <c r="C4" s="142"/>
      <c r="U4"/>
      <c r="V4"/>
      <c r="W4"/>
      <c r="X4"/>
      <c r="Y4"/>
      <c r="Z4"/>
    </row>
    <row r="5" spans="1:48" ht="21" thickTop="1" thickBot="1">
      <c r="A5" s="136" t="s">
        <v>118</v>
      </c>
      <c r="B5" s="136"/>
      <c r="C5" s="136"/>
      <c r="D5" s="136"/>
      <c r="E5" s="136"/>
      <c r="F5" s="136"/>
      <c r="G5" s="136"/>
      <c r="H5" s="136"/>
      <c r="I5" s="136"/>
      <c r="J5" s="136"/>
      <c r="K5" s="136"/>
      <c r="L5" s="136"/>
      <c r="M5" s="136"/>
      <c r="N5" s="136"/>
      <c r="O5" s="136"/>
      <c r="P5" s="136"/>
      <c r="U5"/>
      <c r="V5"/>
      <c r="W5"/>
      <c r="X5"/>
      <c r="Y5"/>
      <c r="Z5"/>
    </row>
    <row r="6" spans="1:48" s="134" customFormat="1" ht="16.5" thickTop="1">
      <c r="B6" s="137"/>
      <c r="D6"/>
      <c r="E6"/>
      <c r="F6"/>
      <c r="G6"/>
      <c r="H6"/>
      <c r="I6"/>
      <c r="J6"/>
      <c r="K6"/>
      <c r="L6"/>
      <c r="M6"/>
      <c r="N6"/>
      <c r="O6"/>
      <c r="R6" s="299"/>
      <c r="S6" s="299"/>
      <c r="T6" s="299"/>
      <c r="U6"/>
      <c r="V6"/>
      <c r="W6"/>
      <c r="X6"/>
      <c r="Y6"/>
      <c r="Z6"/>
      <c r="AA6" s="299"/>
      <c r="AB6" s="299"/>
      <c r="AC6" s="299"/>
      <c r="AD6" s="299"/>
      <c r="AE6" s="299"/>
      <c r="AF6" s="299"/>
      <c r="AG6" s="299"/>
    </row>
    <row r="7" spans="1:48" s="299" customFormat="1" ht="17.25" thickBot="1">
      <c r="B7" s="308" t="s">
        <v>479</v>
      </c>
      <c r="C7" s="308"/>
      <c r="D7" s="308"/>
      <c r="E7" s="308"/>
      <c r="F7" s="308"/>
      <c r="R7" s="308" t="s">
        <v>559</v>
      </c>
      <c r="S7" s="308"/>
      <c r="T7" s="308"/>
      <c r="U7"/>
      <c r="V7"/>
      <c r="W7"/>
      <c r="X7"/>
      <c r="Y7"/>
      <c r="Z7"/>
      <c r="AH7" s="308" t="s">
        <v>563</v>
      </c>
      <c r="AI7" s="308"/>
      <c r="AJ7" s="308"/>
      <c r="AK7" s="308"/>
      <c r="AL7" s="308"/>
      <c r="AM7" s="308"/>
    </row>
    <row r="8" spans="1:48" s="299" customFormat="1" ht="18" thickTop="1" thickBot="1">
      <c r="B8" s="308" t="s">
        <v>480</v>
      </c>
      <c r="C8" s="308"/>
      <c r="D8" s="308"/>
      <c r="E8" s="308"/>
      <c r="F8" s="308"/>
      <c r="G8" s="308"/>
      <c r="H8" s="308"/>
      <c r="I8" s="308"/>
      <c r="J8" s="308"/>
      <c r="K8" s="308"/>
      <c r="L8" s="308"/>
      <c r="M8" s="308"/>
      <c r="N8" s="308"/>
      <c r="O8" s="308"/>
      <c r="P8" s="308"/>
      <c r="R8" s="308" t="s">
        <v>571</v>
      </c>
      <c r="S8" s="308"/>
      <c r="T8" s="308"/>
      <c r="U8" s="308"/>
      <c r="V8" s="308"/>
      <c r="W8" s="308"/>
      <c r="X8" s="308"/>
      <c r="Y8" s="308"/>
      <c r="Z8" s="308"/>
      <c r="AA8" s="308"/>
      <c r="AB8" s="308"/>
      <c r="AC8" s="308"/>
      <c r="AD8" s="308"/>
      <c r="AE8" s="308"/>
      <c r="AF8" s="308"/>
      <c r="AH8" s="308" t="s">
        <v>567</v>
      </c>
      <c r="AI8" s="308"/>
      <c r="AJ8" s="308"/>
      <c r="AK8" s="308"/>
      <c r="AL8" s="308"/>
      <c r="AM8" s="308"/>
      <c r="AN8" s="308"/>
      <c r="AO8" s="308"/>
      <c r="AP8" s="308"/>
      <c r="AQ8" s="308"/>
      <c r="AR8" s="308"/>
      <c r="AS8" s="308"/>
      <c r="AT8" s="308"/>
      <c r="AU8" s="308"/>
      <c r="AV8" s="308"/>
    </row>
    <row r="9" spans="1:48" s="299" customFormat="1" ht="12.75" thickTop="1">
      <c r="S9" s="314" t="str">
        <f>Retail.leased.lines.proporcionados.option</f>
        <v>Supuesto 2</v>
      </c>
    </row>
    <row r="10" spans="1:48">
      <c r="C10" s="325" t="s">
        <v>442</v>
      </c>
      <c r="D10" s="325">
        <f t="array" ref="D10:O10">TRANSPOSE(Years)</f>
        <v>2008</v>
      </c>
      <c r="E10" s="325">
        <v>2009</v>
      </c>
      <c r="F10" s="325">
        <v>2010</v>
      </c>
      <c r="G10" s="325">
        <v>2011</v>
      </c>
      <c r="H10" s="325">
        <v>2012</v>
      </c>
      <c r="I10" s="325">
        <v>2013</v>
      </c>
      <c r="J10" s="325">
        <v>2014</v>
      </c>
      <c r="K10" s="325">
        <v>2015</v>
      </c>
      <c r="L10" s="325">
        <v>2016</v>
      </c>
      <c r="M10" s="325">
        <v>2017</v>
      </c>
      <c r="N10" s="325">
        <v>2018</v>
      </c>
      <c r="O10" s="325">
        <v>2019</v>
      </c>
      <c r="S10" s="338" t="s">
        <v>442</v>
      </c>
      <c r="T10" s="338">
        <f t="array" ref="T10:AE10">TRANSPOSE(Years)</f>
        <v>2008</v>
      </c>
      <c r="U10" s="338">
        <v>2009</v>
      </c>
      <c r="V10" s="338">
        <v>2010</v>
      </c>
      <c r="W10" s="338">
        <v>2011</v>
      </c>
      <c r="X10" s="338">
        <v>2012</v>
      </c>
      <c r="Y10" s="338">
        <v>2013</v>
      </c>
      <c r="Z10" s="338">
        <v>2014</v>
      </c>
      <c r="AA10" s="338">
        <v>2015</v>
      </c>
      <c r="AB10" s="338">
        <v>2016</v>
      </c>
      <c r="AC10" s="338">
        <v>2017</v>
      </c>
      <c r="AD10" s="338">
        <v>2018</v>
      </c>
      <c r="AE10" s="338">
        <v>2019</v>
      </c>
      <c r="AH10" s="299"/>
      <c r="AI10" s="338" t="s">
        <v>442</v>
      </c>
      <c r="AJ10" s="338">
        <f t="array" ref="AJ10:AU10">TRANSPOSE(Years)</f>
        <v>2008</v>
      </c>
      <c r="AK10" s="338">
        <v>2009</v>
      </c>
      <c r="AL10" s="338">
        <v>2010</v>
      </c>
      <c r="AM10" s="338">
        <v>2011</v>
      </c>
      <c r="AN10" s="338">
        <v>2012</v>
      </c>
      <c r="AO10" s="338">
        <v>2013</v>
      </c>
      <c r="AP10" s="338">
        <v>2014</v>
      </c>
      <c r="AQ10" s="338">
        <v>2015</v>
      </c>
      <c r="AR10" s="338">
        <v>2016</v>
      </c>
      <c r="AS10" s="338">
        <v>2017</v>
      </c>
      <c r="AT10" s="338">
        <v>2018</v>
      </c>
      <c r="AU10" s="338">
        <v>2019</v>
      </c>
      <c r="AV10" s="299"/>
    </row>
    <row r="11" spans="1:48">
      <c r="C11" s="310" t="str">
        <f t="array" ref="C11:C48">LL.list</f>
        <v>64 kbps</v>
      </c>
      <c r="E11" s="471">
        <f t="array" ref="E11:J48">AK11:AP48-U11:Z48</f>
        <v>8490.64</v>
      </c>
      <c r="F11" s="471">
        <v>9825.32</v>
      </c>
      <c r="G11" s="471">
        <v>8947.2799999999988</v>
      </c>
      <c r="H11" s="471">
        <v>10213.150000000001</v>
      </c>
      <c r="I11" s="471">
        <v>7292.3000000000011</v>
      </c>
      <c r="J11" s="471">
        <v>10281.32</v>
      </c>
      <c r="R11" s="469">
        <v>0.5</v>
      </c>
      <c r="S11" s="310" t="str">
        <f t="array" ref="S11:S48">LL.list</f>
        <v>64 kbps</v>
      </c>
      <c r="U11" s="471">
        <f t="shared" ref="U11:U18" si="0">ROUNDUP(AK11*$R11,0)</f>
        <v>8492</v>
      </c>
      <c r="V11" s="471">
        <f t="shared" ref="V11:V18" si="1">ROUNDUP(AL11*$R11,0)</f>
        <v>9826</v>
      </c>
      <c r="W11" s="471">
        <f t="shared" ref="W11:W18" si="2">ROUNDUP(AM11*$R11,0)</f>
        <v>8948</v>
      </c>
      <c r="X11" s="471">
        <f t="shared" ref="X11:X18" si="3">ROUNDUP(AN11*$R11,0)</f>
        <v>10214</v>
      </c>
      <c r="Y11" s="471">
        <f t="shared" ref="Y11:Y18" si="4">ROUNDUP(AO11*$R11,0)</f>
        <v>7294</v>
      </c>
      <c r="Z11" s="471">
        <f t="shared" ref="Z11:Z18" si="5">ROUNDUP(AP11*$R11,0)</f>
        <v>10282</v>
      </c>
      <c r="AH11" s="299"/>
      <c r="AI11" s="310" t="str">
        <f t="array" ref="AI11:AI48">LL.list</f>
        <v>64 kbps</v>
      </c>
      <c r="AJ11" s="299"/>
      <c r="AK11" s="472">
        <f t="array" ref="AK11:AP48">'7'!$E$453:$J$490</f>
        <v>16982.64</v>
      </c>
      <c r="AL11" s="472">
        <v>19651.32</v>
      </c>
      <c r="AM11" s="472">
        <v>17895.28</v>
      </c>
      <c r="AN11" s="472">
        <v>20427.150000000001</v>
      </c>
      <c r="AO11" s="472">
        <v>14586.300000000001</v>
      </c>
      <c r="AP11" s="472">
        <v>20563.32</v>
      </c>
      <c r="AQ11" s="299"/>
      <c r="AR11" s="299"/>
      <c r="AS11" s="299"/>
      <c r="AT11" s="299"/>
      <c r="AU11" s="299"/>
      <c r="AV11" s="299"/>
    </row>
    <row r="12" spans="1:48">
      <c r="C12" s="310" t="str">
        <v>128 kbps</v>
      </c>
      <c r="E12" s="471">
        <v>5622.0400000000009</v>
      </c>
      <c r="F12" s="471">
        <v>4953.8000000000011</v>
      </c>
      <c r="G12" s="471">
        <v>4508.42</v>
      </c>
      <c r="H12" s="471">
        <v>5692.82</v>
      </c>
      <c r="I12" s="471">
        <v>3146.1400000000003</v>
      </c>
      <c r="J12" s="471">
        <v>3351.1000000000004</v>
      </c>
      <c r="R12" s="469">
        <v>0.5</v>
      </c>
      <c r="S12" s="310" t="str">
        <v>128 kbps</v>
      </c>
      <c r="U12" s="471">
        <f t="shared" si="0"/>
        <v>5624</v>
      </c>
      <c r="V12" s="471">
        <f t="shared" si="1"/>
        <v>4954</v>
      </c>
      <c r="W12" s="471">
        <f t="shared" si="2"/>
        <v>4509</v>
      </c>
      <c r="X12" s="471">
        <f t="shared" si="3"/>
        <v>5694</v>
      </c>
      <c r="Y12" s="471">
        <f t="shared" si="4"/>
        <v>3147</v>
      </c>
      <c r="Z12" s="471">
        <f t="shared" si="5"/>
        <v>3353</v>
      </c>
      <c r="AH12" s="299"/>
      <c r="AI12" s="310" t="str">
        <v>128 kbps</v>
      </c>
      <c r="AJ12" s="299"/>
      <c r="AK12" s="472">
        <v>11246.04</v>
      </c>
      <c r="AL12" s="472">
        <v>9907.8000000000011</v>
      </c>
      <c r="AM12" s="472">
        <v>9017.42</v>
      </c>
      <c r="AN12" s="472">
        <v>11386.82</v>
      </c>
      <c r="AO12" s="472">
        <v>6293.14</v>
      </c>
      <c r="AP12" s="472">
        <v>6704.1</v>
      </c>
      <c r="AQ12" s="299"/>
      <c r="AR12" s="299"/>
      <c r="AS12" s="299"/>
      <c r="AT12" s="299"/>
      <c r="AU12" s="299"/>
      <c r="AV12" s="299"/>
    </row>
    <row r="13" spans="1:48">
      <c r="C13" s="310" t="str">
        <v>192 kbps</v>
      </c>
      <c r="E13" s="471">
        <v>795.44</v>
      </c>
      <c r="F13" s="471">
        <v>1049.8000000000002</v>
      </c>
      <c r="G13" s="471">
        <v>1025.08</v>
      </c>
      <c r="H13" s="471">
        <v>821.22</v>
      </c>
      <c r="I13" s="471">
        <v>760.1099999999999</v>
      </c>
      <c r="J13" s="471">
        <v>430.93999999999994</v>
      </c>
      <c r="R13" s="469">
        <v>0.5</v>
      </c>
      <c r="S13" s="310" t="str">
        <v>192 kbps</v>
      </c>
      <c r="U13" s="471">
        <f t="shared" si="0"/>
        <v>796</v>
      </c>
      <c r="V13" s="471">
        <f t="shared" si="1"/>
        <v>1051</v>
      </c>
      <c r="W13" s="471">
        <f t="shared" si="2"/>
        <v>1027</v>
      </c>
      <c r="X13" s="471">
        <f t="shared" si="3"/>
        <v>822</v>
      </c>
      <c r="Y13" s="471">
        <f t="shared" si="4"/>
        <v>762</v>
      </c>
      <c r="Z13" s="471">
        <f t="shared" si="5"/>
        <v>431</v>
      </c>
      <c r="AH13" s="299"/>
      <c r="AI13" s="310" t="str">
        <v>192 kbps</v>
      </c>
      <c r="AJ13" s="299"/>
      <c r="AK13" s="472">
        <v>1591.44</v>
      </c>
      <c r="AL13" s="472">
        <v>2100.8000000000002</v>
      </c>
      <c r="AM13" s="472">
        <v>2052.08</v>
      </c>
      <c r="AN13" s="472">
        <v>1643.22</v>
      </c>
      <c r="AO13" s="472">
        <v>1522.11</v>
      </c>
      <c r="AP13" s="472">
        <v>861.93999999999994</v>
      </c>
      <c r="AQ13" s="299"/>
      <c r="AR13" s="299"/>
      <c r="AS13" s="299"/>
      <c r="AT13" s="299"/>
      <c r="AU13" s="299"/>
      <c r="AV13" s="299"/>
    </row>
    <row r="14" spans="1:48">
      <c r="C14" s="310" t="str">
        <v>256 kbps</v>
      </c>
      <c r="E14" s="471">
        <v>2820.0899999999992</v>
      </c>
      <c r="F14" s="471">
        <v>2230.13</v>
      </c>
      <c r="G14" s="471">
        <v>2855.6600000000008</v>
      </c>
      <c r="H14" s="471">
        <v>3079.08</v>
      </c>
      <c r="I14" s="471">
        <v>2125.6000000000004</v>
      </c>
      <c r="J14" s="471">
        <v>1899.0500000000002</v>
      </c>
      <c r="R14" s="469">
        <v>0.5</v>
      </c>
      <c r="S14" s="310" t="str">
        <v>256 kbps</v>
      </c>
      <c r="U14" s="471">
        <f t="shared" si="0"/>
        <v>2822</v>
      </c>
      <c r="V14" s="471">
        <f t="shared" si="1"/>
        <v>2231</v>
      </c>
      <c r="W14" s="471">
        <f t="shared" si="2"/>
        <v>2856</v>
      </c>
      <c r="X14" s="471">
        <f t="shared" si="3"/>
        <v>3080</v>
      </c>
      <c r="Y14" s="471">
        <f t="shared" si="4"/>
        <v>2126</v>
      </c>
      <c r="Z14" s="471">
        <f t="shared" si="5"/>
        <v>1900</v>
      </c>
      <c r="AH14" s="299"/>
      <c r="AI14" s="310" t="str">
        <v>256 kbps</v>
      </c>
      <c r="AJ14" s="299"/>
      <c r="AK14" s="472">
        <v>5642.0899999999992</v>
      </c>
      <c r="AL14" s="472">
        <v>4461.13</v>
      </c>
      <c r="AM14" s="472">
        <v>5711.6600000000008</v>
      </c>
      <c r="AN14" s="472">
        <v>6159.08</v>
      </c>
      <c r="AO14" s="472">
        <v>4251.6000000000004</v>
      </c>
      <c r="AP14" s="472">
        <v>3799.05</v>
      </c>
      <c r="AQ14" s="299"/>
      <c r="AR14" s="299"/>
      <c r="AS14" s="299"/>
      <c r="AT14" s="299"/>
      <c r="AU14" s="299"/>
      <c r="AV14" s="299"/>
    </row>
    <row r="15" spans="1:48">
      <c r="C15" s="310" t="str">
        <v>384 kbps</v>
      </c>
      <c r="E15" s="471">
        <v>1341.98</v>
      </c>
      <c r="F15" s="471">
        <v>1565.8200000000002</v>
      </c>
      <c r="G15" s="471">
        <v>968.08000000000015</v>
      </c>
      <c r="H15" s="471">
        <v>1205.2800000000002</v>
      </c>
      <c r="I15" s="471">
        <v>903.8</v>
      </c>
      <c r="J15" s="471">
        <v>892.7</v>
      </c>
      <c r="R15" s="469">
        <v>0.5</v>
      </c>
      <c r="S15" s="310" t="str">
        <v>384 kbps</v>
      </c>
      <c r="U15" s="471">
        <f t="shared" si="0"/>
        <v>1342</v>
      </c>
      <c r="V15" s="471">
        <f t="shared" si="1"/>
        <v>1566</v>
      </c>
      <c r="W15" s="471">
        <f t="shared" si="2"/>
        <v>969</v>
      </c>
      <c r="X15" s="471">
        <f t="shared" si="3"/>
        <v>1206</v>
      </c>
      <c r="Y15" s="471">
        <f t="shared" si="4"/>
        <v>905</v>
      </c>
      <c r="Z15" s="471">
        <f t="shared" si="5"/>
        <v>894</v>
      </c>
      <c r="AH15" s="299"/>
      <c r="AI15" s="310" t="str">
        <v>384 kbps</v>
      </c>
      <c r="AJ15" s="299"/>
      <c r="AK15" s="472">
        <v>2683.98</v>
      </c>
      <c r="AL15" s="472">
        <v>3131.82</v>
      </c>
      <c r="AM15" s="472">
        <v>1937.0800000000002</v>
      </c>
      <c r="AN15" s="472">
        <v>2411.2800000000002</v>
      </c>
      <c r="AO15" s="472">
        <v>1808.8</v>
      </c>
      <c r="AP15" s="472">
        <v>1786.7</v>
      </c>
      <c r="AQ15" s="299"/>
      <c r="AR15" s="299"/>
      <c r="AS15" s="299"/>
      <c r="AT15" s="299"/>
      <c r="AU15" s="299"/>
      <c r="AV15" s="299"/>
    </row>
    <row r="16" spans="1:48">
      <c r="C16" s="310" t="str">
        <v>512 kbps</v>
      </c>
      <c r="E16" s="471">
        <v>2071.96</v>
      </c>
      <c r="F16" s="471">
        <v>2228.75</v>
      </c>
      <c r="G16" s="471">
        <v>1678.08</v>
      </c>
      <c r="H16" s="471">
        <v>1936.3000000000002</v>
      </c>
      <c r="I16" s="471">
        <v>1278</v>
      </c>
      <c r="J16" s="471">
        <v>1096.3600000000001</v>
      </c>
      <c r="R16" s="469">
        <v>0.5</v>
      </c>
      <c r="S16" s="310" t="str">
        <v>512 kbps</v>
      </c>
      <c r="U16" s="471">
        <f t="shared" si="0"/>
        <v>2072</v>
      </c>
      <c r="V16" s="471">
        <f t="shared" si="1"/>
        <v>2230</v>
      </c>
      <c r="W16" s="471">
        <f t="shared" si="2"/>
        <v>1680</v>
      </c>
      <c r="X16" s="471">
        <f t="shared" si="3"/>
        <v>1938</v>
      </c>
      <c r="Y16" s="471">
        <f t="shared" si="4"/>
        <v>1278</v>
      </c>
      <c r="Z16" s="471">
        <f t="shared" si="5"/>
        <v>1097</v>
      </c>
      <c r="AH16" s="299"/>
      <c r="AI16" s="310" t="str">
        <v>512 kbps</v>
      </c>
      <c r="AJ16" s="299"/>
      <c r="AK16" s="472">
        <v>4143.96</v>
      </c>
      <c r="AL16" s="472">
        <v>4458.75</v>
      </c>
      <c r="AM16" s="472">
        <v>3358.08</v>
      </c>
      <c r="AN16" s="472">
        <v>3874.3</v>
      </c>
      <c r="AO16" s="472">
        <v>2556</v>
      </c>
      <c r="AP16" s="472">
        <v>2193.36</v>
      </c>
      <c r="AQ16" s="299"/>
      <c r="AR16" s="299"/>
      <c r="AS16" s="299"/>
      <c r="AT16" s="299"/>
      <c r="AU16" s="299"/>
      <c r="AV16" s="299"/>
    </row>
    <row r="17" spans="3:48">
      <c r="C17" s="310" t="str">
        <v>768 kbps</v>
      </c>
      <c r="E17" s="471">
        <v>480.5</v>
      </c>
      <c r="F17" s="471">
        <v>408.5</v>
      </c>
      <c r="G17" s="471">
        <v>351.5</v>
      </c>
      <c r="H17" s="471">
        <v>396.43999999999994</v>
      </c>
      <c r="I17" s="471">
        <v>215.97000000000003</v>
      </c>
      <c r="J17" s="471">
        <v>183.5</v>
      </c>
      <c r="Q17" s="299"/>
      <c r="R17" s="469">
        <v>0.5</v>
      </c>
      <c r="S17" s="310" t="str">
        <v>768 kbps</v>
      </c>
      <c r="U17" s="471">
        <f t="shared" si="0"/>
        <v>481</v>
      </c>
      <c r="V17" s="471">
        <f t="shared" si="1"/>
        <v>409</v>
      </c>
      <c r="W17" s="471">
        <f t="shared" si="2"/>
        <v>352</v>
      </c>
      <c r="X17" s="471">
        <f t="shared" si="3"/>
        <v>397</v>
      </c>
      <c r="Y17" s="471">
        <f t="shared" si="4"/>
        <v>216</v>
      </c>
      <c r="Z17" s="471">
        <f t="shared" si="5"/>
        <v>184</v>
      </c>
      <c r="AH17" s="299"/>
      <c r="AI17" s="310" t="str">
        <v>768 kbps</v>
      </c>
      <c r="AJ17" s="299"/>
      <c r="AK17" s="472">
        <v>961.5</v>
      </c>
      <c r="AL17" s="472">
        <v>817.5</v>
      </c>
      <c r="AM17" s="472">
        <v>703.5</v>
      </c>
      <c r="AN17" s="472">
        <v>793.43999999999994</v>
      </c>
      <c r="AO17" s="472">
        <v>431.97</v>
      </c>
      <c r="AP17" s="472">
        <v>367.5</v>
      </c>
      <c r="AQ17" s="299"/>
      <c r="AR17" s="299"/>
      <c r="AS17" s="299"/>
      <c r="AT17" s="299"/>
      <c r="AU17" s="299"/>
      <c r="AV17" s="299"/>
    </row>
    <row r="18" spans="3:48">
      <c r="C18" s="310" t="str">
        <v>1024 kbps</v>
      </c>
      <c r="E18" s="471">
        <v>1118.75</v>
      </c>
      <c r="F18" s="471">
        <v>539.72</v>
      </c>
      <c r="G18" s="471">
        <v>514.28</v>
      </c>
      <c r="H18" s="471">
        <v>450</v>
      </c>
      <c r="I18" s="471">
        <v>321.27999999999997</v>
      </c>
      <c r="J18" s="471">
        <v>300.20000000000005</v>
      </c>
      <c r="Q18" s="299"/>
      <c r="R18" s="469">
        <v>0.5</v>
      </c>
      <c r="S18" s="310" t="str">
        <v>1024 kbps</v>
      </c>
      <c r="U18" s="471">
        <f t="shared" si="0"/>
        <v>1120</v>
      </c>
      <c r="V18" s="471">
        <f t="shared" si="1"/>
        <v>541</v>
      </c>
      <c r="W18" s="471">
        <f t="shared" si="2"/>
        <v>516</v>
      </c>
      <c r="X18" s="471">
        <f t="shared" si="3"/>
        <v>451</v>
      </c>
      <c r="Y18" s="471">
        <f t="shared" si="4"/>
        <v>322</v>
      </c>
      <c r="Z18" s="471">
        <f t="shared" si="5"/>
        <v>301</v>
      </c>
      <c r="AH18" s="299"/>
      <c r="AI18" s="310" t="str">
        <v>1024 kbps</v>
      </c>
      <c r="AJ18" s="299"/>
      <c r="AK18" s="472">
        <v>2238.75</v>
      </c>
      <c r="AL18" s="472">
        <v>1080.72</v>
      </c>
      <c r="AM18" s="472">
        <v>1030.28</v>
      </c>
      <c r="AN18" s="472">
        <v>901</v>
      </c>
      <c r="AO18" s="472">
        <v>643.28</v>
      </c>
      <c r="AP18" s="472">
        <v>601.20000000000005</v>
      </c>
      <c r="AQ18" s="299"/>
      <c r="AR18" s="299"/>
      <c r="AS18" s="299"/>
      <c r="AT18" s="299"/>
      <c r="AU18" s="299"/>
      <c r="AV18" s="299"/>
    </row>
    <row r="19" spans="3:48">
      <c r="C19" s="331" t="str">
        <v>E1 (2.04 Mbps)</v>
      </c>
      <c r="E19" s="471">
        <v>631.19000000000051</v>
      </c>
      <c r="F19" s="471">
        <v>1107.989999999998</v>
      </c>
      <c r="G19" s="471">
        <v>1359.3400000000038</v>
      </c>
      <c r="H19" s="471">
        <v>1189.2000000000007</v>
      </c>
      <c r="I19" s="471">
        <v>1328.3100000000013</v>
      </c>
      <c r="J19" s="471">
        <v>1440.0299999999988</v>
      </c>
      <c r="Q19" s="299"/>
      <c r="R19" s="340">
        <v>0.95</v>
      </c>
      <c r="S19" s="331" t="str">
        <v>E1 (2.04 Mbps)</v>
      </c>
      <c r="U19" s="471">
        <f t="shared" ref="U19:U21" si="6">ROUNDUP(AK19*$R19,0)</f>
        <v>12004</v>
      </c>
      <c r="V19" s="471">
        <f t="shared" ref="V19:V21" si="7">ROUNDUP(AL19*$R19,0)</f>
        <v>21058</v>
      </c>
      <c r="W19" s="471">
        <f t="shared" ref="W19:W21" si="8">ROUNDUP(AM19*$R19,0)</f>
        <v>25829</v>
      </c>
      <c r="X19" s="471">
        <f t="shared" ref="X19:X21" si="9">ROUNDUP(AN19*$R19,0)</f>
        <v>22614</v>
      </c>
      <c r="Y19" s="471">
        <f t="shared" ref="Y19:Y21" si="10">ROUNDUP(AO19*$R19,0)</f>
        <v>25239</v>
      </c>
      <c r="Z19" s="471">
        <f t="shared" ref="Z19:Z21" si="11">ROUNDUP(AP19*$R19,0)</f>
        <v>27366</v>
      </c>
      <c r="AH19" s="299"/>
      <c r="AI19" s="331" t="str">
        <v>E1 (2.04 Mbps)</v>
      </c>
      <c r="AJ19" s="299"/>
      <c r="AK19" s="472">
        <v>12635.19</v>
      </c>
      <c r="AL19" s="472">
        <v>22165.989999999998</v>
      </c>
      <c r="AM19" s="472">
        <v>27188.340000000004</v>
      </c>
      <c r="AN19" s="472">
        <v>23803.200000000001</v>
      </c>
      <c r="AO19" s="472">
        <v>26567.31</v>
      </c>
      <c r="AP19" s="472">
        <v>28806.03</v>
      </c>
      <c r="AQ19" s="299"/>
      <c r="AR19" s="299"/>
      <c r="AS19" s="299"/>
      <c r="AT19" s="299"/>
      <c r="AU19" s="299"/>
      <c r="AV19" s="299"/>
    </row>
    <row r="20" spans="3:48">
      <c r="C20" s="331" t="str">
        <v>E2 *</v>
      </c>
      <c r="E20" s="471">
        <v>0</v>
      </c>
      <c r="F20" s="471">
        <v>0</v>
      </c>
      <c r="G20" s="471">
        <v>0</v>
      </c>
      <c r="H20" s="471">
        <v>0</v>
      </c>
      <c r="I20" s="471">
        <v>0</v>
      </c>
      <c r="J20" s="471">
        <v>0</v>
      </c>
      <c r="Q20" s="299"/>
      <c r="R20" s="340">
        <v>0.5</v>
      </c>
      <c r="S20" s="331" t="str">
        <v>E2 *</v>
      </c>
      <c r="U20" s="471">
        <f t="shared" si="6"/>
        <v>0</v>
      </c>
      <c r="V20" s="471">
        <f t="shared" si="7"/>
        <v>0</v>
      </c>
      <c r="W20" s="471">
        <f t="shared" si="8"/>
        <v>0</v>
      </c>
      <c r="X20" s="471">
        <f t="shared" si="9"/>
        <v>0</v>
      </c>
      <c r="Y20" s="471">
        <f t="shared" si="10"/>
        <v>0</v>
      </c>
      <c r="Z20" s="471">
        <f t="shared" si="11"/>
        <v>0</v>
      </c>
      <c r="AH20" s="299"/>
      <c r="AI20" s="331" t="str">
        <v>E2 *</v>
      </c>
      <c r="AJ20" s="299"/>
      <c r="AK20" s="472">
        <v>0</v>
      </c>
      <c r="AL20" s="472">
        <v>0</v>
      </c>
      <c r="AM20" s="472">
        <v>0</v>
      </c>
      <c r="AN20" s="472">
        <v>0</v>
      </c>
      <c r="AO20" s="472">
        <v>0</v>
      </c>
      <c r="AP20" s="472">
        <v>0</v>
      </c>
      <c r="AQ20" s="299"/>
      <c r="AR20" s="299"/>
      <c r="AS20" s="299"/>
      <c r="AT20" s="299"/>
      <c r="AU20" s="299"/>
      <c r="AV20" s="299"/>
    </row>
    <row r="21" spans="3:48">
      <c r="C21" s="331" t="str">
        <v>E3 (34 Mbps)</v>
      </c>
      <c r="E21" s="471">
        <v>172.5</v>
      </c>
      <c r="F21" s="471">
        <v>194.71999999999997</v>
      </c>
      <c r="G21" s="471">
        <v>174.76</v>
      </c>
      <c r="H21" s="471">
        <v>213.09000000000003</v>
      </c>
      <c r="I21" s="471">
        <v>176.34000000000003</v>
      </c>
      <c r="J21" s="471">
        <v>218.75</v>
      </c>
      <c r="Q21" s="299"/>
      <c r="R21" s="340">
        <v>0.5</v>
      </c>
      <c r="S21" s="331" t="str">
        <v>E3 (34 Mbps)</v>
      </c>
      <c r="U21" s="471">
        <f t="shared" si="6"/>
        <v>174</v>
      </c>
      <c r="V21" s="471">
        <f t="shared" si="7"/>
        <v>196</v>
      </c>
      <c r="W21" s="471">
        <f t="shared" si="8"/>
        <v>176</v>
      </c>
      <c r="X21" s="471">
        <f t="shared" si="9"/>
        <v>215</v>
      </c>
      <c r="Y21" s="471">
        <f t="shared" si="10"/>
        <v>177</v>
      </c>
      <c r="Z21" s="471">
        <f t="shared" si="11"/>
        <v>220</v>
      </c>
      <c r="AH21" s="299"/>
      <c r="AI21" s="331" t="str">
        <v>E3 (34 Mbps)</v>
      </c>
      <c r="AJ21" s="299"/>
      <c r="AK21" s="472">
        <v>346.5</v>
      </c>
      <c r="AL21" s="472">
        <v>390.71999999999997</v>
      </c>
      <c r="AM21" s="472">
        <v>350.76</v>
      </c>
      <c r="AN21" s="472">
        <v>428.09000000000003</v>
      </c>
      <c r="AO21" s="472">
        <v>353.34000000000003</v>
      </c>
      <c r="AP21" s="472">
        <v>438.75</v>
      </c>
      <c r="AQ21" s="299"/>
      <c r="AR21" s="299"/>
      <c r="AS21" s="299"/>
      <c r="AT21" s="299"/>
      <c r="AU21" s="299"/>
      <c r="AV21" s="299"/>
    </row>
    <row r="22" spans="3:48">
      <c r="C22" s="331" t="str">
        <v>STM-1 (155 Mbps)</v>
      </c>
      <c r="E22" s="471">
        <v>0</v>
      </c>
      <c r="F22" s="471">
        <v>0</v>
      </c>
      <c r="G22" s="471">
        <v>0</v>
      </c>
      <c r="H22" s="471">
        <v>0</v>
      </c>
      <c r="I22" s="471">
        <v>0</v>
      </c>
      <c r="J22" s="471">
        <v>0</v>
      </c>
      <c r="Q22" s="299"/>
      <c r="S22" s="331" t="str">
        <v>STM-1 (155 Mbps)</v>
      </c>
      <c r="U22" s="472">
        <f t="shared" ref="U22:U26" si="12">AK22</f>
        <v>219.48</v>
      </c>
      <c r="V22" s="472">
        <f t="shared" ref="V22:V26" si="13">AL22</f>
        <v>146.52000000000001</v>
      </c>
      <c r="W22" s="472">
        <f t="shared" ref="W22:W26" si="14">AM22</f>
        <v>192.95999999999998</v>
      </c>
      <c r="X22" s="472">
        <f t="shared" ref="X22:X26" si="15">AN22</f>
        <v>285</v>
      </c>
      <c r="Y22" s="472">
        <f t="shared" ref="Y22:Y26" si="16">AO22</f>
        <v>298.24</v>
      </c>
      <c r="Z22" s="472">
        <f t="shared" ref="Z22:Z26" si="17">AP22</f>
        <v>221.76000000000002</v>
      </c>
      <c r="AH22" s="299"/>
      <c r="AI22" s="331" t="str">
        <v>STM-1 (155 Mbps)</v>
      </c>
      <c r="AJ22" s="299"/>
      <c r="AK22" s="472">
        <v>219.48</v>
      </c>
      <c r="AL22" s="472">
        <v>146.52000000000001</v>
      </c>
      <c r="AM22" s="472">
        <v>192.95999999999998</v>
      </c>
      <c r="AN22" s="472">
        <v>285</v>
      </c>
      <c r="AO22" s="472">
        <v>298.24</v>
      </c>
      <c r="AP22" s="472">
        <v>221.76000000000002</v>
      </c>
      <c r="AQ22" s="299"/>
      <c r="AR22" s="299"/>
      <c r="AS22" s="299"/>
      <c r="AT22" s="299"/>
      <c r="AU22" s="299"/>
      <c r="AV22" s="299"/>
    </row>
    <row r="23" spans="3:48">
      <c r="C23" s="310" t="str">
        <v>STM-4 (622.08 Mbps)</v>
      </c>
      <c r="E23" s="471">
        <v>0</v>
      </c>
      <c r="F23" s="471">
        <v>0</v>
      </c>
      <c r="G23" s="471">
        <v>0</v>
      </c>
      <c r="H23" s="471">
        <v>0</v>
      </c>
      <c r="I23" s="471">
        <v>0</v>
      </c>
      <c r="J23" s="471">
        <v>0</v>
      </c>
      <c r="Q23" s="299"/>
      <c r="S23" s="310" t="str">
        <v>STM-4 (622.08 Mbps)</v>
      </c>
      <c r="U23" s="472">
        <f t="shared" si="12"/>
        <v>1.0900000000000001</v>
      </c>
      <c r="V23" s="472">
        <f t="shared" si="13"/>
        <v>0.97</v>
      </c>
      <c r="W23" s="472">
        <f t="shared" si="14"/>
        <v>1.27</v>
      </c>
      <c r="X23" s="472">
        <f t="shared" si="15"/>
        <v>1.56</v>
      </c>
      <c r="Y23" s="472">
        <f t="shared" si="16"/>
        <v>3.3899999999999997</v>
      </c>
      <c r="Z23" s="472">
        <f t="shared" si="17"/>
        <v>3.12</v>
      </c>
      <c r="AH23" s="299"/>
      <c r="AI23" s="310" t="str">
        <v>STM-4 (622.08 Mbps)</v>
      </c>
      <c r="AJ23" s="299"/>
      <c r="AK23" s="472">
        <v>1.0900000000000001</v>
      </c>
      <c r="AL23" s="472">
        <v>0.97</v>
      </c>
      <c r="AM23" s="472">
        <v>1.27</v>
      </c>
      <c r="AN23" s="472">
        <v>1.56</v>
      </c>
      <c r="AO23" s="472">
        <v>3.3899999999999997</v>
      </c>
      <c r="AP23" s="472">
        <v>3.12</v>
      </c>
      <c r="AQ23" s="299"/>
      <c r="AR23" s="299"/>
      <c r="AS23" s="299"/>
      <c r="AT23" s="299"/>
      <c r="AU23" s="299"/>
      <c r="AV23" s="299"/>
    </row>
    <row r="24" spans="3:48">
      <c r="C24" s="310" t="str">
        <v>STM-16 (2488.32Mbps)</v>
      </c>
      <c r="E24" s="471">
        <v>0</v>
      </c>
      <c r="F24" s="471">
        <v>0</v>
      </c>
      <c r="G24" s="471">
        <v>0</v>
      </c>
      <c r="H24" s="471">
        <v>0</v>
      </c>
      <c r="I24" s="471">
        <v>0</v>
      </c>
      <c r="J24" s="471">
        <v>0</v>
      </c>
      <c r="Q24" s="299"/>
      <c r="S24" s="310" t="str">
        <v>STM-16 (2488.32Mbps)</v>
      </c>
      <c r="U24" s="472">
        <f t="shared" si="12"/>
        <v>7.1999999999999993</v>
      </c>
      <c r="V24" s="472">
        <f t="shared" si="13"/>
        <v>1.26</v>
      </c>
      <c r="W24" s="472">
        <f t="shared" si="14"/>
        <v>1.21</v>
      </c>
      <c r="X24" s="472">
        <f t="shared" si="15"/>
        <v>1.07</v>
      </c>
      <c r="Y24" s="472">
        <f t="shared" si="16"/>
        <v>1</v>
      </c>
      <c r="Z24" s="472">
        <f t="shared" si="17"/>
        <v>0.78</v>
      </c>
      <c r="AH24" s="299"/>
      <c r="AI24" s="310" t="str">
        <v>STM-16 (2488.32Mbps)</v>
      </c>
      <c r="AJ24" s="299"/>
      <c r="AK24" s="472">
        <v>7.1999999999999993</v>
      </c>
      <c r="AL24" s="472">
        <v>1.26</v>
      </c>
      <c r="AM24" s="472">
        <v>1.21</v>
      </c>
      <c r="AN24" s="472">
        <v>1.07</v>
      </c>
      <c r="AO24" s="472">
        <v>1</v>
      </c>
      <c r="AP24" s="472">
        <v>0.78</v>
      </c>
      <c r="AQ24" s="299"/>
      <c r="AR24" s="299"/>
      <c r="AS24" s="299"/>
      <c r="AT24" s="299"/>
      <c r="AU24" s="299"/>
      <c r="AV24" s="299"/>
    </row>
    <row r="25" spans="3:48">
      <c r="C25" s="310" t="str">
        <v>STM-64 (9953.28Mbps)</v>
      </c>
      <c r="E25" s="471">
        <v>0</v>
      </c>
      <c r="F25" s="471">
        <v>0</v>
      </c>
      <c r="G25" s="471">
        <v>0</v>
      </c>
      <c r="H25" s="471">
        <v>0</v>
      </c>
      <c r="I25" s="471">
        <v>0</v>
      </c>
      <c r="J25" s="471">
        <v>0</v>
      </c>
      <c r="Q25" s="299"/>
      <c r="S25" s="310" t="str">
        <v>STM-64 (9953.28Mbps)</v>
      </c>
      <c r="U25" s="472">
        <f t="shared" si="12"/>
        <v>0</v>
      </c>
      <c r="V25" s="472">
        <f t="shared" si="13"/>
        <v>0</v>
      </c>
      <c r="W25" s="472">
        <f t="shared" si="14"/>
        <v>0</v>
      </c>
      <c r="X25" s="472">
        <f t="shared" si="15"/>
        <v>0</v>
      </c>
      <c r="Y25" s="472">
        <f t="shared" si="16"/>
        <v>0</v>
      </c>
      <c r="Z25" s="472">
        <f t="shared" si="17"/>
        <v>0</v>
      </c>
      <c r="AH25" s="299"/>
      <c r="AI25" s="310" t="str">
        <v>STM-64 (9953.28Mbps)</v>
      </c>
      <c r="AJ25" s="299"/>
      <c r="AK25" s="472">
        <v>0</v>
      </c>
      <c r="AL25" s="472">
        <v>0</v>
      </c>
      <c r="AM25" s="472">
        <v>0</v>
      </c>
      <c r="AN25" s="472">
        <v>0</v>
      </c>
      <c r="AO25" s="472">
        <v>0</v>
      </c>
      <c r="AP25" s="472">
        <v>0</v>
      </c>
      <c r="AQ25" s="299"/>
      <c r="AR25" s="299"/>
      <c r="AS25" s="299"/>
      <c r="AT25" s="299"/>
      <c r="AU25" s="299"/>
      <c r="AV25" s="299"/>
    </row>
    <row r="26" spans="3:48">
      <c r="C26" s="310" t="str">
        <v>STM-256 (39813.12 Mbps)*</v>
      </c>
      <c r="E26" s="471">
        <v>0</v>
      </c>
      <c r="F26" s="471">
        <v>0</v>
      </c>
      <c r="G26" s="471">
        <v>0</v>
      </c>
      <c r="H26" s="471">
        <v>0</v>
      </c>
      <c r="I26" s="471">
        <v>0</v>
      </c>
      <c r="J26" s="471">
        <v>0</v>
      </c>
      <c r="Q26" s="299"/>
      <c r="S26" s="310" t="str">
        <v>STM-256 (39813.12 Mbps)*</v>
      </c>
      <c r="U26" s="472">
        <f t="shared" si="12"/>
        <v>0</v>
      </c>
      <c r="V26" s="472">
        <f t="shared" si="13"/>
        <v>0</v>
      </c>
      <c r="W26" s="472">
        <f t="shared" si="14"/>
        <v>0</v>
      </c>
      <c r="X26" s="472">
        <f t="shared" si="15"/>
        <v>0</v>
      </c>
      <c r="Y26" s="472">
        <f t="shared" si="16"/>
        <v>0</v>
      </c>
      <c r="Z26" s="472">
        <f t="shared" si="17"/>
        <v>0</v>
      </c>
      <c r="AH26" s="299"/>
      <c r="AI26" s="310" t="str">
        <v>STM-256 (39813.12 Mbps)*</v>
      </c>
      <c r="AJ26" s="299"/>
      <c r="AK26" s="472">
        <v>0</v>
      </c>
      <c r="AL26" s="472">
        <v>0</v>
      </c>
      <c r="AM26" s="472">
        <v>0</v>
      </c>
      <c r="AN26" s="472">
        <v>0</v>
      </c>
      <c r="AO26" s="472">
        <v>0</v>
      </c>
      <c r="AP26" s="472">
        <v>0</v>
      </c>
      <c r="AQ26" s="299"/>
      <c r="AR26" s="299"/>
      <c r="AS26" s="299"/>
      <c r="AT26" s="299"/>
      <c r="AU26" s="299"/>
      <c r="AV26" s="299"/>
    </row>
    <row r="27" spans="3:48">
      <c r="C27" s="310" t="str">
        <v>Ethernet (10Mbps)</v>
      </c>
      <c r="E27" s="471">
        <v>10.75</v>
      </c>
      <c r="F27" s="471">
        <v>21.710000000000008</v>
      </c>
      <c r="G27" s="471">
        <v>40.25</v>
      </c>
      <c r="H27" s="471">
        <v>95.279999999999973</v>
      </c>
      <c r="I27" s="471">
        <v>158.90000000000009</v>
      </c>
      <c r="J27" s="471">
        <v>191.90000000000009</v>
      </c>
      <c r="Q27" s="299"/>
      <c r="R27" s="340">
        <v>0.9</v>
      </c>
      <c r="S27" s="310" t="str">
        <v>Ethernet (10Mbps)</v>
      </c>
      <c r="U27" s="471">
        <f t="shared" ref="U27:U29" si="18">ROUNDUP(AK27*$R27,0)</f>
        <v>101</v>
      </c>
      <c r="V27" s="471">
        <f t="shared" ref="V27:V29" si="19">ROUNDUP(AL27*$R27,0)</f>
        <v>198</v>
      </c>
      <c r="W27" s="471">
        <f t="shared" ref="W27:W29" si="20">ROUNDUP(AM27*$R27,0)</f>
        <v>371</v>
      </c>
      <c r="X27" s="471">
        <f t="shared" ref="X27:X29" si="21">ROUNDUP(AN27*$R27,0)</f>
        <v>866</v>
      </c>
      <c r="Y27" s="471">
        <f t="shared" ref="Y27:Y29" si="22">ROUNDUP(AO27*$R27,0)</f>
        <v>1435</v>
      </c>
      <c r="Z27" s="471">
        <f t="shared" ref="Z27:Z29" si="23">ROUNDUP(AP27*$R27,0)</f>
        <v>1735</v>
      </c>
      <c r="AH27" s="299"/>
      <c r="AI27" s="310" t="str">
        <v>Ethernet (10Mbps)</v>
      </c>
      <c r="AJ27" s="299"/>
      <c r="AK27" s="472">
        <v>111.75</v>
      </c>
      <c r="AL27" s="472">
        <v>219.71</v>
      </c>
      <c r="AM27" s="472">
        <v>411.25</v>
      </c>
      <c r="AN27" s="472">
        <v>961.28</v>
      </c>
      <c r="AO27" s="472">
        <v>1593.9</v>
      </c>
      <c r="AP27" s="472">
        <v>1926.9</v>
      </c>
      <c r="AQ27" s="299"/>
      <c r="AR27" s="299"/>
      <c r="AS27" s="299"/>
      <c r="AT27" s="299"/>
      <c r="AU27" s="299"/>
      <c r="AV27" s="299"/>
    </row>
    <row r="28" spans="3:48">
      <c r="C28" s="310" t="str">
        <v>Ethernet (20Mbps)</v>
      </c>
      <c r="E28" s="471">
        <v>10</v>
      </c>
      <c r="F28" s="471">
        <v>21.53</v>
      </c>
      <c r="G28" s="471">
        <v>69.360000000000014</v>
      </c>
      <c r="H28" s="471">
        <v>163.45000000000005</v>
      </c>
      <c r="I28" s="471">
        <v>328.32000000000005</v>
      </c>
      <c r="J28" s="471">
        <v>570.39999999999986</v>
      </c>
      <c r="Q28" s="299"/>
      <c r="R28" s="340">
        <v>0.5</v>
      </c>
      <c r="S28" s="310" t="str">
        <v>Ethernet (20Mbps)</v>
      </c>
      <c r="U28" s="471">
        <f t="shared" si="18"/>
        <v>11</v>
      </c>
      <c r="V28" s="471">
        <f t="shared" si="19"/>
        <v>23</v>
      </c>
      <c r="W28" s="471">
        <f t="shared" si="20"/>
        <v>70</v>
      </c>
      <c r="X28" s="471">
        <f t="shared" si="21"/>
        <v>164</v>
      </c>
      <c r="Y28" s="471">
        <f t="shared" si="22"/>
        <v>330</v>
      </c>
      <c r="Z28" s="471">
        <f t="shared" si="23"/>
        <v>572</v>
      </c>
      <c r="AH28" s="299"/>
      <c r="AI28" s="310" t="str">
        <v>Ethernet (20Mbps)</v>
      </c>
      <c r="AJ28" s="299"/>
      <c r="AK28" s="472">
        <v>21</v>
      </c>
      <c r="AL28" s="472">
        <v>44.53</v>
      </c>
      <c r="AM28" s="472">
        <v>139.36000000000001</v>
      </c>
      <c r="AN28" s="472">
        <v>327.45000000000005</v>
      </c>
      <c r="AO28" s="472">
        <v>658.32</v>
      </c>
      <c r="AP28" s="472">
        <v>1142.3999999999999</v>
      </c>
      <c r="AQ28" s="299"/>
      <c r="AR28" s="299"/>
      <c r="AS28" s="299"/>
      <c r="AT28" s="299"/>
      <c r="AU28" s="299"/>
      <c r="AV28" s="299"/>
    </row>
    <row r="29" spans="3:48">
      <c r="C29" s="310" t="str">
        <v>Ethernet (30Mbps)</v>
      </c>
      <c r="E29" s="471">
        <v>1.7800000000000011</v>
      </c>
      <c r="F29" s="471">
        <v>1.1600000000000001</v>
      </c>
      <c r="G29" s="471">
        <v>4.6800000000000068</v>
      </c>
      <c r="H29" s="471">
        <v>13.449999999999989</v>
      </c>
      <c r="I29" s="471">
        <v>21.180000000000007</v>
      </c>
      <c r="J29" s="471">
        <v>43.879999999999995</v>
      </c>
      <c r="Q29" s="299"/>
      <c r="R29" s="340">
        <v>0.9</v>
      </c>
      <c r="S29" s="310" t="str">
        <v>Ethernet (30Mbps)</v>
      </c>
      <c r="U29" s="471">
        <f t="shared" si="18"/>
        <v>18</v>
      </c>
      <c r="V29" s="471">
        <f t="shared" si="19"/>
        <v>19</v>
      </c>
      <c r="W29" s="471">
        <f t="shared" si="20"/>
        <v>52</v>
      </c>
      <c r="X29" s="471">
        <f t="shared" si="21"/>
        <v>128</v>
      </c>
      <c r="Y29" s="471">
        <f t="shared" si="22"/>
        <v>199</v>
      </c>
      <c r="Z29" s="471">
        <f t="shared" si="23"/>
        <v>399</v>
      </c>
      <c r="AH29" s="299"/>
      <c r="AI29" s="310" t="str">
        <v>Ethernet (30Mbps)</v>
      </c>
      <c r="AJ29" s="299"/>
      <c r="AK29" s="472">
        <v>19.78</v>
      </c>
      <c r="AL29" s="472">
        <v>20.16</v>
      </c>
      <c r="AM29" s="472">
        <v>56.680000000000007</v>
      </c>
      <c r="AN29" s="472">
        <v>141.44999999999999</v>
      </c>
      <c r="AO29" s="472">
        <v>220.18</v>
      </c>
      <c r="AP29" s="472">
        <v>442.88</v>
      </c>
      <c r="AQ29" s="299"/>
      <c r="AR29" s="299"/>
      <c r="AS29" s="299"/>
      <c r="AT29" s="299"/>
      <c r="AU29" s="299"/>
      <c r="AV29" s="299"/>
    </row>
    <row r="30" spans="3:48">
      <c r="C30" s="310" t="str">
        <v>Ethernet (40Mbps)</v>
      </c>
      <c r="E30" s="471">
        <v>0.6399999999999999</v>
      </c>
      <c r="F30" s="471">
        <v>2.2000000000000002</v>
      </c>
      <c r="G30" s="471">
        <v>6.4</v>
      </c>
      <c r="H30" s="471">
        <v>22.980000000000004</v>
      </c>
      <c r="I30" s="471">
        <v>58.17</v>
      </c>
      <c r="J30" s="471">
        <v>150.82</v>
      </c>
      <c r="Q30" s="299"/>
      <c r="R30" s="340">
        <v>0.5</v>
      </c>
      <c r="S30" s="310" t="str">
        <v>Ethernet (40Mbps)</v>
      </c>
      <c r="U30" s="471">
        <f>ROUNDUP(AK30*$R30,0)</f>
        <v>1</v>
      </c>
      <c r="V30" s="471">
        <f t="shared" ref="V30:V35" si="24">ROUNDUP(AL30*$R30,0)</f>
        <v>3</v>
      </c>
      <c r="W30" s="471">
        <f t="shared" ref="W30:W35" si="25">ROUNDUP(AM30*$R30,0)</f>
        <v>8</v>
      </c>
      <c r="X30" s="471">
        <f t="shared" ref="X30:X35" si="26">ROUNDUP(AN30*$R30,0)</f>
        <v>24</v>
      </c>
      <c r="Y30" s="471">
        <f t="shared" ref="Y30:Y35" si="27">ROUNDUP(AO30*$R30,0)</f>
        <v>60</v>
      </c>
      <c r="Z30" s="471">
        <f t="shared" ref="Z30:Z35" si="28">ROUNDUP(AP30*$R30,0)</f>
        <v>152</v>
      </c>
      <c r="AH30" s="299"/>
      <c r="AI30" s="310" t="str">
        <v>Ethernet (40Mbps)</v>
      </c>
      <c r="AJ30" s="299"/>
      <c r="AK30" s="472">
        <v>1.64</v>
      </c>
      <c r="AL30" s="472">
        <v>5.2</v>
      </c>
      <c r="AM30" s="472">
        <v>14.4</v>
      </c>
      <c r="AN30" s="472">
        <v>46.980000000000004</v>
      </c>
      <c r="AO30" s="472">
        <v>118.17</v>
      </c>
      <c r="AP30" s="472">
        <v>302.82</v>
      </c>
      <c r="AQ30" s="299"/>
      <c r="AR30" s="299"/>
      <c r="AS30" s="299"/>
      <c r="AT30" s="299"/>
      <c r="AU30" s="299"/>
      <c r="AV30" s="299"/>
    </row>
    <row r="31" spans="3:48">
      <c r="C31" s="310" t="str">
        <v>Ethernet (50Mbps)</v>
      </c>
      <c r="E31" s="471">
        <v>1.52</v>
      </c>
      <c r="F31" s="471">
        <v>7.8100000000000005</v>
      </c>
      <c r="G31" s="471">
        <v>19.78</v>
      </c>
      <c r="H31" s="471">
        <v>35.800000000000011</v>
      </c>
      <c r="I31" s="471">
        <v>66.56</v>
      </c>
      <c r="J31" s="471">
        <v>77.640000000000015</v>
      </c>
      <c r="Q31" s="299"/>
      <c r="R31" s="340">
        <v>0.5</v>
      </c>
      <c r="S31" s="310" t="str">
        <v>Ethernet (50Mbps)</v>
      </c>
      <c r="U31" s="471">
        <f t="shared" ref="U31:U35" si="29">ROUNDUP(AK31*$R31,0)</f>
        <v>2</v>
      </c>
      <c r="V31" s="471">
        <f t="shared" si="24"/>
        <v>8</v>
      </c>
      <c r="W31" s="471">
        <f t="shared" si="25"/>
        <v>20</v>
      </c>
      <c r="X31" s="471">
        <f t="shared" si="26"/>
        <v>37</v>
      </c>
      <c r="Y31" s="471">
        <f t="shared" si="27"/>
        <v>67</v>
      </c>
      <c r="Z31" s="471">
        <f t="shared" si="28"/>
        <v>79</v>
      </c>
      <c r="AH31" s="299"/>
      <c r="AI31" s="310" t="str">
        <v>Ethernet (50Mbps)</v>
      </c>
      <c r="AJ31" s="299"/>
      <c r="AK31" s="472">
        <v>3.52</v>
      </c>
      <c r="AL31" s="472">
        <v>15.81</v>
      </c>
      <c r="AM31" s="472">
        <v>39.78</v>
      </c>
      <c r="AN31" s="472">
        <v>72.800000000000011</v>
      </c>
      <c r="AO31" s="472">
        <v>133.56</v>
      </c>
      <c r="AP31" s="472">
        <v>156.64000000000001</v>
      </c>
      <c r="AQ31" s="299"/>
      <c r="AR31" s="299"/>
      <c r="AS31" s="299"/>
      <c r="AT31" s="299"/>
      <c r="AU31" s="299"/>
      <c r="AV31" s="299"/>
    </row>
    <row r="32" spans="3:48">
      <c r="C32" s="310" t="str">
        <v>Ethernet (60Mbps)</v>
      </c>
      <c r="E32" s="471">
        <v>0</v>
      </c>
      <c r="F32" s="471">
        <v>2.2800000000000002</v>
      </c>
      <c r="G32" s="471">
        <v>4.2699999999999996</v>
      </c>
      <c r="H32" s="471">
        <v>5.52</v>
      </c>
      <c r="I32" s="471">
        <v>16.28</v>
      </c>
      <c r="J32" s="471">
        <v>22.549999999999997</v>
      </c>
      <c r="Q32" s="299"/>
      <c r="R32" s="340">
        <v>0.5</v>
      </c>
      <c r="S32" s="310" t="str">
        <v>Ethernet (60Mbps)</v>
      </c>
      <c r="U32" s="471">
        <f t="shared" si="29"/>
        <v>0</v>
      </c>
      <c r="V32" s="471">
        <f t="shared" si="24"/>
        <v>3</v>
      </c>
      <c r="W32" s="471">
        <f t="shared" si="25"/>
        <v>5</v>
      </c>
      <c r="X32" s="471">
        <f t="shared" si="26"/>
        <v>6</v>
      </c>
      <c r="Y32" s="471">
        <f t="shared" si="27"/>
        <v>17</v>
      </c>
      <c r="Z32" s="471">
        <f t="shared" si="28"/>
        <v>24</v>
      </c>
      <c r="AH32" s="299"/>
      <c r="AI32" s="310" t="str">
        <v>Ethernet (60Mbps)</v>
      </c>
      <c r="AJ32" s="299"/>
      <c r="AK32" s="472">
        <v>0</v>
      </c>
      <c r="AL32" s="472">
        <v>5.28</v>
      </c>
      <c r="AM32" s="472">
        <v>9.27</v>
      </c>
      <c r="AN32" s="472">
        <v>11.52</v>
      </c>
      <c r="AO32" s="472">
        <v>33.28</v>
      </c>
      <c r="AP32" s="472">
        <v>46.55</v>
      </c>
      <c r="AQ32" s="299"/>
      <c r="AR32" s="299"/>
      <c r="AS32" s="299"/>
      <c r="AT32" s="299"/>
      <c r="AU32" s="299"/>
      <c r="AV32" s="299"/>
    </row>
    <row r="33" spans="3:48">
      <c r="C33" s="310" t="str">
        <v>Ethernet (70Mbps)</v>
      </c>
      <c r="E33" s="471">
        <v>0</v>
      </c>
      <c r="F33" s="471">
        <v>0</v>
      </c>
      <c r="G33" s="471">
        <v>1.7599999999999998</v>
      </c>
      <c r="H33" s="471">
        <v>4.24</v>
      </c>
      <c r="I33" s="471">
        <v>8.02</v>
      </c>
      <c r="J33" s="471">
        <v>18.5</v>
      </c>
      <c r="Q33" s="299"/>
      <c r="R33" s="340">
        <v>0.5</v>
      </c>
      <c r="S33" s="310" t="str">
        <v>Ethernet (70Mbps)</v>
      </c>
      <c r="U33" s="471">
        <f t="shared" si="29"/>
        <v>0</v>
      </c>
      <c r="V33" s="471">
        <f t="shared" si="24"/>
        <v>0</v>
      </c>
      <c r="W33" s="471">
        <f t="shared" si="25"/>
        <v>2</v>
      </c>
      <c r="X33" s="471">
        <f t="shared" si="26"/>
        <v>5</v>
      </c>
      <c r="Y33" s="471">
        <f t="shared" si="27"/>
        <v>10</v>
      </c>
      <c r="Z33" s="471">
        <f t="shared" si="28"/>
        <v>19</v>
      </c>
      <c r="AH33" s="299"/>
      <c r="AI33" s="310" t="str">
        <v>Ethernet (70Mbps)</v>
      </c>
      <c r="AJ33" s="299"/>
      <c r="AK33" s="472">
        <v>0</v>
      </c>
      <c r="AL33" s="472">
        <v>0</v>
      </c>
      <c r="AM33" s="472">
        <v>3.76</v>
      </c>
      <c r="AN33" s="472">
        <v>9.24</v>
      </c>
      <c r="AO33" s="472">
        <v>18.02</v>
      </c>
      <c r="AP33" s="472">
        <v>37.5</v>
      </c>
      <c r="AQ33" s="299"/>
      <c r="AR33" s="299"/>
      <c r="AS33" s="299"/>
      <c r="AT33" s="299"/>
      <c r="AU33" s="299"/>
      <c r="AV33" s="299"/>
    </row>
    <row r="34" spans="3:48">
      <c r="C34" s="310" t="str">
        <v>Ethernet (80Mbps)</v>
      </c>
      <c r="E34" s="471">
        <v>0</v>
      </c>
      <c r="F34" s="471">
        <v>-9.9999999999999978E-2</v>
      </c>
      <c r="G34" s="471">
        <v>-1.0000000000000009E-2</v>
      </c>
      <c r="H34" s="471">
        <v>3.74</v>
      </c>
      <c r="I34" s="471">
        <v>14.440000000000001</v>
      </c>
      <c r="J34" s="471">
        <v>13.879999999999999</v>
      </c>
      <c r="Q34" s="299"/>
      <c r="R34" s="340">
        <v>0.5</v>
      </c>
      <c r="S34" s="310" t="str">
        <v>Ethernet (80Mbps)</v>
      </c>
      <c r="U34" s="471">
        <f t="shared" si="29"/>
        <v>0</v>
      </c>
      <c r="V34" s="471">
        <f t="shared" si="24"/>
        <v>1</v>
      </c>
      <c r="W34" s="471">
        <f t="shared" si="25"/>
        <v>1</v>
      </c>
      <c r="X34" s="471">
        <f t="shared" si="26"/>
        <v>4</v>
      </c>
      <c r="Y34" s="471">
        <f t="shared" si="27"/>
        <v>15</v>
      </c>
      <c r="Z34" s="471">
        <f t="shared" si="28"/>
        <v>14</v>
      </c>
      <c r="AH34" s="299"/>
      <c r="AI34" s="310" t="str">
        <v>Ethernet (80Mbps)</v>
      </c>
      <c r="AJ34" s="299"/>
      <c r="AK34" s="472">
        <v>0</v>
      </c>
      <c r="AL34" s="472">
        <v>0.9</v>
      </c>
      <c r="AM34" s="472">
        <v>0.99</v>
      </c>
      <c r="AN34" s="472">
        <v>7.74</v>
      </c>
      <c r="AO34" s="472">
        <v>29.44</v>
      </c>
      <c r="AP34" s="472">
        <v>27.88</v>
      </c>
      <c r="AQ34" s="299"/>
      <c r="AR34" s="299"/>
      <c r="AS34" s="299"/>
      <c r="AT34" s="299"/>
      <c r="AU34" s="299"/>
      <c r="AV34" s="299"/>
    </row>
    <row r="35" spans="3:48">
      <c r="C35" s="310" t="str">
        <v>Ethernet (90Mbps)</v>
      </c>
      <c r="E35" s="471">
        <v>0</v>
      </c>
      <c r="F35" s="471">
        <v>0</v>
      </c>
      <c r="G35" s="471">
        <v>0</v>
      </c>
      <c r="H35" s="471">
        <v>0.48</v>
      </c>
      <c r="I35" s="471">
        <v>1.4</v>
      </c>
      <c r="J35" s="471">
        <v>7.2099999999999991</v>
      </c>
      <c r="Q35" s="299"/>
      <c r="R35" s="340">
        <v>0.5</v>
      </c>
      <c r="S35" s="310" t="str">
        <v>Ethernet (90Mbps)</v>
      </c>
      <c r="U35" s="471">
        <f t="shared" si="29"/>
        <v>0</v>
      </c>
      <c r="V35" s="471">
        <f t="shared" si="24"/>
        <v>0</v>
      </c>
      <c r="W35" s="471">
        <f t="shared" si="25"/>
        <v>0</v>
      </c>
      <c r="X35" s="471">
        <f t="shared" si="26"/>
        <v>1</v>
      </c>
      <c r="Y35" s="471">
        <f t="shared" si="27"/>
        <v>2</v>
      </c>
      <c r="Z35" s="471">
        <f t="shared" si="28"/>
        <v>8</v>
      </c>
      <c r="AH35" s="299"/>
      <c r="AI35" s="310" t="str">
        <v>Ethernet (90Mbps)</v>
      </c>
      <c r="AJ35" s="299"/>
      <c r="AK35" s="472">
        <v>0</v>
      </c>
      <c r="AL35" s="472">
        <v>0</v>
      </c>
      <c r="AM35" s="472">
        <v>0</v>
      </c>
      <c r="AN35" s="472">
        <v>1.48</v>
      </c>
      <c r="AO35" s="472">
        <v>3.4</v>
      </c>
      <c r="AP35" s="472">
        <v>15.209999999999999</v>
      </c>
      <c r="AQ35" s="299"/>
      <c r="AR35" s="299"/>
      <c r="AS35" s="299"/>
      <c r="AT35" s="299"/>
      <c r="AU35" s="299"/>
      <c r="AV35" s="299"/>
    </row>
    <row r="36" spans="3:48">
      <c r="C36" s="310" t="str">
        <v>GigaEthernet (100Mbps)</v>
      </c>
      <c r="E36" s="471">
        <v>0</v>
      </c>
      <c r="F36" s="471">
        <v>0</v>
      </c>
      <c r="G36" s="471">
        <v>0</v>
      </c>
      <c r="H36" s="471">
        <v>0</v>
      </c>
      <c r="I36" s="471">
        <v>0</v>
      </c>
      <c r="J36" s="471">
        <v>0</v>
      </c>
      <c r="Q36" s="299"/>
      <c r="S36" s="310" t="str">
        <v>GigaEthernet (100Mbps)</v>
      </c>
      <c r="U36" s="472">
        <f t="shared" ref="U36:U48" si="30">AK36</f>
        <v>17.920000000000002</v>
      </c>
      <c r="V36" s="472">
        <f t="shared" ref="V36:V48" si="31">AL36</f>
        <v>12.75</v>
      </c>
      <c r="W36" s="472">
        <f t="shared" ref="W36:W48" si="32">AM36</f>
        <v>32.76</v>
      </c>
      <c r="X36" s="472">
        <f t="shared" ref="X36:X48" si="33">AN36</f>
        <v>90.399999999999991</v>
      </c>
      <c r="Y36" s="472">
        <f t="shared" ref="Y36:Y48" si="34">AO36</f>
        <v>142.78</v>
      </c>
      <c r="Z36" s="472">
        <f t="shared" ref="Z36:Z48" si="35">AP36</f>
        <v>171.5</v>
      </c>
      <c r="AH36" s="299"/>
      <c r="AI36" s="310" t="str">
        <v>GigaEthernet (100Mbps)</v>
      </c>
      <c r="AJ36" s="299"/>
      <c r="AK36" s="472">
        <v>17.920000000000002</v>
      </c>
      <c r="AL36" s="472">
        <v>12.75</v>
      </c>
      <c r="AM36" s="472">
        <v>32.76</v>
      </c>
      <c r="AN36" s="472">
        <v>90.399999999999991</v>
      </c>
      <c r="AO36" s="472">
        <v>142.78</v>
      </c>
      <c r="AP36" s="472">
        <v>171.5</v>
      </c>
      <c r="AQ36" s="299"/>
      <c r="AR36" s="299"/>
      <c r="AS36" s="299"/>
      <c r="AT36" s="299"/>
      <c r="AU36" s="299"/>
      <c r="AV36" s="299"/>
    </row>
    <row r="37" spans="3:48">
      <c r="C37" s="310" t="str">
        <v>GigaEthernet (150Mbps)</v>
      </c>
      <c r="E37" s="471">
        <v>0</v>
      </c>
      <c r="F37" s="471">
        <v>0</v>
      </c>
      <c r="G37" s="471">
        <v>0</v>
      </c>
      <c r="H37" s="471">
        <v>0</v>
      </c>
      <c r="I37" s="471">
        <v>0</v>
      </c>
      <c r="J37" s="471">
        <v>0</v>
      </c>
      <c r="Q37" s="299"/>
      <c r="S37" s="310" t="str">
        <v>GigaEthernet (150Mbps)</v>
      </c>
      <c r="U37" s="472">
        <f t="shared" si="30"/>
        <v>6.72</v>
      </c>
      <c r="V37" s="472">
        <f t="shared" si="31"/>
        <v>6.39</v>
      </c>
      <c r="W37" s="472">
        <f t="shared" si="32"/>
        <v>13.559999999999999</v>
      </c>
      <c r="X37" s="472">
        <f t="shared" si="33"/>
        <v>27.810000000000002</v>
      </c>
      <c r="Y37" s="472">
        <f t="shared" si="34"/>
        <v>48.64</v>
      </c>
      <c r="Z37" s="472">
        <f t="shared" si="35"/>
        <v>63.21</v>
      </c>
      <c r="AH37" s="299"/>
      <c r="AI37" s="310" t="str">
        <v>GigaEthernet (150Mbps)</v>
      </c>
      <c r="AJ37" s="299"/>
      <c r="AK37" s="472">
        <v>6.72</v>
      </c>
      <c r="AL37" s="472">
        <v>6.39</v>
      </c>
      <c r="AM37" s="472">
        <v>13.559999999999999</v>
      </c>
      <c r="AN37" s="472">
        <v>27.810000000000002</v>
      </c>
      <c r="AO37" s="472">
        <v>48.64</v>
      </c>
      <c r="AP37" s="472">
        <v>63.21</v>
      </c>
      <c r="AQ37" s="299"/>
      <c r="AR37" s="299"/>
      <c r="AS37" s="299"/>
      <c r="AT37" s="299"/>
      <c r="AU37" s="299"/>
      <c r="AV37" s="299"/>
    </row>
    <row r="38" spans="3:48">
      <c r="C38" s="310" t="str">
        <v>GigaEthernet (200Mbps)</v>
      </c>
      <c r="E38" s="471">
        <v>0</v>
      </c>
      <c r="F38" s="471">
        <v>0</v>
      </c>
      <c r="G38" s="471">
        <v>0</v>
      </c>
      <c r="H38" s="471">
        <v>0</v>
      </c>
      <c r="I38" s="471">
        <v>0</v>
      </c>
      <c r="J38" s="471">
        <v>0</v>
      </c>
      <c r="Q38" s="299"/>
      <c r="S38" s="310" t="str">
        <v>GigaEthernet (200Mbps)</v>
      </c>
      <c r="U38" s="472">
        <f t="shared" si="30"/>
        <v>0</v>
      </c>
      <c r="V38" s="472">
        <f t="shared" si="31"/>
        <v>0</v>
      </c>
      <c r="W38" s="472">
        <f t="shared" si="32"/>
        <v>2.34</v>
      </c>
      <c r="X38" s="472">
        <f t="shared" si="33"/>
        <v>17.849999999999998</v>
      </c>
      <c r="Y38" s="472">
        <f t="shared" si="34"/>
        <v>18.86</v>
      </c>
      <c r="Z38" s="472">
        <f t="shared" si="35"/>
        <v>24</v>
      </c>
      <c r="AH38" s="299"/>
      <c r="AI38" s="310" t="str">
        <v>GigaEthernet (200Mbps)</v>
      </c>
      <c r="AJ38" s="299"/>
      <c r="AK38" s="472">
        <v>0</v>
      </c>
      <c r="AL38" s="472">
        <v>0</v>
      </c>
      <c r="AM38" s="472">
        <v>2.34</v>
      </c>
      <c r="AN38" s="472">
        <v>17.849999999999998</v>
      </c>
      <c r="AO38" s="472">
        <v>18.86</v>
      </c>
      <c r="AP38" s="472">
        <v>24</v>
      </c>
      <c r="AQ38" s="299"/>
      <c r="AR38" s="299"/>
      <c r="AS38" s="299"/>
      <c r="AT38" s="299"/>
      <c r="AU38" s="299"/>
      <c r="AV38" s="299"/>
    </row>
    <row r="39" spans="3:48">
      <c r="C39" s="310" t="str">
        <v>GigaEthernet (250Mbps)</v>
      </c>
      <c r="E39" s="471">
        <v>0</v>
      </c>
      <c r="F39" s="471">
        <v>0</v>
      </c>
      <c r="G39" s="471">
        <v>0</v>
      </c>
      <c r="H39" s="471">
        <v>0</v>
      </c>
      <c r="I39" s="471">
        <v>0</v>
      </c>
      <c r="J39" s="471">
        <v>0</v>
      </c>
      <c r="Q39" s="299"/>
      <c r="S39" s="310" t="str">
        <v>GigaEthernet (250Mbps)</v>
      </c>
      <c r="U39" s="472">
        <f t="shared" si="30"/>
        <v>0</v>
      </c>
      <c r="V39" s="472">
        <f t="shared" si="31"/>
        <v>0</v>
      </c>
      <c r="W39" s="472">
        <f t="shared" si="32"/>
        <v>0</v>
      </c>
      <c r="X39" s="472">
        <f t="shared" si="33"/>
        <v>0</v>
      </c>
      <c r="Y39" s="472">
        <f t="shared" si="34"/>
        <v>7.08</v>
      </c>
      <c r="Z39" s="472">
        <f t="shared" si="35"/>
        <v>6.16</v>
      </c>
      <c r="AH39" s="299"/>
      <c r="AI39" s="310" t="str">
        <v>GigaEthernet (250Mbps)</v>
      </c>
      <c r="AJ39" s="299"/>
      <c r="AK39" s="472">
        <v>0</v>
      </c>
      <c r="AL39" s="472">
        <v>0</v>
      </c>
      <c r="AM39" s="472">
        <v>0</v>
      </c>
      <c r="AN39" s="472">
        <v>0</v>
      </c>
      <c r="AO39" s="472">
        <v>7.08</v>
      </c>
      <c r="AP39" s="472">
        <v>6.16</v>
      </c>
      <c r="AQ39" s="299"/>
      <c r="AR39" s="299"/>
      <c r="AS39" s="299"/>
      <c r="AT39" s="299"/>
      <c r="AU39" s="299"/>
      <c r="AV39" s="299"/>
    </row>
    <row r="40" spans="3:48">
      <c r="C40" s="310" t="str">
        <v>GigaEthernet (300Mbps)</v>
      </c>
      <c r="E40" s="471">
        <v>0</v>
      </c>
      <c r="F40" s="471">
        <v>0</v>
      </c>
      <c r="G40" s="471">
        <v>0</v>
      </c>
      <c r="H40" s="471">
        <v>0</v>
      </c>
      <c r="I40" s="471">
        <v>0</v>
      </c>
      <c r="J40" s="471">
        <v>0</v>
      </c>
      <c r="S40" s="310" t="str">
        <v>GigaEthernet (300Mbps)</v>
      </c>
      <c r="U40" s="472">
        <f t="shared" si="30"/>
        <v>0</v>
      </c>
      <c r="V40" s="472">
        <f t="shared" si="31"/>
        <v>0</v>
      </c>
      <c r="W40" s="472">
        <f t="shared" si="32"/>
        <v>1.56</v>
      </c>
      <c r="X40" s="472">
        <f t="shared" si="33"/>
        <v>1.6</v>
      </c>
      <c r="Y40" s="472">
        <f t="shared" si="34"/>
        <v>7.47</v>
      </c>
      <c r="Z40" s="472">
        <f t="shared" si="35"/>
        <v>14.190000000000001</v>
      </c>
      <c r="AH40" s="299"/>
      <c r="AI40" s="310" t="str">
        <v>GigaEthernet (300Mbps)</v>
      </c>
      <c r="AJ40" s="299"/>
      <c r="AK40" s="472">
        <v>0</v>
      </c>
      <c r="AL40" s="472">
        <v>0</v>
      </c>
      <c r="AM40" s="472">
        <v>1.56</v>
      </c>
      <c r="AN40" s="472">
        <v>1.6</v>
      </c>
      <c r="AO40" s="472">
        <v>7.47</v>
      </c>
      <c r="AP40" s="472">
        <v>14.190000000000001</v>
      </c>
      <c r="AQ40" s="299"/>
      <c r="AR40" s="299"/>
      <c r="AS40" s="299"/>
      <c r="AT40" s="299"/>
      <c r="AU40" s="299"/>
      <c r="AV40" s="299"/>
    </row>
    <row r="41" spans="3:48">
      <c r="C41" s="310" t="str">
        <v>GigaEthernet (350Mbps)</v>
      </c>
      <c r="E41" s="471">
        <v>0</v>
      </c>
      <c r="F41" s="471">
        <v>0</v>
      </c>
      <c r="G41" s="471">
        <v>0</v>
      </c>
      <c r="H41" s="471">
        <v>0</v>
      </c>
      <c r="I41" s="471">
        <v>0</v>
      </c>
      <c r="J41" s="471">
        <v>0</v>
      </c>
      <c r="S41" s="310" t="str">
        <v>GigaEthernet (350Mbps)</v>
      </c>
      <c r="U41" s="472">
        <f t="shared" si="30"/>
        <v>0</v>
      </c>
      <c r="V41" s="472">
        <f t="shared" si="31"/>
        <v>0</v>
      </c>
      <c r="W41" s="472">
        <f t="shared" si="32"/>
        <v>0</v>
      </c>
      <c r="X41" s="472">
        <f t="shared" si="33"/>
        <v>0</v>
      </c>
      <c r="Y41" s="472">
        <f t="shared" si="34"/>
        <v>0</v>
      </c>
      <c r="Z41" s="472">
        <f t="shared" si="35"/>
        <v>0</v>
      </c>
      <c r="AH41" s="299"/>
      <c r="AI41" s="310" t="str">
        <v>GigaEthernet (350Mbps)</v>
      </c>
      <c r="AJ41" s="299"/>
      <c r="AK41" s="472">
        <v>0</v>
      </c>
      <c r="AL41" s="472">
        <v>0</v>
      </c>
      <c r="AM41" s="472">
        <v>0</v>
      </c>
      <c r="AN41" s="472">
        <v>0</v>
      </c>
      <c r="AO41" s="472">
        <v>0</v>
      </c>
      <c r="AP41" s="472">
        <v>0</v>
      </c>
      <c r="AQ41" s="299"/>
      <c r="AR41" s="299"/>
      <c r="AS41" s="299"/>
      <c r="AT41" s="299"/>
      <c r="AU41" s="299"/>
      <c r="AV41" s="299"/>
    </row>
    <row r="42" spans="3:48">
      <c r="C42" s="310" t="str">
        <v>GigaEthernet (400Mbps)</v>
      </c>
      <c r="E42" s="471">
        <v>0</v>
      </c>
      <c r="F42" s="471">
        <v>0</v>
      </c>
      <c r="G42" s="471">
        <v>0</v>
      </c>
      <c r="H42" s="471">
        <v>0</v>
      </c>
      <c r="I42" s="471">
        <v>0</v>
      </c>
      <c r="J42" s="471">
        <v>0</v>
      </c>
      <c r="S42" s="310" t="str">
        <v>GigaEthernet (400Mbps)</v>
      </c>
      <c r="U42" s="472">
        <f t="shared" si="30"/>
        <v>0</v>
      </c>
      <c r="V42" s="472">
        <f t="shared" si="31"/>
        <v>0</v>
      </c>
      <c r="W42" s="472">
        <f t="shared" si="32"/>
        <v>0</v>
      </c>
      <c r="X42" s="472">
        <f t="shared" si="33"/>
        <v>0</v>
      </c>
      <c r="Y42" s="472">
        <f t="shared" si="34"/>
        <v>0.89</v>
      </c>
      <c r="Z42" s="472">
        <f t="shared" si="35"/>
        <v>2.88</v>
      </c>
      <c r="AH42" s="299"/>
      <c r="AI42" s="310" t="str">
        <v>GigaEthernet (400Mbps)</v>
      </c>
      <c r="AJ42" s="299"/>
      <c r="AK42" s="472">
        <v>0</v>
      </c>
      <c r="AL42" s="472">
        <v>0</v>
      </c>
      <c r="AM42" s="472">
        <v>0</v>
      </c>
      <c r="AN42" s="472">
        <v>0</v>
      </c>
      <c r="AO42" s="472">
        <v>0.89</v>
      </c>
      <c r="AP42" s="472">
        <v>2.88</v>
      </c>
      <c r="AQ42" s="299"/>
      <c r="AR42" s="299"/>
      <c r="AS42" s="299"/>
      <c r="AT42" s="299"/>
      <c r="AU42" s="299"/>
      <c r="AV42" s="299"/>
    </row>
    <row r="43" spans="3:48">
      <c r="C43" s="310" t="str">
        <v>GigaEthernet (450Mbps)</v>
      </c>
      <c r="E43" s="471">
        <v>0</v>
      </c>
      <c r="F43" s="471">
        <v>0</v>
      </c>
      <c r="G43" s="471">
        <v>0</v>
      </c>
      <c r="H43" s="471">
        <v>0</v>
      </c>
      <c r="I43" s="471">
        <v>0</v>
      </c>
      <c r="J43" s="471">
        <v>0</v>
      </c>
      <c r="S43" s="310" t="str">
        <v>GigaEthernet (450Mbps)</v>
      </c>
      <c r="U43" s="472">
        <f t="shared" si="30"/>
        <v>0</v>
      </c>
      <c r="V43" s="472">
        <f t="shared" si="31"/>
        <v>0</v>
      </c>
      <c r="W43" s="472">
        <f t="shared" si="32"/>
        <v>1.24</v>
      </c>
      <c r="X43" s="472">
        <f t="shared" si="33"/>
        <v>0</v>
      </c>
      <c r="Y43" s="472">
        <f t="shared" si="34"/>
        <v>0</v>
      </c>
      <c r="Z43" s="472">
        <f t="shared" si="35"/>
        <v>0</v>
      </c>
      <c r="AH43" s="299"/>
      <c r="AI43" s="310" t="str">
        <v>GigaEthernet (450Mbps)</v>
      </c>
      <c r="AJ43" s="299"/>
      <c r="AK43" s="472">
        <v>0</v>
      </c>
      <c r="AL43" s="472">
        <v>0</v>
      </c>
      <c r="AM43" s="472">
        <v>1.24</v>
      </c>
      <c r="AN43" s="472">
        <v>0</v>
      </c>
      <c r="AO43" s="472">
        <v>0</v>
      </c>
      <c r="AP43" s="472">
        <v>0</v>
      </c>
      <c r="AQ43" s="299"/>
      <c r="AR43" s="299"/>
      <c r="AS43" s="299"/>
      <c r="AT43" s="299"/>
      <c r="AU43" s="299"/>
      <c r="AV43" s="299"/>
    </row>
    <row r="44" spans="3:48">
      <c r="C44" s="310" t="str">
        <v>GigaEthernet (500Mbps)</v>
      </c>
      <c r="E44" s="471">
        <v>0</v>
      </c>
      <c r="F44" s="471">
        <v>0</v>
      </c>
      <c r="G44" s="471">
        <v>0</v>
      </c>
      <c r="H44" s="471">
        <v>0</v>
      </c>
      <c r="I44" s="471">
        <v>0</v>
      </c>
      <c r="J44" s="471">
        <v>0</v>
      </c>
      <c r="S44" s="310" t="str">
        <v>GigaEthernet (500Mbps)</v>
      </c>
      <c r="U44" s="472">
        <f t="shared" si="30"/>
        <v>0</v>
      </c>
      <c r="V44" s="472">
        <f t="shared" si="31"/>
        <v>0</v>
      </c>
      <c r="W44" s="472">
        <f t="shared" si="32"/>
        <v>0.87</v>
      </c>
      <c r="X44" s="472">
        <f t="shared" si="33"/>
        <v>2.5499999999999998</v>
      </c>
      <c r="Y44" s="472">
        <f t="shared" si="34"/>
        <v>4.4800000000000004</v>
      </c>
      <c r="Z44" s="472">
        <f t="shared" si="35"/>
        <v>4.8600000000000003</v>
      </c>
      <c r="AH44" s="299"/>
      <c r="AI44" s="310" t="str">
        <v>GigaEthernet (500Mbps)</v>
      </c>
      <c r="AJ44" s="299"/>
      <c r="AK44" s="472">
        <v>0</v>
      </c>
      <c r="AL44" s="472">
        <v>0</v>
      </c>
      <c r="AM44" s="472">
        <v>0.87</v>
      </c>
      <c r="AN44" s="472">
        <v>2.5499999999999998</v>
      </c>
      <c r="AO44" s="472">
        <v>4.4800000000000004</v>
      </c>
      <c r="AP44" s="472">
        <v>4.8600000000000003</v>
      </c>
      <c r="AQ44" s="299"/>
      <c r="AR44" s="299"/>
      <c r="AS44" s="299"/>
      <c r="AT44" s="299"/>
      <c r="AU44" s="299"/>
      <c r="AV44" s="299"/>
    </row>
    <row r="45" spans="3:48">
      <c r="C45" s="310" t="str">
        <v>GigaEthernet (550Mbps)</v>
      </c>
      <c r="E45" s="471">
        <v>0</v>
      </c>
      <c r="F45" s="471">
        <v>0</v>
      </c>
      <c r="G45" s="471">
        <v>0</v>
      </c>
      <c r="H45" s="471">
        <v>0</v>
      </c>
      <c r="I45" s="471">
        <v>0</v>
      </c>
      <c r="J45" s="471">
        <v>0</v>
      </c>
      <c r="S45" s="310" t="str">
        <v>GigaEthernet (550Mbps)</v>
      </c>
      <c r="U45" s="472">
        <f t="shared" si="30"/>
        <v>0</v>
      </c>
      <c r="V45" s="472">
        <f t="shared" si="31"/>
        <v>0</v>
      </c>
      <c r="W45" s="472">
        <f t="shared" si="32"/>
        <v>0</v>
      </c>
      <c r="X45" s="472">
        <f t="shared" si="33"/>
        <v>0</v>
      </c>
      <c r="Y45" s="472">
        <f t="shared" si="34"/>
        <v>0</v>
      </c>
      <c r="Z45" s="472">
        <f t="shared" si="35"/>
        <v>0</v>
      </c>
      <c r="AH45" s="299"/>
      <c r="AI45" s="310" t="str">
        <v>GigaEthernet (550Mbps)</v>
      </c>
      <c r="AJ45" s="299"/>
      <c r="AK45" s="472">
        <v>0</v>
      </c>
      <c r="AL45" s="472">
        <v>0</v>
      </c>
      <c r="AM45" s="472">
        <v>0</v>
      </c>
      <c r="AN45" s="472">
        <v>0</v>
      </c>
      <c r="AO45" s="472">
        <v>0</v>
      </c>
      <c r="AP45" s="472">
        <v>0</v>
      </c>
      <c r="AQ45" s="299"/>
      <c r="AR45" s="299"/>
      <c r="AS45" s="299"/>
      <c r="AT45" s="299"/>
      <c r="AU45" s="299"/>
      <c r="AV45" s="299"/>
    </row>
    <row r="46" spans="3:48">
      <c r="C46" s="310" t="str">
        <v>GigaEthernet (600Mbps)</v>
      </c>
      <c r="E46" s="471">
        <v>0</v>
      </c>
      <c r="F46" s="471">
        <v>0</v>
      </c>
      <c r="G46" s="471">
        <v>0</v>
      </c>
      <c r="H46" s="471">
        <v>0</v>
      </c>
      <c r="I46" s="471">
        <v>0</v>
      </c>
      <c r="J46" s="471">
        <v>0</v>
      </c>
      <c r="S46" s="310" t="str">
        <v>GigaEthernet (600Mbps)</v>
      </c>
      <c r="U46" s="472">
        <f t="shared" si="30"/>
        <v>0</v>
      </c>
      <c r="V46" s="472">
        <f t="shared" si="31"/>
        <v>0</v>
      </c>
      <c r="W46" s="472">
        <f t="shared" si="32"/>
        <v>0</v>
      </c>
      <c r="X46" s="472">
        <f t="shared" si="33"/>
        <v>0</v>
      </c>
      <c r="Y46" s="472">
        <f t="shared" si="34"/>
        <v>0</v>
      </c>
      <c r="Z46" s="472">
        <f t="shared" si="35"/>
        <v>0</v>
      </c>
      <c r="AH46" s="299"/>
      <c r="AI46" s="310" t="str">
        <v>GigaEthernet (600Mbps)</v>
      </c>
      <c r="AJ46" s="299"/>
      <c r="AK46" s="472">
        <v>0</v>
      </c>
      <c r="AL46" s="472">
        <v>0</v>
      </c>
      <c r="AM46" s="472">
        <v>0</v>
      </c>
      <c r="AN46" s="472">
        <v>0</v>
      </c>
      <c r="AO46" s="472">
        <v>0</v>
      </c>
      <c r="AP46" s="472">
        <v>0</v>
      </c>
      <c r="AQ46" s="299"/>
      <c r="AR46" s="299"/>
      <c r="AS46" s="299"/>
      <c r="AT46" s="299"/>
      <c r="AU46" s="299"/>
      <c r="AV46" s="299"/>
    </row>
    <row r="47" spans="3:48">
      <c r="C47" s="310" t="str">
        <v>GigaEthernet (750Mbps)</v>
      </c>
      <c r="E47" s="471">
        <v>0</v>
      </c>
      <c r="F47" s="471">
        <v>0</v>
      </c>
      <c r="G47" s="471">
        <v>0</v>
      </c>
      <c r="H47" s="471">
        <v>0</v>
      </c>
      <c r="I47" s="471">
        <v>0</v>
      </c>
      <c r="J47" s="471">
        <v>0</v>
      </c>
      <c r="S47" s="310" t="str">
        <v>GigaEthernet (750Mbps)</v>
      </c>
      <c r="U47" s="472">
        <f t="shared" si="30"/>
        <v>0</v>
      </c>
      <c r="V47" s="472">
        <f t="shared" si="31"/>
        <v>0</v>
      </c>
      <c r="W47" s="472">
        <f t="shared" si="32"/>
        <v>0</v>
      </c>
      <c r="X47" s="472">
        <f t="shared" si="33"/>
        <v>0</v>
      </c>
      <c r="Y47" s="472">
        <f t="shared" si="34"/>
        <v>0</v>
      </c>
      <c r="Z47" s="472">
        <f t="shared" si="35"/>
        <v>0</v>
      </c>
      <c r="AH47" s="299"/>
      <c r="AI47" s="310" t="str">
        <v>GigaEthernet (750Mbps)</v>
      </c>
      <c r="AJ47" s="299"/>
      <c r="AK47" s="472">
        <v>0</v>
      </c>
      <c r="AL47" s="472">
        <v>0</v>
      </c>
      <c r="AM47" s="472">
        <v>0</v>
      </c>
      <c r="AN47" s="472">
        <v>0</v>
      </c>
      <c r="AO47" s="472">
        <v>0</v>
      </c>
      <c r="AP47" s="472">
        <v>0</v>
      </c>
      <c r="AQ47" s="299"/>
      <c r="AR47" s="299"/>
      <c r="AS47" s="299"/>
      <c r="AT47" s="299"/>
      <c r="AU47" s="299"/>
      <c r="AV47" s="299"/>
    </row>
    <row r="48" spans="3:48">
      <c r="C48" s="310" t="str">
        <v>GigaEthernet (1 Gbps)</v>
      </c>
      <c r="E48" s="471">
        <v>0</v>
      </c>
      <c r="F48" s="471">
        <v>0</v>
      </c>
      <c r="G48" s="471">
        <v>0</v>
      </c>
      <c r="H48" s="471">
        <v>0</v>
      </c>
      <c r="I48" s="471">
        <v>0</v>
      </c>
      <c r="J48" s="471">
        <v>0</v>
      </c>
      <c r="S48" s="310" t="str">
        <v>GigaEthernet (1 Gbps)</v>
      </c>
      <c r="U48" s="472">
        <f t="shared" si="30"/>
        <v>0</v>
      </c>
      <c r="V48" s="472">
        <f t="shared" si="31"/>
        <v>5.92</v>
      </c>
      <c r="W48" s="472">
        <f t="shared" si="32"/>
        <v>9.1</v>
      </c>
      <c r="X48" s="472">
        <f t="shared" si="33"/>
        <v>11.57</v>
      </c>
      <c r="Y48" s="472">
        <f t="shared" si="34"/>
        <v>18.399999999999999</v>
      </c>
      <c r="Z48" s="472">
        <f t="shared" si="35"/>
        <v>23</v>
      </c>
      <c r="AH48" s="299"/>
      <c r="AI48" s="310" t="str">
        <v>GigaEthernet (1 Gbps)</v>
      </c>
      <c r="AJ48" s="299"/>
      <c r="AK48" s="472">
        <v>0</v>
      </c>
      <c r="AL48" s="472">
        <v>5.92</v>
      </c>
      <c r="AM48" s="472">
        <v>9.1</v>
      </c>
      <c r="AN48" s="472">
        <v>11.57</v>
      </c>
      <c r="AO48" s="472">
        <v>18.399999999999999</v>
      </c>
      <c r="AP48" s="472">
        <v>23</v>
      </c>
      <c r="AQ48" s="299"/>
      <c r="AR48" s="299"/>
      <c r="AS48" s="299"/>
      <c r="AT48" s="299"/>
      <c r="AU48" s="299"/>
      <c r="AV48" s="299"/>
    </row>
    <row r="49" spans="2:48">
      <c r="C49" s="299"/>
      <c r="K49" s="38" t="s">
        <v>575</v>
      </c>
      <c r="AA49" s="38" t="s">
        <v>582</v>
      </c>
      <c r="AH49" s="299"/>
      <c r="AI49" s="299"/>
      <c r="AJ49" s="299"/>
      <c r="AK49" s="299"/>
      <c r="AL49" s="299"/>
      <c r="AM49" s="299"/>
      <c r="AN49" s="299"/>
      <c r="AO49" s="299"/>
      <c r="AP49" s="299"/>
      <c r="AQ49" s="38" t="s">
        <v>589</v>
      </c>
      <c r="AR49" s="299"/>
      <c r="AS49" s="299"/>
      <c r="AT49" s="299"/>
      <c r="AU49" s="299"/>
      <c r="AV49" s="299"/>
    </row>
    <row r="50" spans="2:48" s="299" customFormat="1"/>
    <row r="51" spans="2:48" s="299" customFormat="1"/>
    <row r="52" spans="2:48" s="299" customFormat="1" ht="17.25" thickBot="1">
      <c r="B52" s="308" t="s">
        <v>482</v>
      </c>
      <c r="C52" s="308"/>
      <c r="D52" s="308"/>
      <c r="E52" s="308"/>
      <c r="F52" s="308"/>
      <c r="G52" s="308"/>
      <c r="R52" s="308" t="s">
        <v>560</v>
      </c>
      <c r="S52" s="308"/>
      <c r="T52" s="308"/>
      <c r="U52" s="308"/>
      <c r="V52" s="308"/>
      <c r="W52" s="308"/>
      <c r="AH52" s="308" t="s">
        <v>564</v>
      </c>
      <c r="AI52" s="308"/>
      <c r="AJ52" s="308"/>
      <c r="AK52" s="308"/>
      <c r="AL52" s="308"/>
      <c r="AM52" s="308"/>
    </row>
    <row r="53" spans="2:48" s="299" customFormat="1" ht="18" thickTop="1" thickBot="1">
      <c r="B53" s="308" t="s">
        <v>483</v>
      </c>
      <c r="C53" s="308"/>
      <c r="D53" s="308"/>
      <c r="E53" s="308"/>
      <c r="F53" s="308"/>
      <c r="G53" s="308"/>
      <c r="H53" s="308"/>
      <c r="I53" s="308"/>
      <c r="J53" s="308"/>
      <c r="K53" s="308"/>
      <c r="L53" s="308"/>
      <c r="M53" s="308"/>
      <c r="N53" s="308"/>
      <c r="O53" s="308"/>
      <c r="P53" s="308"/>
      <c r="R53" s="308" t="s">
        <v>572</v>
      </c>
      <c r="S53" s="308"/>
      <c r="T53" s="308"/>
      <c r="U53" s="308"/>
      <c r="V53" s="308"/>
      <c r="W53" s="308"/>
      <c r="X53" s="308"/>
      <c r="Y53" s="308"/>
      <c r="Z53" s="308"/>
      <c r="AA53" s="308"/>
      <c r="AB53" s="308"/>
      <c r="AC53" s="308"/>
      <c r="AD53" s="308"/>
      <c r="AE53" s="308"/>
      <c r="AF53" s="308"/>
      <c r="AH53" s="308" t="s">
        <v>568</v>
      </c>
      <c r="AI53" s="308"/>
      <c r="AJ53" s="308"/>
      <c r="AK53" s="308"/>
      <c r="AL53" s="308"/>
      <c r="AM53" s="308"/>
      <c r="AN53" s="308"/>
      <c r="AO53" s="308"/>
      <c r="AP53" s="308"/>
      <c r="AQ53" s="308"/>
      <c r="AR53" s="308"/>
      <c r="AS53" s="308"/>
      <c r="AT53" s="308"/>
      <c r="AU53" s="308"/>
      <c r="AV53" s="308"/>
    </row>
    <row r="54" spans="2:48" s="299" customFormat="1" ht="12.75" thickTop="1"/>
    <row r="55" spans="2:48" s="299" customFormat="1" ht="15.75" thickBot="1">
      <c r="C55" s="130" t="s">
        <v>484</v>
      </c>
      <c r="S55" s="130" t="s">
        <v>484</v>
      </c>
      <c r="AI55" s="130" t="s">
        <v>484</v>
      </c>
    </row>
    <row r="56" spans="2:48" s="299" customFormat="1" ht="15.75" thickBot="1">
      <c r="C56" s="130" t="s">
        <v>485</v>
      </c>
      <c r="D56" s="130"/>
      <c r="E56" s="130"/>
      <c r="F56" s="130"/>
      <c r="G56" s="130"/>
      <c r="H56" s="130"/>
      <c r="I56" s="130"/>
      <c r="J56" s="130"/>
      <c r="K56" s="130"/>
      <c r="L56" s="130"/>
      <c r="M56" s="130"/>
      <c r="N56" s="130"/>
      <c r="O56" s="130"/>
      <c r="P56" s="130"/>
      <c r="S56" s="130" t="s">
        <v>485</v>
      </c>
      <c r="T56" s="130"/>
      <c r="U56" s="130"/>
      <c r="V56" s="130"/>
      <c r="W56" s="130"/>
      <c r="X56" s="130"/>
      <c r="Y56" s="130"/>
      <c r="Z56" s="130"/>
      <c r="AA56" s="130"/>
      <c r="AB56" s="130"/>
      <c r="AC56" s="130"/>
      <c r="AD56" s="130"/>
      <c r="AE56" s="130"/>
      <c r="AF56" s="130"/>
      <c r="AI56" s="130" t="s">
        <v>485</v>
      </c>
      <c r="AJ56" s="130"/>
      <c r="AK56" s="130"/>
      <c r="AL56" s="130"/>
      <c r="AM56" s="130"/>
      <c r="AN56" s="130"/>
      <c r="AO56" s="130"/>
      <c r="AP56" s="130"/>
      <c r="AQ56" s="130"/>
      <c r="AR56" s="130"/>
      <c r="AS56" s="130"/>
      <c r="AT56" s="130"/>
      <c r="AU56" s="130"/>
      <c r="AV56" s="130"/>
    </row>
    <row r="57" spans="2:48" s="299" customFormat="1">
      <c r="S57" s="314" t="str">
        <f>Retail.leased.lines.proporcionados.option</f>
        <v>Supuesto 2</v>
      </c>
    </row>
    <row r="58" spans="2:48" s="299" customFormat="1">
      <c r="C58" s="325" t="s">
        <v>442</v>
      </c>
      <c r="D58" s="325">
        <f t="array" ref="D58:O58">TRANSPOSE(Years)</f>
        <v>2008</v>
      </c>
      <c r="E58" s="325">
        <v>2009</v>
      </c>
      <c r="F58" s="325">
        <v>2010</v>
      </c>
      <c r="G58" s="325">
        <v>2011</v>
      </c>
      <c r="H58" s="325">
        <v>2012</v>
      </c>
      <c r="I58" s="325">
        <v>2013</v>
      </c>
      <c r="J58" s="325">
        <v>2014</v>
      </c>
      <c r="K58" s="325">
        <v>2015</v>
      </c>
      <c r="L58" s="325">
        <v>2016</v>
      </c>
      <c r="M58" s="325">
        <v>2017</v>
      </c>
      <c r="N58" s="325">
        <v>2018</v>
      </c>
      <c r="O58" s="325">
        <v>2019</v>
      </c>
      <c r="S58" s="338" t="s">
        <v>442</v>
      </c>
      <c r="T58" s="338">
        <f t="array" ref="T58:AE58">TRANSPOSE(Years)</f>
        <v>2008</v>
      </c>
      <c r="U58" s="338">
        <v>2009</v>
      </c>
      <c r="V58" s="338">
        <v>2010</v>
      </c>
      <c r="W58" s="338">
        <v>2011</v>
      </c>
      <c r="X58" s="338">
        <v>2012</v>
      </c>
      <c r="Y58" s="338">
        <v>2013</v>
      </c>
      <c r="Z58" s="338">
        <v>2014</v>
      </c>
      <c r="AA58" s="338">
        <v>2015</v>
      </c>
      <c r="AB58" s="338">
        <v>2016</v>
      </c>
      <c r="AC58" s="338">
        <v>2017</v>
      </c>
      <c r="AD58" s="338">
        <v>2018</v>
      </c>
      <c r="AE58" s="338">
        <v>2019</v>
      </c>
      <c r="AI58" s="338" t="s">
        <v>442</v>
      </c>
      <c r="AJ58" s="338">
        <f t="array" ref="AJ58:AU58">TRANSPOSE(Years)</f>
        <v>2008</v>
      </c>
      <c r="AK58" s="338">
        <v>2009</v>
      </c>
      <c r="AL58" s="338">
        <v>2010</v>
      </c>
      <c r="AM58" s="338">
        <v>2011</v>
      </c>
      <c r="AN58" s="338">
        <v>2012</v>
      </c>
      <c r="AO58" s="338">
        <v>2013</v>
      </c>
      <c r="AP58" s="338">
        <v>2014</v>
      </c>
      <c r="AQ58" s="338">
        <v>2015</v>
      </c>
      <c r="AR58" s="338">
        <v>2016</v>
      </c>
      <c r="AS58" s="338">
        <v>2017</v>
      </c>
      <c r="AT58" s="338">
        <v>2018</v>
      </c>
      <c r="AU58" s="338">
        <v>2019</v>
      </c>
    </row>
    <row r="59" spans="2:48" s="299" customFormat="1">
      <c r="C59" s="310" t="str">
        <f t="array" ref="C59:C96">LL.list</f>
        <v>64 kbps</v>
      </c>
      <c r="E59" s="471">
        <f t="array" ref="E59:J96">AK59:AP96-U59:Z96</f>
        <v>1117</v>
      </c>
      <c r="F59" s="471">
        <v>2056.8000000000002</v>
      </c>
      <c r="G59" s="471">
        <v>2255</v>
      </c>
      <c r="H59" s="471">
        <v>1366.75</v>
      </c>
      <c r="I59" s="471">
        <v>1976.6</v>
      </c>
      <c r="J59" s="471">
        <v>1381.12</v>
      </c>
      <c r="R59" s="469">
        <v>0.5</v>
      </c>
      <c r="S59" s="310" t="str">
        <f t="array" ref="S59:S96">LL.list</f>
        <v>64 kbps</v>
      </c>
      <c r="U59" s="471">
        <f t="shared" ref="U59" si="36">ROUNDUP(AK59*$R59,0)</f>
        <v>1118</v>
      </c>
      <c r="V59" s="471">
        <f t="shared" ref="V59" si="37">ROUNDUP(AL59*$R59,0)</f>
        <v>2058</v>
      </c>
      <c r="W59" s="471">
        <f t="shared" ref="W59" si="38">ROUNDUP(AM59*$R59,0)</f>
        <v>2255</v>
      </c>
      <c r="X59" s="471">
        <f t="shared" ref="X59" si="39">ROUNDUP(AN59*$R59,0)</f>
        <v>1367</v>
      </c>
      <c r="Y59" s="471">
        <f t="shared" ref="Y59" si="40">ROUNDUP(AO59*$R59,0)</f>
        <v>1978</v>
      </c>
      <c r="Z59" s="471">
        <f t="shared" ref="Z59" si="41">ROUNDUP(AP59*$R59,0)</f>
        <v>1383</v>
      </c>
      <c r="AI59" s="310" t="str">
        <f t="array" ref="AI59:AI96">LL.list</f>
        <v>64 kbps</v>
      </c>
      <c r="AK59" s="472">
        <f t="array" ref="AK59:AP96">'7'!$R$453:$W$490</f>
        <v>2235</v>
      </c>
      <c r="AL59" s="472">
        <v>4114.8</v>
      </c>
      <c r="AM59" s="472">
        <v>4510</v>
      </c>
      <c r="AN59" s="472">
        <v>2733.75</v>
      </c>
      <c r="AO59" s="472">
        <v>3954.6</v>
      </c>
      <c r="AP59" s="472">
        <v>2764.12</v>
      </c>
    </row>
    <row r="60" spans="2:48" s="299" customFormat="1">
      <c r="C60" s="310" t="str">
        <v>128 kbps</v>
      </c>
      <c r="E60" s="471">
        <v>1185.3699999999999</v>
      </c>
      <c r="F60" s="471">
        <v>1587</v>
      </c>
      <c r="G60" s="471">
        <v>1482.7599999999998</v>
      </c>
      <c r="H60" s="471">
        <v>940</v>
      </c>
      <c r="I60" s="471">
        <v>758.39999999999986</v>
      </c>
      <c r="J60" s="471">
        <v>834.53</v>
      </c>
      <c r="R60" s="469">
        <v>0.5</v>
      </c>
      <c r="S60" s="310" t="str">
        <v>128 kbps</v>
      </c>
      <c r="U60" s="471">
        <f t="shared" ref="U60:U69" si="42">ROUNDUP(AK60*$R60,0)</f>
        <v>1187</v>
      </c>
      <c r="V60" s="471">
        <f t="shared" ref="V60:V69" si="43">ROUNDUP(AL60*$R60,0)</f>
        <v>1588</v>
      </c>
      <c r="W60" s="471">
        <f t="shared" ref="W60:W69" si="44">ROUNDUP(AM60*$R60,0)</f>
        <v>1484</v>
      </c>
      <c r="X60" s="471">
        <f t="shared" ref="X60:X69" si="45">ROUNDUP(AN60*$R60,0)</f>
        <v>940</v>
      </c>
      <c r="Y60" s="471">
        <f t="shared" ref="Y60:Y69" si="46">ROUNDUP(AO60*$R60,0)</f>
        <v>760</v>
      </c>
      <c r="Z60" s="471">
        <f t="shared" ref="Z60:Z69" si="47">ROUNDUP(AP60*$R60,0)</f>
        <v>835</v>
      </c>
      <c r="AI60" s="310" t="str">
        <v>128 kbps</v>
      </c>
      <c r="AK60" s="472">
        <v>2372.37</v>
      </c>
      <c r="AL60" s="472">
        <v>3175</v>
      </c>
      <c r="AM60" s="472">
        <v>2966.7599999999998</v>
      </c>
      <c r="AN60" s="472">
        <v>1880</v>
      </c>
      <c r="AO60" s="472">
        <v>1518.3999999999999</v>
      </c>
      <c r="AP60" s="472">
        <v>1669.53</v>
      </c>
    </row>
    <row r="61" spans="2:48" s="299" customFormat="1">
      <c r="C61" s="310" t="str">
        <v>192 kbps</v>
      </c>
      <c r="E61" s="471">
        <v>260.36</v>
      </c>
      <c r="F61" s="471">
        <v>350</v>
      </c>
      <c r="G61" s="471">
        <v>330.5</v>
      </c>
      <c r="H61" s="471">
        <v>315.22000000000003</v>
      </c>
      <c r="I61" s="471">
        <v>173.8</v>
      </c>
      <c r="J61" s="471">
        <v>184.75</v>
      </c>
      <c r="R61" s="469">
        <v>0.5</v>
      </c>
      <c r="S61" s="310" t="str">
        <v>192 kbps</v>
      </c>
      <c r="U61" s="471">
        <f t="shared" si="42"/>
        <v>261</v>
      </c>
      <c r="V61" s="471">
        <f t="shared" si="43"/>
        <v>350</v>
      </c>
      <c r="W61" s="471">
        <f t="shared" si="44"/>
        <v>332</v>
      </c>
      <c r="X61" s="471">
        <f t="shared" si="45"/>
        <v>317</v>
      </c>
      <c r="Y61" s="471">
        <f t="shared" si="46"/>
        <v>174</v>
      </c>
      <c r="Z61" s="471">
        <f t="shared" si="47"/>
        <v>185</v>
      </c>
      <c r="AI61" s="310" t="str">
        <v>192 kbps</v>
      </c>
      <c r="AK61" s="472">
        <v>521.36</v>
      </c>
      <c r="AL61" s="472">
        <v>700</v>
      </c>
      <c r="AM61" s="472">
        <v>662.5</v>
      </c>
      <c r="AN61" s="472">
        <v>632.22</v>
      </c>
      <c r="AO61" s="472">
        <v>347.8</v>
      </c>
      <c r="AP61" s="472">
        <v>369.75</v>
      </c>
    </row>
    <row r="62" spans="2:48" s="299" customFormat="1">
      <c r="C62" s="310" t="str">
        <v>256 kbps</v>
      </c>
      <c r="E62" s="471">
        <v>650</v>
      </c>
      <c r="F62" s="471">
        <v>810.2199999999998</v>
      </c>
      <c r="G62" s="471">
        <v>745</v>
      </c>
      <c r="H62" s="471">
        <v>898.77999999999975</v>
      </c>
      <c r="I62" s="471">
        <v>981.69</v>
      </c>
      <c r="J62" s="471">
        <v>579.25</v>
      </c>
      <c r="R62" s="469">
        <v>0.5</v>
      </c>
      <c r="S62" s="310" t="str">
        <v>256 kbps</v>
      </c>
      <c r="U62" s="471">
        <f t="shared" si="42"/>
        <v>650</v>
      </c>
      <c r="V62" s="471">
        <f t="shared" si="43"/>
        <v>812</v>
      </c>
      <c r="W62" s="471">
        <f t="shared" si="44"/>
        <v>746</v>
      </c>
      <c r="X62" s="471">
        <f t="shared" si="45"/>
        <v>899</v>
      </c>
      <c r="Y62" s="471">
        <f t="shared" si="46"/>
        <v>983</v>
      </c>
      <c r="Z62" s="471">
        <f t="shared" si="47"/>
        <v>581</v>
      </c>
      <c r="AI62" s="310" t="str">
        <v>256 kbps</v>
      </c>
      <c r="AK62" s="472">
        <v>1300</v>
      </c>
      <c r="AL62" s="472">
        <v>1622.2199999999998</v>
      </c>
      <c r="AM62" s="472">
        <v>1491</v>
      </c>
      <c r="AN62" s="472">
        <v>1797.7799999999997</v>
      </c>
      <c r="AO62" s="472">
        <v>1964.69</v>
      </c>
      <c r="AP62" s="472">
        <v>1160.25</v>
      </c>
    </row>
    <row r="63" spans="2:48" s="299" customFormat="1">
      <c r="C63" s="310" t="str">
        <v>384 kbps</v>
      </c>
      <c r="E63" s="471">
        <v>291.65999999999997</v>
      </c>
      <c r="F63" s="471">
        <v>371.36</v>
      </c>
      <c r="G63" s="471">
        <v>422.90000000000009</v>
      </c>
      <c r="H63" s="471">
        <v>532.96</v>
      </c>
      <c r="I63" s="471">
        <v>408.29999999999995</v>
      </c>
      <c r="J63" s="471">
        <v>511.24</v>
      </c>
      <c r="R63" s="469">
        <v>0.5</v>
      </c>
      <c r="S63" s="310" t="str">
        <v>384 kbps</v>
      </c>
      <c r="U63" s="471">
        <f t="shared" si="42"/>
        <v>293</v>
      </c>
      <c r="V63" s="471">
        <f t="shared" si="43"/>
        <v>372</v>
      </c>
      <c r="W63" s="471">
        <f t="shared" si="44"/>
        <v>423</v>
      </c>
      <c r="X63" s="471">
        <f t="shared" si="45"/>
        <v>533</v>
      </c>
      <c r="Y63" s="471">
        <f t="shared" si="46"/>
        <v>410</v>
      </c>
      <c r="Z63" s="471">
        <f t="shared" si="47"/>
        <v>513</v>
      </c>
      <c r="AI63" s="310" t="str">
        <v>384 kbps</v>
      </c>
      <c r="AK63" s="472">
        <v>584.66</v>
      </c>
      <c r="AL63" s="472">
        <v>743.36</v>
      </c>
      <c r="AM63" s="472">
        <v>845.90000000000009</v>
      </c>
      <c r="AN63" s="472">
        <v>1065.96</v>
      </c>
      <c r="AO63" s="472">
        <v>818.3</v>
      </c>
      <c r="AP63" s="472">
        <v>1024.24</v>
      </c>
    </row>
    <row r="64" spans="2:48" s="299" customFormat="1">
      <c r="C64" s="310" t="str">
        <v>512 kbps</v>
      </c>
      <c r="E64" s="471">
        <v>566</v>
      </c>
      <c r="F64" s="471">
        <v>436.53999999999996</v>
      </c>
      <c r="G64" s="471">
        <v>538.20000000000005</v>
      </c>
      <c r="H64" s="471">
        <v>408.29000000000008</v>
      </c>
      <c r="I64" s="471">
        <v>473.6</v>
      </c>
      <c r="J64" s="471">
        <v>294.84000000000003</v>
      </c>
      <c r="R64" s="469">
        <v>0.5</v>
      </c>
      <c r="S64" s="310" t="str">
        <v>512 kbps</v>
      </c>
      <c r="U64" s="471">
        <f t="shared" si="42"/>
        <v>566</v>
      </c>
      <c r="V64" s="471">
        <f t="shared" si="43"/>
        <v>438</v>
      </c>
      <c r="W64" s="471">
        <f t="shared" si="44"/>
        <v>540</v>
      </c>
      <c r="X64" s="471">
        <f t="shared" si="45"/>
        <v>409</v>
      </c>
      <c r="Y64" s="471">
        <f t="shared" si="46"/>
        <v>475</v>
      </c>
      <c r="Z64" s="471">
        <f t="shared" si="47"/>
        <v>295</v>
      </c>
      <c r="AI64" s="310" t="str">
        <v>512 kbps</v>
      </c>
      <c r="AK64" s="472">
        <v>1132</v>
      </c>
      <c r="AL64" s="472">
        <v>874.54</v>
      </c>
      <c r="AM64" s="472">
        <v>1078.2</v>
      </c>
      <c r="AN64" s="472">
        <v>817.29000000000008</v>
      </c>
      <c r="AO64" s="472">
        <v>948.6</v>
      </c>
      <c r="AP64" s="472">
        <v>589.84</v>
      </c>
    </row>
    <row r="65" spans="3:42" s="299" customFormat="1">
      <c r="C65" s="310" t="str">
        <v>768 kbps</v>
      </c>
      <c r="E65" s="471">
        <v>153.45999999999998</v>
      </c>
      <c r="F65" s="471">
        <v>123.19999999999999</v>
      </c>
      <c r="G65" s="471">
        <v>117.44999999999999</v>
      </c>
      <c r="H65" s="471">
        <v>101.85</v>
      </c>
      <c r="I65" s="471">
        <v>99.5</v>
      </c>
      <c r="J65" s="471">
        <v>60.45</v>
      </c>
      <c r="R65" s="469">
        <v>0.5</v>
      </c>
      <c r="S65" s="310" t="str">
        <v>768 kbps</v>
      </c>
      <c r="U65" s="471">
        <f t="shared" si="42"/>
        <v>155</v>
      </c>
      <c r="V65" s="471">
        <f t="shared" si="43"/>
        <v>125</v>
      </c>
      <c r="W65" s="471">
        <f t="shared" si="44"/>
        <v>118</v>
      </c>
      <c r="X65" s="471">
        <f t="shared" si="45"/>
        <v>103</v>
      </c>
      <c r="Y65" s="471">
        <f t="shared" si="46"/>
        <v>100</v>
      </c>
      <c r="Z65" s="471">
        <f t="shared" si="47"/>
        <v>62</v>
      </c>
      <c r="AI65" s="310" t="str">
        <v>768 kbps</v>
      </c>
      <c r="AK65" s="472">
        <v>308.45999999999998</v>
      </c>
      <c r="AL65" s="472">
        <v>248.2</v>
      </c>
      <c r="AM65" s="472">
        <v>235.45</v>
      </c>
      <c r="AN65" s="472">
        <v>204.85</v>
      </c>
      <c r="AO65" s="472">
        <v>199.5</v>
      </c>
      <c r="AP65" s="472">
        <v>122.45</v>
      </c>
    </row>
    <row r="66" spans="3:42" s="299" customFormat="1">
      <c r="C66" s="310" t="str">
        <v>1024 kbps</v>
      </c>
      <c r="E66" s="471">
        <v>84.69</v>
      </c>
      <c r="F66" s="471">
        <v>126.13</v>
      </c>
      <c r="G66" s="471">
        <v>71.900000000000006</v>
      </c>
      <c r="H66" s="471">
        <v>68.94</v>
      </c>
      <c r="I66" s="471">
        <v>51.03</v>
      </c>
      <c r="J66" s="471">
        <v>32.799999999999997</v>
      </c>
      <c r="R66" s="469">
        <v>0.5</v>
      </c>
      <c r="S66" s="310" t="str">
        <v>1024 kbps</v>
      </c>
      <c r="U66" s="471">
        <f t="shared" si="42"/>
        <v>85</v>
      </c>
      <c r="V66" s="471">
        <f t="shared" si="43"/>
        <v>128</v>
      </c>
      <c r="W66" s="471">
        <f t="shared" si="44"/>
        <v>73</v>
      </c>
      <c r="X66" s="471">
        <f t="shared" si="45"/>
        <v>69</v>
      </c>
      <c r="Y66" s="471">
        <f t="shared" si="46"/>
        <v>53</v>
      </c>
      <c r="Z66" s="471">
        <f t="shared" si="47"/>
        <v>33</v>
      </c>
      <c r="AI66" s="310" t="str">
        <v>1024 kbps</v>
      </c>
      <c r="AK66" s="472">
        <v>169.69</v>
      </c>
      <c r="AL66" s="472">
        <v>254.13</v>
      </c>
      <c r="AM66" s="472">
        <v>144.9</v>
      </c>
      <c r="AN66" s="472">
        <v>137.94</v>
      </c>
      <c r="AO66" s="472">
        <v>104.03</v>
      </c>
      <c r="AP66" s="472">
        <v>65.8</v>
      </c>
    </row>
    <row r="67" spans="3:42" s="299" customFormat="1">
      <c r="C67" s="331" t="str">
        <v>E1 (2.04 Mbps)</v>
      </c>
      <c r="E67" s="471">
        <v>116.59999999999991</v>
      </c>
      <c r="F67" s="471">
        <v>150.79999999999973</v>
      </c>
      <c r="G67" s="471">
        <v>159.69999999999982</v>
      </c>
      <c r="H67" s="471">
        <v>269.91000000000076</v>
      </c>
      <c r="I67" s="471">
        <v>223.77999999999975</v>
      </c>
      <c r="J67" s="471">
        <v>398</v>
      </c>
      <c r="R67" s="469">
        <v>0.95</v>
      </c>
      <c r="S67" s="331" t="str">
        <v>E1 (2.04 Mbps)</v>
      </c>
      <c r="U67" s="471">
        <f t="shared" si="42"/>
        <v>2227</v>
      </c>
      <c r="V67" s="471">
        <f t="shared" si="43"/>
        <v>2870</v>
      </c>
      <c r="W67" s="471">
        <f t="shared" si="44"/>
        <v>3038</v>
      </c>
      <c r="X67" s="471">
        <f t="shared" si="45"/>
        <v>5148</v>
      </c>
      <c r="Y67" s="471">
        <f t="shared" si="46"/>
        <v>4262</v>
      </c>
      <c r="Z67" s="471">
        <f t="shared" si="47"/>
        <v>7567</v>
      </c>
      <c r="AI67" s="331" t="str">
        <v>E1 (2.04 Mbps)</v>
      </c>
      <c r="AK67" s="472">
        <v>2343.6</v>
      </c>
      <c r="AL67" s="472">
        <v>3020.7999999999997</v>
      </c>
      <c r="AM67" s="472">
        <v>3197.7</v>
      </c>
      <c r="AN67" s="472">
        <v>5417.9100000000008</v>
      </c>
      <c r="AO67" s="472">
        <v>4485.78</v>
      </c>
      <c r="AP67" s="472">
        <v>7965</v>
      </c>
    </row>
    <row r="68" spans="3:42" s="299" customFormat="1">
      <c r="C68" s="331" t="str">
        <v>E2 *</v>
      </c>
      <c r="E68" s="471">
        <v>0</v>
      </c>
      <c r="F68" s="471">
        <v>0</v>
      </c>
      <c r="G68" s="471">
        <v>0</v>
      </c>
      <c r="H68" s="471">
        <v>0</v>
      </c>
      <c r="I68" s="471">
        <v>0</v>
      </c>
      <c r="J68" s="471">
        <v>0</v>
      </c>
      <c r="R68" s="469">
        <v>0.5</v>
      </c>
      <c r="S68" s="331" t="str">
        <v>E2 *</v>
      </c>
      <c r="U68" s="471">
        <f t="shared" si="42"/>
        <v>0</v>
      </c>
      <c r="V68" s="471">
        <f t="shared" si="43"/>
        <v>0</v>
      </c>
      <c r="W68" s="471">
        <f t="shared" si="44"/>
        <v>0</v>
      </c>
      <c r="X68" s="471">
        <f t="shared" si="45"/>
        <v>0</v>
      </c>
      <c r="Y68" s="471">
        <f t="shared" si="46"/>
        <v>0</v>
      </c>
      <c r="Z68" s="471">
        <f t="shared" si="47"/>
        <v>0</v>
      </c>
      <c r="AI68" s="331" t="str">
        <v>E2 *</v>
      </c>
      <c r="AK68" s="472">
        <v>0</v>
      </c>
      <c r="AL68" s="472">
        <v>0</v>
      </c>
      <c r="AM68" s="472">
        <v>0</v>
      </c>
      <c r="AN68" s="472">
        <v>0</v>
      </c>
      <c r="AO68" s="472">
        <v>0</v>
      </c>
      <c r="AP68" s="472">
        <v>0</v>
      </c>
    </row>
    <row r="69" spans="3:42" s="299" customFormat="1">
      <c r="C69" s="331" t="str">
        <v>E3 (34 Mbps)</v>
      </c>
      <c r="E69" s="471">
        <v>7.5399999999999991</v>
      </c>
      <c r="F69" s="471">
        <v>9.75</v>
      </c>
      <c r="G69" s="471">
        <v>7.9400000000000013</v>
      </c>
      <c r="H69" s="471">
        <v>11.5</v>
      </c>
      <c r="I69" s="471">
        <v>13.71</v>
      </c>
      <c r="J69" s="471">
        <v>13.119999999999997</v>
      </c>
      <c r="R69" s="469">
        <v>0.5</v>
      </c>
      <c r="S69" s="331" t="str">
        <v>E3 (34 Mbps)</v>
      </c>
      <c r="U69" s="471">
        <f t="shared" si="42"/>
        <v>8</v>
      </c>
      <c r="V69" s="471">
        <f t="shared" si="43"/>
        <v>10</v>
      </c>
      <c r="W69" s="471">
        <f t="shared" si="44"/>
        <v>9</v>
      </c>
      <c r="X69" s="471">
        <f t="shared" si="45"/>
        <v>13</v>
      </c>
      <c r="Y69" s="471">
        <f t="shared" si="46"/>
        <v>15</v>
      </c>
      <c r="Z69" s="471">
        <f t="shared" si="47"/>
        <v>14</v>
      </c>
      <c r="AI69" s="331" t="str">
        <v>E3 (34 Mbps)</v>
      </c>
      <c r="AK69" s="472">
        <v>15.54</v>
      </c>
      <c r="AL69" s="472">
        <v>19.75</v>
      </c>
      <c r="AM69" s="472">
        <v>16.940000000000001</v>
      </c>
      <c r="AN69" s="472">
        <v>24.5</v>
      </c>
      <c r="AO69" s="472">
        <v>28.71</v>
      </c>
      <c r="AP69" s="472">
        <v>27.119999999999997</v>
      </c>
    </row>
    <row r="70" spans="3:42" s="299" customFormat="1">
      <c r="C70" s="331" t="str">
        <v>STM-1 (155 Mbps)</v>
      </c>
      <c r="E70" s="471">
        <v>0</v>
      </c>
      <c r="F70" s="471">
        <v>0</v>
      </c>
      <c r="G70" s="471">
        <v>0</v>
      </c>
      <c r="H70" s="471">
        <v>0</v>
      </c>
      <c r="I70" s="471">
        <v>0</v>
      </c>
      <c r="J70" s="471">
        <v>0</v>
      </c>
      <c r="S70" s="331" t="str">
        <v>STM-1 (155 Mbps)</v>
      </c>
      <c r="U70" s="472">
        <f t="shared" ref="U70:U74" si="48">AK70</f>
        <v>4.5600000000000005</v>
      </c>
      <c r="V70" s="472">
        <f t="shared" ref="V70:V74" si="49">AL70</f>
        <v>5.6</v>
      </c>
      <c r="W70" s="472">
        <f t="shared" ref="W70:W74" si="50">AM70</f>
        <v>7.26</v>
      </c>
      <c r="X70" s="472">
        <f t="shared" ref="X70:X74" si="51">AN70</f>
        <v>5.3000000000000007</v>
      </c>
      <c r="Y70" s="472">
        <f t="shared" ref="Y70:Y74" si="52">AO70</f>
        <v>2.64</v>
      </c>
      <c r="Z70" s="472">
        <f t="shared" ref="Z70:Z74" si="53">AP70</f>
        <v>3.66</v>
      </c>
      <c r="AI70" s="331" t="str">
        <v>STM-1 (155 Mbps)</v>
      </c>
      <c r="AK70" s="472">
        <v>4.5600000000000005</v>
      </c>
      <c r="AL70" s="472">
        <v>5.6</v>
      </c>
      <c r="AM70" s="472">
        <v>7.26</v>
      </c>
      <c r="AN70" s="472">
        <v>5.3000000000000007</v>
      </c>
      <c r="AO70" s="472">
        <v>2.64</v>
      </c>
      <c r="AP70" s="472">
        <v>3.66</v>
      </c>
    </row>
    <row r="71" spans="3:42" s="299" customFormat="1">
      <c r="C71" s="310" t="str">
        <v>STM-4 (622.08 Mbps)</v>
      </c>
      <c r="E71" s="471">
        <v>0</v>
      </c>
      <c r="F71" s="471">
        <v>0</v>
      </c>
      <c r="G71" s="471">
        <v>0</v>
      </c>
      <c r="H71" s="471">
        <v>0</v>
      </c>
      <c r="I71" s="471">
        <v>0</v>
      </c>
      <c r="J71" s="471">
        <v>0</v>
      </c>
      <c r="S71" s="310" t="str">
        <v>STM-4 (622.08 Mbps)</v>
      </c>
      <c r="U71" s="472">
        <f t="shared" si="48"/>
        <v>2.54</v>
      </c>
      <c r="V71" s="472">
        <f t="shared" si="49"/>
        <v>2</v>
      </c>
      <c r="W71" s="472">
        <f t="shared" si="50"/>
        <v>1.98</v>
      </c>
      <c r="X71" s="472">
        <f t="shared" si="51"/>
        <v>2.36</v>
      </c>
      <c r="Y71" s="472">
        <f t="shared" si="52"/>
        <v>2.42</v>
      </c>
      <c r="Z71" s="472">
        <f t="shared" si="53"/>
        <v>2.14</v>
      </c>
      <c r="AI71" s="310" t="str">
        <v>STM-4 (622.08 Mbps)</v>
      </c>
      <c r="AK71" s="472">
        <v>2.54</v>
      </c>
      <c r="AL71" s="472">
        <v>2</v>
      </c>
      <c r="AM71" s="472">
        <v>1.98</v>
      </c>
      <c r="AN71" s="472">
        <v>2.36</v>
      </c>
      <c r="AO71" s="472">
        <v>2.42</v>
      </c>
      <c r="AP71" s="472">
        <v>2.14</v>
      </c>
    </row>
    <row r="72" spans="3:42" s="299" customFormat="1">
      <c r="C72" s="310" t="str">
        <v>STM-16 (2488.32Mbps)</v>
      </c>
      <c r="E72" s="471">
        <v>0</v>
      </c>
      <c r="F72" s="471">
        <v>0</v>
      </c>
      <c r="G72" s="471">
        <v>0</v>
      </c>
      <c r="H72" s="471">
        <v>0</v>
      </c>
      <c r="I72" s="471">
        <v>0</v>
      </c>
      <c r="J72" s="471">
        <v>0</v>
      </c>
      <c r="S72" s="310" t="str">
        <v>STM-16 (2488.32Mbps)</v>
      </c>
      <c r="U72" s="472">
        <f t="shared" si="48"/>
        <v>0</v>
      </c>
      <c r="V72" s="472">
        <f t="shared" si="49"/>
        <v>0</v>
      </c>
      <c r="W72" s="472">
        <f t="shared" si="50"/>
        <v>0</v>
      </c>
      <c r="X72" s="472">
        <f t="shared" si="51"/>
        <v>0</v>
      </c>
      <c r="Y72" s="472">
        <f t="shared" si="52"/>
        <v>0</v>
      </c>
      <c r="Z72" s="472">
        <f t="shared" si="53"/>
        <v>0</v>
      </c>
      <c r="AI72" s="310" t="str">
        <v>STM-16 (2488.32Mbps)</v>
      </c>
      <c r="AK72" s="472">
        <v>0</v>
      </c>
      <c r="AL72" s="472">
        <v>0</v>
      </c>
      <c r="AM72" s="472">
        <v>0</v>
      </c>
      <c r="AN72" s="472">
        <v>0</v>
      </c>
      <c r="AO72" s="472">
        <v>0</v>
      </c>
      <c r="AP72" s="472">
        <v>0</v>
      </c>
    </row>
    <row r="73" spans="3:42" s="299" customFormat="1">
      <c r="C73" s="310" t="str">
        <v>STM-64 (9953.28Mbps)</v>
      </c>
      <c r="E73" s="471">
        <v>0</v>
      </c>
      <c r="F73" s="471">
        <v>0</v>
      </c>
      <c r="G73" s="471">
        <v>0</v>
      </c>
      <c r="H73" s="471">
        <v>0</v>
      </c>
      <c r="I73" s="471">
        <v>0</v>
      </c>
      <c r="J73" s="471">
        <v>0</v>
      </c>
      <c r="S73" s="310" t="str">
        <v>STM-64 (9953.28Mbps)</v>
      </c>
      <c r="U73" s="472">
        <f t="shared" si="48"/>
        <v>0</v>
      </c>
      <c r="V73" s="472">
        <f t="shared" si="49"/>
        <v>0</v>
      </c>
      <c r="W73" s="472">
        <f t="shared" si="50"/>
        <v>0</v>
      </c>
      <c r="X73" s="472">
        <f t="shared" si="51"/>
        <v>0</v>
      </c>
      <c r="Y73" s="472">
        <f t="shared" si="52"/>
        <v>0</v>
      </c>
      <c r="Z73" s="472">
        <f t="shared" si="53"/>
        <v>0</v>
      </c>
      <c r="AI73" s="310" t="str">
        <v>STM-64 (9953.28Mbps)</v>
      </c>
      <c r="AK73" s="472">
        <v>0</v>
      </c>
      <c r="AL73" s="472">
        <v>0</v>
      </c>
      <c r="AM73" s="472">
        <v>0</v>
      </c>
      <c r="AN73" s="472">
        <v>0</v>
      </c>
      <c r="AO73" s="472">
        <v>0</v>
      </c>
      <c r="AP73" s="472">
        <v>0</v>
      </c>
    </row>
    <row r="74" spans="3:42" s="299" customFormat="1">
      <c r="C74" s="310" t="str">
        <v>STM-256 (39813.12 Mbps)*</v>
      </c>
      <c r="E74" s="471">
        <v>0</v>
      </c>
      <c r="F74" s="471">
        <v>0</v>
      </c>
      <c r="G74" s="471">
        <v>0</v>
      </c>
      <c r="H74" s="471">
        <v>0</v>
      </c>
      <c r="I74" s="471">
        <v>0</v>
      </c>
      <c r="J74" s="471">
        <v>0</v>
      </c>
      <c r="S74" s="310" t="str">
        <v>STM-256 (39813.12 Mbps)*</v>
      </c>
      <c r="U74" s="472">
        <f t="shared" si="48"/>
        <v>0</v>
      </c>
      <c r="V74" s="472">
        <f t="shared" si="49"/>
        <v>0</v>
      </c>
      <c r="W74" s="472">
        <f t="shared" si="50"/>
        <v>0</v>
      </c>
      <c r="X74" s="472">
        <f t="shared" si="51"/>
        <v>0</v>
      </c>
      <c r="Y74" s="472">
        <f t="shared" si="52"/>
        <v>0</v>
      </c>
      <c r="Z74" s="472">
        <f t="shared" si="53"/>
        <v>0</v>
      </c>
      <c r="AI74" s="310" t="str">
        <v>STM-256 (39813.12 Mbps)*</v>
      </c>
      <c r="AK74" s="472">
        <v>0</v>
      </c>
      <c r="AL74" s="472">
        <v>0</v>
      </c>
      <c r="AM74" s="472">
        <v>0</v>
      </c>
      <c r="AN74" s="472">
        <v>0</v>
      </c>
      <c r="AO74" s="472">
        <v>0</v>
      </c>
      <c r="AP74" s="472">
        <v>0</v>
      </c>
    </row>
    <row r="75" spans="3:42" s="299" customFormat="1">
      <c r="C75" s="310" t="str">
        <v>Ethernet (10Mbps)</v>
      </c>
      <c r="E75" s="471">
        <v>1.9999999999999574E-2</v>
      </c>
      <c r="F75" s="471">
        <v>0.90000000000000036</v>
      </c>
      <c r="G75" s="471">
        <v>2.3100000000000023</v>
      </c>
      <c r="H75" s="471">
        <v>5.0399999999999991</v>
      </c>
      <c r="I75" s="471">
        <v>13.739999999999981</v>
      </c>
      <c r="J75" s="471">
        <v>29.160000000000025</v>
      </c>
      <c r="R75" s="469">
        <v>0.9</v>
      </c>
      <c r="S75" s="310" t="str">
        <v>Ethernet (10Mbps)</v>
      </c>
      <c r="U75" s="471">
        <f t="shared" ref="U75:U83" si="54">ROUNDUP(AK75*$R75,0)</f>
        <v>6</v>
      </c>
      <c r="V75" s="471">
        <f t="shared" ref="V75:V83" si="55">ROUNDUP(AL75*$R75,0)</f>
        <v>12</v>
      </c>
      <c r="W75" s="471">
        <f t="shared" ref="W75:W83" si="56">ROUNDUP(AM75*$R75,0)</f>
        <v>21</v>
      </c>
      <c r="X75" s="471">
        <f t="shared" ref="X75:X83" si="57">ROUNDUP(AN75*$R75,0)</f>
        <v>52</v>
      </c>
      <c r="Y75" s="471">
        <f t="shared" ref="Y75:Y83" si="58">ROUNDUP(AO75*$R75,0)</f>
        <v>129</v>
      </c>
      <c r="Z75" s="471">
        <f t="shared" ref="Z75:Z83" si="59">ROUNDUP(AP75*$R75,0)</f>
        <v>270</v>
      </c>
      <c r="AI75" s="310" t="str">
        <v>Ethernet (10Mbps)</v>
      </c>
      <c r="AK75" s="472">
        <v>6.02</v>
      </c>
      <c r="AL75" s="472">
        <v>12.9</v>
      </c>
      <c r="AM75" s="472">
        <v>23.310000000000002</v>
      </c>
      <c r="AN75" s="472">
        <v>57.04</v>
      </c>
      <c r="AO75" s="472">
        <v>142.73999999999998</v>
      </c>
      <c r="AP75" s="472">
        <v>299.16000000000003</v>
      </c>
    </row>
    <row r="76" spans="3:42" s="299" customFormat="1">
      <c r="C76" s="310" t="str">
        <v>Ethernet (20Mbps)</v>
      </c>
      <c r="E76" s="471">
        <v>1.0000000000000009E-2</v>
      </c>
      <c r="F76" s="471">
        <v>0.64000000000000012</v>
      </c>
      <c r="G76" s="471">
        <v>2.5</v>
      </c>
      <c r="H76" s="471">
        <v>8.3999999999999986</v>
      </c>
      <c r="I76" s="471">
        <v>22.54</v>
      </c>
      <c r="J76" s="471">
        <v>74.94</v>
      </c>
      <c r="R76" s="469">
        <v>0.5</v>
      </c>
      <c r="S76" s="310" t="str">
        <v>Ethernet (20Mbps)</v>
      </c>
      <c r="U76" s="471">
        <f t="shared" si="54"/>
        <v>1</v>
      </c>
      <c r="V76" s="471">
        <f t="shared" si="55"/>
        <v>2</v>
      </c>
      <c r="W76" s="471">
        <f t="shared" si="56"/>
        <v>4</v>
      </c>
      <c r="X76" s="471">
        <f t="shared" si="57"/>
        <v>9</v>
      </c>
      <c r="Y76" s="471">
        <f t="shared" si="58"/>
        <v>23</v>
      </c>
      <c r="Z76" s="471">
        <f t="shared" si="59"/>
        <v>75</v>
      </c>
      <c r="AI76" s="310" t="str">
        <v>Ethernet (20Mbps)</v>
      </c>
      <c r="AK76" s="472">
        <v>1.01</v>
      </c>
      <c r="AL76" s="472">
        <v>2.64</v>
      </c>
      <c r="AM76" s="472">
        <v>6.5</v>
      </c>
      <c r="AN76" s="472">
        <v>17.399999999999999</v>
      </c>
      <c r="AO76" s="472">
        <v>45.54</v>
      </c>
      <c r="AP76" s="472">
        <v>149.94</v>
      </c>
    </row>
    <row r="77" spans="3:42" s="299" customFormat="1">
      <c r="C77" s="310" t="str">
        <v>Ethernet (30Mbps)</v>
      </c>
      <c r="E77" s="471">
        <v>0</v>
      </c>
      <c r="F77" s="471">
        <v>-0.26</v>
      </c>
      <c r="G77" s="471">
        <v>-0.3600000000000001</v>
      </c>
      <c r="H77" s="471">
        <v>0.28000000000000025</v>
      </c>
      <c r="I77" s="471">
        <v>0.79999999999999893</v>
      </c>
      <c r="J77" s="471">
        <v>2.759999999999998</v>
      </c>
      <c r="R77" s="469">
        <v>0.9</v>
      </c>
      <c r="S77" s="310" t="str">
        <v>Ethernet (30Mbps)</v>
      </c>
      <c r="U77" s="471">
        <f t="shared" si="54"/>
        <v>0</v>
      </c>
      <c r="V77" s="471">
        <f t="shared" si="55"/>
        <v>1</v>
      </c>
      <c r="W77" s="471">
        <f t="shared" si="56"/>
        <v>2</v>
      </c>
      <c r="X77" s="471">
        <f t="shared" si="57"/>
        <v>7</v>
      </c>
      <c r="Y77" s="471">
        <f t="shared" si="58"/>
        <v>13</v>
      </c>
      <c r="Z77" s="471">
        <f t="shared" si="59"/>
        <v>30</v>
      </c>
      <c r="AI77" s="310" t="str">
        <v>Ethernet (30Mbps)</v>
      </c>
      <c r="AK77" s="472">
        <v>0</v>
      </c>
      <c r="AL77" s="472">
        <v>0.74</v>
      </c>
      <c r="AM77" s="472">
        <v>1.64</v>
      </c>
      <c r="AN77" s="472">
        <v>7.28</v>
      </c>
      <c r="AO77" s="472">
        <v>13.799999999999999</v>
      </c>
      <c r="AP77" s="472">
        <v>32.76</v>
      </c>
    </row>
    <row r="78" spans="3:42" s="299" customFormat="1">
      <c r="C78" s="310" t="str">
        <v>Ethernet (40Mbps)</v>
      </c>
      <c r="E78" s="471">
        <v>-0.20999999999999996</v>
      </c>
      <c r="F78" s="471">
        <v>0.7</v>
      </c>
      <c r="G78" s="471">
        <v>0.60000000000000009</v>
      </c>
      <c r="H78" s="471">
        <v>1.7999999999999998</v>
      </c>
      <c r="I78" s="471">
        <v>7.6000000000000014</v>
      </c>
      <c r="J78" s="471">
        <v>31.240000000000002</v>
      </c>
      <c r="R78" s="469">
        <v>0.5</v>
      </c>
      <c r="S78" s="310" t="str">
        <v>Ethernet (40Mbps)</v>
      </c>
      <c r="U78" s="471">
        <f t="shared" si="54"/>
        <v>1</v>
      </c>
      <c r="V78" s="471">
        <f t="shared" si="55"/>
        <v>1</v>
      </c>
      <c r="W78" s="471">
        <f t="shared" si="56"/>
        <v>2</v>
      </c>
      <c r="X78" s="471">
        <f t="shared" si="57"/>
        <v>2</v>
      </c>
      <c r="Y78" s="471">
        <f t="shared" si="58"/>
        <v>8</v>
      </c>
      <c r="Z78" s="471">
        <f t="shared" si="59"/>
        <v>32</v>
      </c>
      <c r="AI78" s="310" t="str">
        <v>Ethernet (40Mbps)</v>
      </c>
      <c r="AK78" s="472">
        <v>0.79</v>
      </c>
      <c r="AL78" s="472">
        <v>1.7</v>
      </c>
      <c r="AM78" s="472">
        <v>2.6</v>
      </c>
      <c r="AN78" s="472">
        <v>3.8</v>
      </c>
      <c r="AO78" s="472">
        <v>15.600000000000001</v>
      </c>
      <c r="AP78" s="472">
        <v>63.24</v>
      </c>
    </row>
    <row r="79" spans="3:42" s="299" customFormat="1">
      <c r="C79" s="310" t="str">
        <v>Ethernet (50Mbps)</v>
      </c>
      <c r="E79" s="471">
        <v>0</v>
      </c>
      <c r="F79" s="471">
        <v>0</v>
      </c>
      <c r="G79" s="471">
        <v>0</v>
      </c>
      <c r="H79" s="471">
        <v>1.0899999999999999</v>
      </c>
      <c r="I79" s="471">
        <v>4.9000000000000004</v>
      </c>
      <c r="J79" s="471">
        <v>6.7700000000000014</v>
      </c>
      <c r="R79" s="469">
        <v>0.5</v>
      </c>
      <c r="S79" s="310" t="str">
        <v>Ethernet (50Mbps)</v>
      </c>
      <c r="U79" s="471">
        <f t="shared" si="54"/>
        <v>0</v>
      </c>
      <c r="V79" s="471">
        <f t="shared" si="55"/>
        <v>0</v>
      </c>
      <c r="W79" s="471">
        <f t="shared" si="56"/>
        <v>0</v>
      </c>
      <c r="X79" s="471">
        <f t="shared" si="57"/>
        <v>2</v>
      </c>
      <c r="Y79" s="471">
        <f t="shared" si="58"/>
        <v>5</v>
      </c>
      <c r="Z79" s="471">
        <f t="shared" si="59"/>
        <v>7</v>
      </c>
      <c r="AI79" s="310" t="str">
        <v>Ethernet (50Mbps)</v>
      </c>
      <c r="AK79" s="472">
        <v>0</v>
      </c>
      <c r="AL79" s="472">
        <v>0</v>
      </c>
      <c r="AM79" s="472">
        <v>0</v>
      </c>
      <c r="AN79" s="472">
        <v>3.09</v>
      </c>
      <c r="AO79" s="472">
        <v>9.9</v>
      </c>
      <c r="AP79" s="472">
        <v>13.770000000000001</v>
      </c>
    </row>
    <row r="80" spans="3:42" s="299" customFormat="1">
      <c r="C80" s="310" t="str">
        <v>Ethernet (60Mbps)</v>
      </c>
      <c r="E80" s="471">
        <v>0</v>
      </c>
      <c r="F80" s="471">
        <v>0</v>
      </c>
      <c r="G80" s="471">
        <v>0.41999999999999993</v>
      </c>
      <c r="H80" s="471">
        <v>0.56000000000000005</v>
      </c>
      <c r="I80" s="471">
        <v>1.9699999999999998</v>
      </c>
      <c r="J80" s="471">
        <v>5</v>
      </c>
      <c r="R80" s="469">
        <v>0.5</v>
      </c>
      <c r="S80" s="310" t="str">
        <v>Ethernet (60Mbps)</v>
      </c>
      <c r="U80" s="471">
        <f t="shared" si="54"/>
        <v>0</v>
      </c>
      <c r="V80" s="471">
        <f t="shared" si="55"/>
        <v>0</v>
      </c>
      <c r="W80" s="471">
        <f t="shared" si="56"/>
        <v>1</v>
      </c>
      <c r="X80" s="471">
        <f t="shared" si="57"/>
        <v>2</v>
      </c>
      <c r="Y80" s="471">
        <f t="shared" si="58"/>
        <v>3</v>
      </c>
      <c r="Z80" s="471">
        <f t="shared" si="59"/>
        <v>5</v>
      </c>
      <c r="AI80" s="310" t="str">
        <v>Ethernet (60Mbps)</v>
      </c>
      <c r="AK80" s="472">
        <v>0</v>
      </c>
      <c r="AL80" s="472">
        <v>0</v>
      </c>
      <c r="AM80" s="472">
        <v>1.42</v>
      </c>
      <c r="AN80" s="472">
        <v>2.56</v>
      </c>
      <c r="AO80" s="472">
        <v>4.97</v>
      </c>
      <c r="AP80" s="472">
        <v>10</v>
      </c>
    </row>
    <row r="81" spans="3:42" s="299" customFormat="1">
      <c r="C81" s="310" t="str">
        <v>Ethernet (70Mbps)</v>
      </c>
      <c r="E81" s="471">
        <v>0</v>
      </c>
      <c r="F81" s="471">
        <v>0</v>
      </c>
      <c r="G81" s="471">
        <v>0</v>
      </c>
      <c r="H81" s="471">
        <v>0.22999999999999998</v>
      </c>
      <c r="I81" s="471">
        <v>0.96</v>
      </c>
      <c r="J81" s="471">
        <v>1.42</v>
      </c>
      <c r="R81" s="469">
        <v>0.5</v>
      </c>
      <c r="S81" s="310" t="str">
        <v>Ethernet (70Mbps)</v>
      </c>
      <c r="U81" s="471">
        <f t="shared" si="54"/>
        <v>0</v>
      </c>
      <c r="V81" s="471">
        <f t="shared" si="55"/>
        <v>0</v>
      </c>
      <c r="W81" s="471">
        <f t="shared" si="56"/>
        <v>0</v>
      </c>
      <c r="X81" s="471">
        <f t="shared" si="57"/>
        <v>1</v>
      </c>
      <c r="Y81" s="471">
        <f t="shared" si="58"/>
        <v>1</v>
      </c>
      <c r="Z81" s="471">
        <f t="shared" si="59"/>
        <v>2</v>
      </c>
      <c r="AI81" s="310" t="str">
        <v>Ethernet (70Mbps)</v>
      </c>
      <c r="AK81" s="472">
        <v>0</v>
      </c>
      <c r="AL81" s="472">
        <v>0</v>
      </c>
      <c r="AM81" s="472">
        <v>0</v>
      </c>
      <c r="AN81" s="472">
        <v>1.23</v>
      </c>
      <c r="AO81" s="472">
        <v>1.96</v>
      </c>
      <c r="AP81" s="472">
        <v>3.42</v>
      </c>
    </row>
    <row r="82" spans="3:42" s="299" customFormat="1">
      <c r="C82" s="310" t="str">
        <v>Ethernet (80Mbps)</v>
      </c>
      <c r="E82" s="471">
        <v>0</v>
      </c>
      <c r="F82" s="471">
        <v>0</v>
      </c>
      <c r="G82" s="471">
        <v>0</v>
      </c>
      <c r="H82" s="471">
        <v>-0.17000000000000004</v>
      </c>
      <c r="I82" s="471">
        <v>-0.16000000000000003</v>
      </c>
      <c r="J82" s="471">
        <v>0.87999999999999989</v>
      </c>
      <c r="R82" s="469">
        <v>0.5</v>
      </c>
      <c r="S82" s="310" t="str">
        <v>Ethernet (80Mbps)</v>
      </c>
      <c r="U82" s="471">
        <f t="shared" si="54"/>
        <v>0</v>
      </c>
      <c r="V82" s="471">
        <f t="shared" si="55"/>
        <v>0</v>
      </c>
      <c r="W82" s="471">
        <f t="shared" si="56"/>
        <v>0</v>
      </c>
      <c r="X82" s="471">
        <f t="shared" si="57"/>
        <v>1</v>
      </c>
      <c r="Y82" s="471">
        <f t="shared" si="58"/>
        <v>1</v>
      </c>
      <c r="Z82" s="471">
        <f t="shared" si="59"/>
        <v>1</v>
      </c>
      <c r="AI82" s="310" t="str">
        <v>Ethernet (80Mbps)</v>
      </c>
      <c r="AK82" s="472">
        <v>0</v>
      </c>
      <c r="AL82" s="472">
        <v>0</v>
      </c>
      <c r="AM82" s="472">
        <v>0</v>
      </c>
      <c r="AN82" s="472">
        <v>0.83</v>
      </c>
      <c r="AO82" s="472">
        <v>0.84</v>
      </c>
      <c r="AP82" s="472">
        <v>1.88</v>
      </c>
    </row>
    <row r="83" spans="3:42" s="299" customFormat="1">
      <c r="C83" s="310" t="str">
        <v>Ethernet (90Mbps)</v>
      </c>
      <c r="E83" s="471">
        <v>0</v>
      </c>
      <c r="F83" s="471">
        <v>0</v>
      </c>
      <c r="G83" s="471">
        <v>0</v>
      </c>
      <c r="H83" s="471">
        <v>0</v>
      </c>
      <c r="I83" s="471">
        <v>0</v>
      </c>
      <c r="J83" s="471">
        <v>0.33999999999999986</v>
      </c>
      <c r="R83" s="469">
        <v>0.5</v>
      </c>
      <c r="S83" s="310" t="str">
        <v>Ethernet (90Mbps)</v>
      </c>
      <c r="U83" s="471">
        <f t="shared" si="54"/>
        <v>0</v>
      </c>
      <c r="V83" s="471">
        <f t="shared" si="55"/>
        <v>0</v>
      </c>
      <c r="W83" s="471">
        <f t="shared" si="56"/>
        <v>0</v>
      </c>
      <c r="X83" s="471">
        <f t="shared" si="57"/>
        <v>0</v>
      </c>
      <c r="Y83" s="471">
        <f t="shared" si="58"/>
        <v>0</v>
      </c>
      <c r="Z83" s="471">
        <f t="shared" si="59"/>
        <v>2</v>
      </c>
      <c r="AI83" s="310" t="str">
        <v>Ethernet (90Mbps)</v>
      </c>
      <c r="AK83" s="472">
        <v>0</v>
      </c>
      <c r="AL83" s="472">
        <v>0</v>
      </c>
      <c r="AM83" s="472">
        <v>0</v>
      </c>
      <c r="AN83" s="472">
        <v>0</v>
      </c>
      <c r="AO83" s="472">
        <v>0</v>
      </c>
      <c r="AP83" s="472">
        <v>2.34</v>
      </c>
    </row>
    <row r="84" spans="3:42" s="299" customFormat="1">
      <c r="C84" s="310" t="str">
        <v>GigaEthernet (100Mbps)</v>
      </c>
      <c r="E84" s="471">
        <v>0</v>
      </c>
      <c r="F84" s="471">
        <v>0</v>
      </c>
      <c r="G84" s="471">
        <v>0</v>
      </c>
      <c r="H84" s="471">
        <v>0</v>
      </c>
      <c r="I84" s="471">
        <v>0</v>
      </c>
      <c r="J84" s="471">
        <v>0</v>
      </c>
      <c r="S84" s="310" t="str">
        <v>GigaEthernet (100Mbps)</v>
      </c>
      <c r="U84" s="472">
        <f t="shared" ref="U84:U96" si="60">AK84</f>
        <v>1.72</v>
      </c>
      <c r="V84" s="472">
        <f t="shared" ref="V84:V96" si="61">AL84</f>
        <v>2.42</v>
      </c>
      <c r="W84" s="472">
        <f t="shared" ref="W84:W96" si="62">AM84</f>
        <v>2.7</v>
      </c>
      <c r="X84" s="472">
        <f t="shared" ref="X84:X96" si="63">AN84</f>
        <v>11.850000000000001</v>
      </c>
      <c r="Y84" s="472">
        <f t="shared" ref="Y84:Y96" si="64">AO84</f>
        <v>15.819999999999999</v>
      </c>
      <c r="Z84" s="472">
        <f t="shared" ref="Z84:Z96" si="65">AP84</f>
        <v>13.489999999999998</v>
      </c>
      <c r="AI84" s="310" t="str">
        <v>GigaEthernet (100Mbps)</v>
      </c>
      <c r="AK84" s="472">
        <v>1.72</v>
      </c>
      <c r="AL84" s="472">
        <v>2.42</v>
      </c>
      <c r="AM84" s="472">
        <v>2.7</v>
      </c>
      <c r="AN84" s="472">
        <v>11.850000000000001</v>
      </c>
      <c r="AO84" s="472">
        <v>15.819999999999999</v>
      </c>
      <c r="AP84" s="472">
        <v>13.489999999999998</v>
      </c>
    </row>
    <row r="85" spans="3:42" s="299" customFormat="1">
      <c r="C85" s="310" t="str">
        <v>GigaEthernet (150Mbps)</v>
      </c>
      <c r="E85" s="471">
        <v>0</v>
      </c>
      <c r="F85" s="471">
        <v>0</v>
      </c>
      <c r="G85" s="471">
        <v>0</v>
      </c>
      <c r="H85" s="471">
        <v>0</v>
      </c>
      <c r="I85" s="471">
        <v>0</v>
      </c>
      <c r="J85" s="471">
        <v>0</v>
      </c>
      <c r="S85" s="310" t="str">
        <v>GigaEthernet (150Mbps)</v>
      </c>
      <c r="U85" s="472">
        <f t="shared" si="60"/>
        <v>0</v>
      </c>
      <c r="V85" s="472">
        <f t="shared" si="61"/>
        <v>0</v>
      </c>
      <c r="W85" s="472">
        <f t="shared" si="62"/>
        <v>0</v>
      </c>
      <c r="X85" s="472">
        <f t="shared" si="63"/>
        <v>0</v>
      </c>
      <c r="Y85" s="472">
        <f t="shared" si="64"/>
        <v>0</v>
      </c>
      <c r="Z85" s="472">
        <f t="shared" si="65"/>
        <v>3.9000000000000004</v>
      </c>
      <c r="AI85" s="310" t="str">
        <v>GigaEthernet (150Mbps)</v>
      </c>
      <c r="AK85" s="472">
        <v>0</v>
      </c>
      <c r="AL85" s="472">
        <v>0</v>
      </c>
      <c r="AM85" s="472">
        <v>0</v>
      </c>
      <c r="AN85" s="472">
        <v>0</v>
      </c>
      <c r="AO85" s="472">
        <v>0</v>
      </c>
      <c r="AP85" s="472">
        <v>3.9000000000000004</v>
      </c>
    </row>
    <row r="86" spans="3:42" s="299" customFormat="1">
      <c r="C86" s="310" t="str">
        <v>GigaEthernet (200Mbps)</v>
      </c>
      <c r="E86" s="471">
        <v>0</v>
      </c>
      <c r="F86" s="471">
        <v>0</v>
      </c>
      <c r="G86" s="471">
        <v>0</v>
      </c>
      <c r="H86" s="471">
        <v>0</v>
      </c>
      <c r="I86" s="471">
        <v>0</v>
      </c>
      <c r="J86" s="471">
        <v>0</v>
      </c>
      <c r="S86" s="310" t="str">
        <v>GigaEthernet (200Mbps)</v>
      </c>
      <c r="U86" s="472">
        <f t="shared" si="60"/>
        <v>4</v>
      </c>
      <c r="V86" s="472">
        <f t="shared" si="61"/>
        <v>3.92</v>
      </c>
      <c r="W86" s="472">
        <f t="shared" si="62"/>
        <v>2.2200000000000002</v>
      </c>
      <c r="X86" s="472">
        <f t="shared" si="63"/>
        <v>0.92</v>
      </c>
      <c r="Y86" s="472">
        <f t="shared" si="64"/>
        <v>1.1299999999999999</v>
      </c>
      <c r="Z86" s="472">
        <f t="shared" si="65"/>
        <v>1.92</v>
      </c>
      <c r="AI86" s="310" t="str">
        <v>GigaEthernet (200Mbps)</v>
      </c>
      <c r="AK86" s="472">
        <v>4</v>
      </c>
      <c r="AL86" s="472">
        <v>3.92</v>
      </c>
      <c r="AM86" s="472">
        <v>2.2200000000000002</v>
      </c>
      <c r="AN86" s="472">
        <v>0.92</v>
      </c>
      <c r="AO86" s="472">
        <v>1.1299999999999999</v>
      </c>
      <c r="AP86" s="472">
        <v>1.92</v>
      </c>
    </row>
    <row r="87" spans="3:42" s="299" customFormat="1">
      <c r="C87" s="310" t="str">
        <v>GigaEthernet (250Mbps)</v>
      </c>
      <c r="E87" s="471">
        <v>0</v>
      </c>
      <c r="F87" s="471">
        <v>0</v>
      </c>
      <c r="G87" s="471">
        <v>0</v>
      </c>
      <c r="H87" s="471">
        <v>0</v>
      </c>
      <c r="I87" s="471">
        <v>0</v>
      </c>
      <c r="J87" s="471">
        <v>0</v>
      </c>
      <c r="S87" s="310" t="str">
        <v>GigaEthernet (250Mbps)</v>
      </c>
      <c r="U87" s="472">
        <f t="shared" si="60"/>
        <v>0</v>
      </c>
      <c r="V87" s="472">
        <f t="shared" si="61"/>
        <v>0</v>
      </c>
      <c r="W87" s="472">
        <f t="shared" si="62"/>
        <v>0</v>
      </c>
      <c r="X87" s="472">
        <f t="shared" si="63"/>
        <v>0</v>
      </c>
      <c r="Y87" s="472">
        <f t="shared" si="64"/>
        <v>0</v>
      </c>
      <c r="Z87" s="472">
        <f t="shared" si="65"/>
        <v>0</v>
      </c>
      <c r="AI87" s="310" t="str">
        <v>GigaEthernet (250Mbps)</v>
      </c>
      <c r="AK87" s="472">
        <v>0</v>
      </c>
      <c r="AL87" s="472">
        <v>0</v>
      </c>
      <c r="AM87" s="472">
        <v>0</v>
      </c>
      <c r="AN87" s="472">
        <v>0</v>
      </c>
      <c r="AO87" s="472">
        <v>0</v>
      </c>
      <c r="AP87" s="472">
        <v>0</v>
      </c>
    </row>
    <row r="88" spans="3:42" s="299" customFormat="1">
      <c r="C88" s="310" t="str">
        <v>GigaEthernet (300Mbps)</v>
      </c>
      <c r="E88" s="471">
        <v>0</v>
      </c>
      <c r="F88" s="471">
        <v>0</v>
      </c>
      <c r="G88" s="471">
        <v>0</v>
      </c>
      <c r="H88" s="471">
        <v>0</v>
      </c>
      <c r="I88" s="471">
        <v>0</v>
      </c>
      <c r="J88" s="471">
        <v>0</v>
      </c>
      <c r="S88" s="310" t="str">
        <v>GigaEthernet (300Mbps)</v>
      </c>
      <c r="U88" s="472">
        <f t="shared" si="60"/>
        <v>0</v>
      </c>
      <c r="V88" s="472">
        <f t="shared" si="61"/>
        <v>0</v>
      </c>
      <c r="W88" s="472">
        <f t="shared" si="62"/>
        <v>0</v>
      </c>
      <c r="X88" s="472">
        <f t="shared" si="63"/>
        <v>1.04</v>
      </c>
      <c r="Y88" s="472">
        <f t="shared" si="64"/>
        <v>2.06</v>
      </c>
      <c r="Z88" s="472">
        <f t="shared" si="65"/>
        <v>1.44</v>
      </c>
      <c r="AI88" s="310" t="str">
        <v>GigaEthernet (300Mbps)</v>
      </c>
      <c r="AK88" s="472">
        <v>0</v>
      </c>
      <c r="AL88" s="472">
        <v>0</v>
      </c>
      <c r="AM88" s="472">
        <v>0</v>
      </c>
      <c r="AN88" s="472">
        <v>1.04</v>
      </c>
      <c r="AO88" s="472">
        <v>2.06</v>
      </c>
      <c r="AP88" s="472">
        <v>1.44</v>
      </c>
    </row>
    <row r="89" spans="3:42" s="299" customFormat="1">
      <c r="C89" s="310" t="str">
        <v>GigaEthernet (350Mbps)</v>
      </c>
      <c r="E89" s="471">
        <v>0</v>
      </c>
      <c r="F89" s="471">
        <v>0</v>
      </c>
      <c r="G89" s="471">
        <v>0</v>
      </c>
      <c r="H89" s="471">
        <v>0</v>
      </c>
      <c r="I89" s="471">
        <v>0</v>
      </c>
      <c r="J89" s="471">
        <v>0</v>
      </c>
      <c r="S89" s="310" t="str">
        <v>GigaEthernet (350Mbps)</v>
      </c>
      <c r="U89" s="472">
        <f t="shared" si="60"/>
        <v>0</v>
      </c>
      <c r="V89" s="472">
        <f t="shared" si="61"/>
        <v>0</v>
      </c>
      <c r="W89" s="472">
        <f t="shared" si="62"/>
        <v>0</v>
      </c>
      <c r="X89" s="472">
        <f t="shared" si="63"/>
        <v>0</v>
      </c>
      <c r="Y89" s="472">
        <f t="shared" si="64"/>
        <v>0</v>
      </c>
      <c r="Z89" s="472">
        <f t="shared" si="65"/>
        <v>0</v>
      </c>
      <c r="AI89" s="310" t="str">
        <v>GigaEthernet (350Mbps)</v>
      </c>
      <c r="AK89" s="472">
        <v>0</v>
      </c>
      <c r="AL89" s="472">
        <v>0</v>
      </c>
      <c r="AM89" s="472">
        <v>0</v>
      </c>
      <c r="AN89" s="472">
        <v>0</v>
      </c>
      <c r="AO89" s="472">
        <v>0</v>
      </c>
      <c r="AP89" s="472">
        <v>0</v>
      </c>
    </row>
    <row r="90" spans="3:42" s="299" customFormat="1">
      <c r="C90" s="310" t="str">
        <v>GigaEthernet (400Mbps)</v>
      </c>
      <c r="E90" s="471">
        <v>0</v>
      </c>
      <c r="F90" s="471">
        <v>0</v>
      </c>
      <c r="G90" s="471">
        <v>0</v>
      </c>
      <c r="H90" s="471">
        <v>0</v>
      </c>
      <c r="I90" s="471">
        <v>0</v>
      </c>
      <c r="J90" s="471">
        <v>0</v>
      </c>
      <c r="S90" s="310" t="str">
        <v>GigaEthernet (400Mbps)</v>
      </c>
      <c r="U90" s="472">
        <f t="shared" si="60"/>
        <v>0</v>
      </c>
      <c r="V90" s="472">
        <f t="shared" si="61"/>
        <v>0</v>
      </c>
      <c r="W90" s="472">
        <f t="shared" si="62"/>
        <v>0</v>
      </c>
      <c r="X90" s="472">
        <f t="shared" si="63"/>
        <v>0</v>
      </c>
      <c r="Y90" s="472">
        <f t="shared" si="64"/>
        <v>0</v>
      </c>
      <c r="Z90" s="472">
        <f t="shared" si="65"/>
        <v>0</v>
      </c>
      <c r="AI90" s="310" t="str">
        <v>GigaEthernet (400Mbps)</v>
      </c>
      <c r="AK90" s="472">
        <v>0</v>
      </c>
      <c r="AL90" s="472">
        <v>0</v>
      </c>
      <c r="AM90" s="472">
        <v>0</v>
      </c>
      <c r="AN90" s="472">
        <v>0</v>
      </c>
      <c r="AO90" s="472">
        <v>0</v>
      </c>
      <c r="AP90" s="472">
        <v>0</v>
      </c>
    </row>
    <row r="91" spans="3:42" s="299" customFormat="1">
      <c r="C91" s="310" t="str">
        <v>GigaEthernet (450Mbps)</v>
      </c>
      <c r="E91" s="471">
        <v>0</v>
      </c>
      <c r="F91" s="471">
        <v>0</v>
      </c>
      <c r="G91" s="471">
        <v>0</v>
      </c>
      <c r="H91" s="471">
        <v>0</v>
      </c>
      <c r="I91" s="471">
        <v>0</v>
      </c>
      <c r="J91" s="471">
        <v>0</v>
      </c>
      <c r="S91" s="310" t="str">
        <v>GigaEthernet (450Mbps)</v>
      </c>
      <c r="U91" s="472">
        <f t="shared" si="60"/>
        <v>0</v>
      </c>
      <c r="V91" s="472">
        <f t="shared" si="61"/>
        <v>0</v>
      </c>
      <c r="W91" s="472">
        <f t="shared" si="62"/>
        <v>0</v>
      </c>
      <c r="X91" s="472">
        <f t="shared" si="63"/>
        <v>0</v>
      </c>
      <c r="Y91" s="472">
        <f t="shared" si="64"/>
        <v>0</v>
      </c>
      <c r="Z91" s="472">
        <f t="shared" si="65"/>
        <v>0</v>
      </c>
      <c r="AI91" s="310" t="str">
        <v>GigaEthernet (450Mbps)</v>
      </c>
      <c r="AK91" s="472">
        <v>0</v>
      </c>
      <c r="AL91" s="472">
        <v>0</v>
      </c>
      <c r="AM91" s="472">
        <v>0</v>
      </c>
      <c r="AN91" s="472">
        <v>0</v>
      </c>
      <c r="AO91" s="472">
        <v>0</v>
      </c>
      <c r="AP91" s="472">
        <v>0</v>
      </c>
    </row>
    <row r="92" spans="3:42" s="299" customFormat="1">
      <c r="C92" s="310" t="str">
        <v>GigaEthernet (500Mbps)</v>
      </c>
      <c r="E92" s="471">
        <v>0</v>
      </c>
      <c r="F92" s="471">
        <v>0</v>
      </c>
      <c r="G92" s="471">
        <v>0</v>
      </c>
      <c r="H92" s="471">
        <v>0</v>
      </c>
      <c r="I92" s="471">
        <v>0</v>
      </c>
      <c r="J92" s="471">
        <v>0</v>
      </c>
      <c r="S92" s="310" t="str">
        <v>GigaEthernet (500Mbps)</v>
      </c>
      <c r="U92" s="472">
        <f t="shared" si="60"/>
        <v>0</v>
      </c>
      <c r="V92" s="472">
        <f t="shared" si="61"/>
        <v>0</v>
      </c>
      <c r="W92" s="472">
        <f t="shared" si="62"/>
        <v>0</v>
      </c>
      <c r="X92" s="472">
        <f t="shared" si="63"/>
        <v>0</v>
      </c>
      <c r="Y92" s="472">
        <f t="shared" si="64"/>
        <v>0</v>
      </c>
      <c r="Z92" s="472">
        <f t="shared" si="65"/>
        <v>0</v>
      </c>
      <c r="AI92" s="310" t="str">
        <v>GigaEthernet (500Mbps)</v>
      </c>
      <c r="AK92" s="472">
        <v>0</v>
      </c>
      <c r="AL92" s="472">
        <v>0</v>
      </c>
      <c r="AM92" s="472">
        <v>0</v>
      </c>
      <c r="AN92" s="472">
        <v>0</v>
      </c>
      <c r="AO92" s="472">
        <v>0</v>
      </c>
      <c r="AP92" s="472">
        <v>0</v>
      </c>
    </row>
    <row r="93" spans="3:42" s="299" customFormat="1">
      <c r="C93" s="310" t="str">
        <v>GigaEthernet (550Mbps)</v>
      </c>
      <c r="E93" s="471">
        <v>0</v>
      </c>
      <c r="F93" s="471">
        <v>0</v>
      </c>
      <c r="G93" s="471">
        <v>0</v>
      </c>
      <c r="H93" s="471">
        <v>0</v>
      </c>
      <c r="I93" s="471">
        <v>0</v>
      </c>
      <c r="J93" s="471">
        <v>0</v>
      </c>
      <c r="S93" s="310" t="str">
        <v>GigaEthernet (550Mbps)</v>
      </c>
      <c r="U93" s="472">
        <f t="shared" si="60"/>
        <v>0</v>
      </c>
      <c r="V93" s="472">
        <f t="shared" si="61"/>
        <v>0</v>
      </c>
      <c r="W93" s="472">
        <f t="shared" si="62"/>
        <v>0</v>
      </c>
      <c r="X93" s="472">
        <f t="shared" si="63"/>
        <v>0</v>
      </c>
      <c r="Y93" s="472">
        <f t="shared" si="64"/>
        <v>0</v>
      </c>
      <c r="Z93" s="472">
        <f t="shared" si="65"/>
        <v>0</v>
      </c>
      <c r="AI93" s="310" t="str">
        <v>GigaEthernet (550Mbps)</v>
      </c>
      <c r="AK93" s="472">
        <v>0</v>
      </c>
      <c r="AL93" s="472">
        <v>0</v>
      </c>
      <c r="AM93" s="472">
        <v>0</v>
      </c>
      <c r="AN93" s="472">
        <v>0</v>
      </c>
      <c r="AO93" s="472">
        <v>0</v>
      </c>
      <c r="AP93" s="472">
        <v>0</v>
      </c>
    </row>
    <row r="94" spans="3:42" s="299" customFormat="1">
      <c r="C94" s="310" t="str">
        <v>GigaEthernet (600Mbps)</v>
      </c>
      <c r="E94" s="471">
        <v>0</v>
      </c>
      <c r="F94" s="471">
        <v>0</v>
      </c>
      <c r="G94" s="471">
        <v>0</v>
      </c>
      <c r="H94" s="471">
        <v>0</v>
      </c>
      <c r="I94" s="471">
        <v>0</v>
      </c>
      <c r="J94" s="471">
        <v>0</v>
      </c>
      <c r="S94" s="310" t="str">
        <v>GigaEthernet (600Mbps)</v>
      </c>
      <c r="U94" s="472">
        <f t="shared" si="60"/>
        <v>0</v>
      </c>
      <c r="V94" s="472">
        <f t="shared" si="61"/>
        <v>0</v>
      </c>
      <c r="W94" s="472">
        <f t="shared" si="62"/>
        <v>0</v>
      </c>
      <c r="X94" s="472">
        <f t="shared" si="63"/>
        <v>0</v>
      </c>
      <c r="Y94" s="472">
        <f t="shared" si="64"/>
        <v>0</v>
      </c>
      <c r="Z94" s="472">
        <f t="shared" si="65"/>
        <v>0</v>
      </c>
      <c r="AI94" s="310" t="str">
        <v>GigaEthernet (600Mbps)</v>
      </c>
      <c r="AK94" s="472">
        <v>0</v>
      </c>
      <c r="AL94" s="472">
        <v>0</v>
      </c>
      <c r="AM94" s="472">
        <v>0</v>
      </c>
      <c r="AN94" s="472">
        <v>0</v>
      </c>
      <c r="AO94" s="472">
        <v>0</v>
      </c>
      <c r="AP94" s="472">
        <v>0</v>
      </c>
    </row>
    <row r="95" spans="3:42" s="299" customFormat="1">
      <c r="C95" s="310" t="str">
        <v>GigaEthernet (750Mbps)</v>
      </c>
      <c r="E95" s="471">
        <v>0</v>
      </c>
      <c r="F95" s="471">
        <v>0</v>
      </c>
      <c r="G95" s="471">
        <v>0</v>
      </c>
      <c r="H95" s="471">
        <v>0</v>
      </c>
      <c r="I95" s="471">
        <v>0</v>
      </c>
      <c r="J95" s="471">
        <v>0</v>
      </c>
      <c r="S95" s="310" t="str">
        <v>GigaEthernet (750Mbps)</v>
      </c>
      <c r="U95" s="472">
        <f t="shared" si="60"/>
        <v>0</v>
      </c>
      <c r="V95" s="472">
        <f t="shared" si="61"/>
        <v>0</v>
      </c>
      <c r="W95" s="472">
        <f t="shared" si="62"/>
        <v>0</v>
      </c>
      <c r="X95" s="472">
        <f t="shared" si="63"/>
        <v>0</v>
      </c>
      <c r="Y95" s="472">
        <f t="shared" si="64"/>
        <v>0</v>
      </c>
      <c r="Z95" s="472">
        <f t="shared" si="65"/>
        <v>0</v>
      </c>
      <c r="AI95" s="310" t="str">
        <v>GigaEthernet (750Mbps)</v>
      </c>
      <c r="AK95" s="472">
        <v>0</v>
      </c>
      <c r="AL95" s="472">
        <v>0</v>
      </c>
      <c r="AM95" s="472">
        <v>0</v>
      </c>
      <c r="AN95" s="472">
        <v>0</v>
      </c>
      <c r="AO95" s="472">
        <v>0</v>
      </c>
      <c r="AP95" s="472">
        <v>0</v>
      </c>
    </row>
    <row r="96" spans="3:42" s="299" customFormat="1">
      <c r="C96" s="310" t="str">
        <v>GigaEthernet (1 Gbps)</v>
      </c>
      <c r="E96" s="471">
        <v>0</v>
      </c>
      <c r="F96" s="471">
        <v>0</v>
      </c>
      <c r="G96" s="471">
        <v>0</v>
      </c>
      <c r="H96" s="471">
        <v>0</v>
      </c>
      <c r="I96" s="471">
        <v>0</v>
      </c>
      <c r="J96" s="471">
        <v>0</v>
      </c>
      <c r="S96" s="310" t="str">
        <v>GigaEthernet (1 Gbps)</v>
      </c>
      <c r="U96" s="472">
        <f t="shared" si="60"/>
        <v>0</v>
      </c>
      <c r="V96" s="472">
        <f t="shared" si="61"/>
        <v>0</v>
      </c>
      <c r="W96" s="472">
        <f t="shared" si="62"/>
        <v>0</v>
      </c>
      <c r="X96" s="472">
        <f t="shared" si="63"/>
        <v>0</v>
      </c>
      <c r="Y96" s="472">
        <f t="shared" si="64"/>
        <v>0</v>
      </c>
      <c r="Z96" s="472">
        <f t="shared" si="65"/>
        <v>0</v>
      </c>
      <c r="AI96" s="310" t="str">
        <v>GigaEthernet (1 Gbps)</v>
      </c>
      <c r="AK96" s="472">
        <v>0</v>
      </c>
      <c r="AL96" s="472">
        <v>0</v>
      </c>
      <c r="AM96" s="472">
        <v>0</v>
      </c>
      <c r="AN96" s="472">
        <v>0</v>
      </c>
      <c r="AO96" s="472">
        <v>0</v>
      </c>
      <c r="AP96" s="472">
        <v>0</v>
      </c>
    </row>
    <row r="97" spans="3:48" s="299" customFormat="1">
      <c r="C97"/>
      <c r="K97" s="38" t="s">
        <v>576</v>
      </c>
      <c r="AA97" s="38" t="s">
        <v>583</v>
      </c>
      <c r="AQ97" s="38" t="s">
        <v>590</v>
      </c>
    </row>
    <row r="98" spans="3:48">
      <c r="AH98" s="299"/>
      <c r="AI98" s="299"/>
      <c r="AJ98" s="299"/>
      <c r="AK98" s="299"/>
      <c r="AL98" s="299"/>
      <c r="AM98" s="299"/>
      <c r="AN98" s="299"/>
      <c r="AO98" s="299"/>
      <c r="AP98" s="299"/>
      <c r="AQ98" s="299"/>
      <c r="AR98" s="299"/>
      <c r="AS98" s="299"/>
      <c r="AT98" s="299"/>
      <c r="AU98" s="299"/>
      <c r="AV98" s="299"/>
    </row>
    <row r="99" spans="3:48" s="299" customFormat="1" ht="15.75" thickBot="1">
      <c r="C99" s="130" t="s">
        <v>486</v>
      </c>
      <c r="S99" s="130" t="s">
        <v>486</v>
      </c>
      <c r="AI99" s="130" t="s">
        <v>486</v>
      </c>
    </row>
    <row r="100" spans="3:48" s="299" customFormat="1" ht="15.75" thickBot="1">
      <c r="C100" s="130" t="s">
        <v>487</v>
      </c>
      <c r="D100" s="130"/>
      <c r="E100" s="130"/>
      <c r="F100" s="130"/>
      <c r="G100" s="130"/>
      <c r="H100" s="130"/>
      <c r="I100" s="130"/>
      <c r="J100" s="130"/>
      <c r="K100" s="130"/>
      <c r="L100" s="130"/>
      <c r="M100" s="130"/>
      <c r="N100" s="130"/>
      <c r="O100" s="130"/>
      <c r="P100" s="130"/>
      <c r="S100" s="130" t="s">
        <v>487</v>
      </c>
      <c r="T100" s="130"/>
      <c r="U100" s="130"/>
      <c r="V100" s="130"/>
      <c r="W100" s="130"/>
      <c r="X100" s="130"/>
      <c r="Y100" s="130"/>
      <c r="Z100" s="130"/>
      <c r="AA100" s="130"/>
      <c r="AB100" s="130"/>
      <c r="AC100" s="130"/>
      <c r="AD100" s="130"/>
      <c r="AE100" s="130"/>
      <c r="AF100" s="130"/>
      <c r="AI100" s="130" t="s">
        <v>487</v>
      </c>
      <c r="AJ100" s="130"/>
      <c r="AK100" s="130"/>
      <c r="AL100" s="130"/>
      <c r="AM100" s="130"/>
      <c r="AN100" s="130"/>
      <c r="AO100" s="130"/>
      <c r="AP100" s="130"/>
      <c r="AQ100" s="130"/>
      <c r="AR100" s="130"/>
      <c r="AS100" s="130"/>
      <c r="AT100" s="130"/>
      <c r="AU100" s="130"/>
      <c r="AV100" s="130"/>
    </row>
    <row r="101" spans="3:48" s="299" customFormat="1">
      <c r="S101" s="314" t="str">
        <f>Retail.leased.lines.proporcionados.option</f>
        <v>Supuesto 2</v>
      </c>
    </row>
    <row r="102" spans="3:48" s="299" customFormat="1">
      <c r="C102" s="325" t="s">
        <v>442</v>
      </c>
      <c r="D102" s="325">
        <f t="array" ref="D102:O102">TRANSPOSE(Years)</f>
        <v>2008</v>
      </c>
      <c r="E102" s="325">
        <v>2009</v>
      </c>
      <c r="F102" s="325">
        <v>2010</v>
      </c>
      <c r="G102" s="325">
        <v>2011</v>
      </c>
      <c r="H102" s="325">
        <v>2012</v>
      </c>
      <c r="I102" s="325">
        <v>2013</v>
      </c>
      <c r="J102" s="325">
        <v>2014</v>
      </c>
      <c r="K102" s="325">
        <v>2015</v>
      </c>
      <c r="L102" s="325">
        <v>2016</v>
      </c>
      <c r="M102" s="325">
        <v>2017</v>
      </c>
      <c r="N102" s="325">
        <v>2018</v>
      </c>
      <c r="O102" s="325">
        <v>2019</v>
      </c>
      <c r="S102" s="338" t="s">
        <v>442</v>
      </c>
      <c r="T102" s="338">
        <f t="array" ref="T102:AE102">TRANSPOSE(Years)</f>
        <v>2008</v>
      </c>
      <c r="U102" s="338">
        <v>2009</v>
      </c>
      <c r="V102" s="338">
        <v>2010</v>
      </c>
      <c r="W102" s="338">
        <v>2011</v>
      </c>
      <c r="X102" s="338">
        <v>2012</v>
      </c>
      <c r="Y102" s="338">
        <v>2013</v>
      </c>
      <c r="Z102" s="338">
        <v>2014</v>
      </c>
      <c r="AA102" s="338">
        <v>2015</v>
      </c>
      <c r="AB102" s="338">
        <v>2016</v>
      </c>
      <c r="AC102" s="338">
        <v>2017</v>
      </c>
      <c r="AD102" s="338">
        <v>2018</v>
      </c>
      <c r="AE102" s="338">
        <v>2019</v>
      </c>
      <c r="AI102" s="338" t="s">
        <v>442</v>
      </c>
      <c r="AJ102" s="338">
        <f t="array" ref="AJ102:AU102">TRANSPOSE(Years)</f>
        <v>2008</v>
      </c>
      <c r="AK102" s="338">
        <v>2009</v>
      </c>
      <c r="AL102" s="338">
        <v>2010</v>
      </c>
      <c r="AM102" s="338">
        <v>2011</v>
      </c>
      <c r="AN102" s="338">
        <v>2012</v>
      </c>
      <c r="AO102" s="338">
        <v>2013</v>
      </c>
      <c r="AP102" s="338">
        <v>2014</v>
      </c>
      <c r="AQ102" s="338">
        <v>2015</v>
      </c>
      <c r="AR102" s="338">
        <v>2016</v>
      </c>
      <c r="AS102" s="338">
        <v>2017</v>
      </c>
      <c r="AT102" s="338">
        <v>2018</v>
      </c>
      <c r="AU102" s="338">
        <v>2019</v>
      </c>
    </row>
    <row r="103" spans="3:48" s="299" customFormat="1">
      <c r="C103" s="310" t="str">
        <f t="array" ref="C103:C140">LL.list</f>
        <v>64 kbps</v>
      </c>
      <c r="E103" s="471">
        <f t="array" ref="E103:J140">AK103:AP140-U103:Z140</f>
        <v>552.76</v>
      </c>
      <c r="F103" s="471">
        <v>668.7</v>
      </c>
      <c r="G103" s="471">
        <v>520.22</v>
      </c>
      <c r="H103" s="471">
        <v>724.8</v>
      </c>
      <c r="I103" s="471">
        <v>642.76000000000022</v>
      </c>
      <c r="J103" s="471">
        <v>656.24</v>
      </c>
      <c r="R103" s="469">
        <v>0.5</v>
      </c>
      <c r="S103" s="310" t="str">
        <f t="array" ref="S103:S140">LL.list</f>
        <v>64 kbps</v>
      </c>
      <c r="U103" s="471">
        <f t="shared" ref="U103:U113" si="66">ROUNDUP(AK103*$R103,0)</f>
        <v>554</v>
      </c>
      <c r="V103" s="471">
        <f t="shared" ref="V103:V113" si="67">ROUNDUP(AL103*$R103,0)</f>
        <v>670</v>
      </c>
      <c r="W103" s="471">
        <f t="shared" ref="W103:W113" si="68">ROUNDUP(AM103*$R103,0)</f>
        <v>521</v>
      </c>
      <c r="X103" s="471">
        <f t="shared" ref="X103:X113" si="69">ROUNDUP(AN103*$R103,0)</f>
        <v>726</v>
      </c>
      <c r="Y103" s="471">
        <f t="shared" ref="Y103:Y113" si="70">ROUNDUP(AO103*$R103,0)</f>
        <v>643</v>
      </c>
      <c r="Z103" s="471">
        <f t="shared" ref="Z103:Z113" si="71">ROUNDUP(AP103*$R103,0)</f>
        <v>658</v>
      </c>
      <c r="AI103" s="310" t="str">
        <f t="array" ref="AI103:AI140">LL.list</f>
        <v>64 kbps</v>
      </c>
      <c r="AK103" s="472">
        <f t="array" ref="AK103:AP140">'7'!$AE$453:$AJ$490</f>
        <v>1106.76</v>
      </c>
      <c r="AL103" s="472">
        <v>1338.7</v>
      </c>
      <c r="AM103" s="472">
        <v>1041.22</v>
      </c>
      <c r="AN103" s="472">
        <v>1450.8</v>
      </c>
      <c r="AO103" s="472">
        <v>1285.7600000000002</v>
      </c>
      <c r="AP103" s="472">
        <v>1314.24</v>
      </c>
    </row>
    <row r="104" spans="3:48" s="299" customFormat="1">
      <c r="C104" s="310" t="str">
        <v>128 kbps</v>
      </c>
      <c r="E104" s="471">
        <v>703.34999999999991</v>
      </c>
      <c r="F104" s="471">
        <v>645</v>
      </c>
      <c r="G104" s="471">
        <v>456.03999999999996</v>
      </c>
      <c r="H104" s="471">
        <v>390.69000000000005</v>
      </c>
      <c r="I104" s="471">
        <v>482.20000000000005</v>
      </c>
      <c r="J104" s="471">
        <v>439.74</v>
      </c>
      <c r="R104" s="469">
        <v>0.5</v>
      </c>
      <c r="S104" s="310" t="str">
        <v>128 kbps</v>
      </c>
      <c r="U104" s="471">
        <f t="shared" si="66"/>
        <v>705</v>
      </c>
      <c r="V104" s="471">
        <f t="shared" si="67"/>
        <v>645</v>
      </c>
      <c r="W104" s="471">
        <f t="shared" si="68"/>
        <v>457</v>
      </c>
      <c r="X104" s="471">
        <f t="shared" si="69"/>
        <v>391</v>
      </c>
      <c r="Y104" s="471">
        <f t="shared" si="70"/>
        <v>483</v>
      </c>
      <c r="Z104" s="471">
        <f t="shared" si="71"/>
        <v>441</v>
      </c>
      <c r="AI104" s="310" t="str">
        <v>128 kbps</v>
      </c>
      <c r="AK104" s="472">
        <v>1408.35</v>
      </c>
      <c r="AL104" s="472">
        <v>1290</v>
      </c>
      <c r="AM104" s="472">
        <v>913.04</v>
      </c>
      <c r="AN104" s="472">
        <v>781.69</v>
      </c>
      <c r="AO104" s="472">
        <v>965.2</v>
      </c>
      <c r="AP104" s="472">
        <v>880.74</v>
      </c>
    </row>
    <row r="105" spans="3:48" s="299" customFormat="1">
      <c r="C105" s="310" t="str">
        <v>192 kbps</v>
      </c>
      <c r="E105" s="471">
        <v>113.51999999999998</v>
      </c>
      <c r="F105" s="471">
        <v>115</v>
      </c>
      <c r="G105" s="471">
        <v>113.73999999999998</v>
      </c>
      <c r="H105" s="471">
        <v>78.949999999999989</v>
      </c>
      <c r="I105" s="471">
        <v>90.299999999999983</v>
      </c>
      <c r="J105" s="471">
        <v>66.639999999999986</v>
      </c>
      <c r="R105" s="469">
        <v>0.5</v>
      </c>
      <c r="S105" s="310" t="str">
        <v>192 kbps</v>
      </c>
      <c r="U105" s="471">
        <f t="shared" si="66"/>
        <v>114</v>
      </c>
      <c r="V105" s="471">
        <f t="shared" si="67"/>
        <v>116</v>
      </c>
      <c r="W105" s="471">
        <f t="shared" si="68"/>
        <v>114</v>
      </c>
      <c r="X105" s="471">
        <f t="shared" si="69"/>
        <v>80</v>
      </c>
      <c r="Y105" s="471">
        <f t="shared" si="70"/>
        <v>91</v>
      </c>
      <c r="Z105" s="471">
        <f t="shared" si="71"/>
        <v>68</v>
      </c>
      <c r="AI105" s="310" t="str">
        <v>192 kbps</v>
      </c>
      <c r="AK105" s="472">
        <v>227.51999999999998</v>
      </c>
      <c r="AL105" s="472">
        <v>231</v>
      </c>
      <c r="AM105" s="472">
        <v>227.73999999999998</v>
      </c>
      <c r="AN105" s="472">
        <v>158.94999999999999</v>
      </c>
      <c r="AO105" s="472">
        <v>181.29999999999998</v>
      </c>
      <c r="AP105" s="472">
        <v>134.63999999999999</v>
      </c>
    </row>
    <row r="106" spans="3:48" s="299" customFormat="1">
      <c r="C106" s="310" t="str">
        <v>256 kbps</v>
      </c>
      <c r="E106" s="471">
        <v>186.01</v>
      </c>
      <c r="F106" s="471">
        <v>307.85000000000002</v>
      </c>
      <c r="G106" s="471">
        <v>237.20000000000005</v>
      </c>
      <c r="H106" s="471">
        <v>236.55</v>
      </c>
      <c r="I106" s="471">
        <v>367.41999999999996</v>
      </c>
      <c r="J106" s="471">
        <v>249.98999999999995</v>
      </c>
      <c r="R106" s="469">
        <v>0.5</v>
      </c>
      <c r="S106" s="310" t="str">
        <v>256 kbps</v>
      </c>
      <c r="U106" s="471">
        <f t="shared" si="66"/>
        <v>188</v>
      </c>
      <c r="V106" s="471">
        <f t="shared" si="67"/>
        <v>308</v>
      </c>
      <c r="W106" s="471">
        <f t="shared" si="68"/>
        <v>238</v>
      </c>
      <c r="X106" s="471">
        <f t="shared" si="69"/>
        <v>237</v>
      </c>
      <c r="Y106" s="471">
        <f t="shared" si="70"/>
        <v>368</v>
      </c>
      <c r="Z106" s="471">
        <f t="shared" si="71"/>
        <v>251</v>
      </c>
      <c r="AI106" s="310" t="str">
        <v>256 kbps</v>
      </c>
      <c r="AK106" s="472">
        <v>374.01</v>
      </c>
      <c r="AL106" s="472">
        <v>615.85</v>
      </c>
      <c r="AM106" s="472">
        <v>475.20000000000005</v>
      </c>
      <c r="AN106" s="472">
        <v>473.55</v>
      </c>
      <c r="AO106" s="472">
        <v>735.42</v>
      </c>
      <c r="AP106" s="472">
        <v>500.98999999999995</v>
      </c>
    </row>
    <row r="107" spans="3:48" s="299" customFormat="1">
      <c r="C107" s="310" t="str">
        <v>384 kbps</v>
      </c>
      <c r="E107" s="471">
        <v>190.52999999999997</v>
      </c>
      <c r="F107" s="471">
        <v>127.20000000000002</v>
      </c>
      <c r="G107" s="471">
        <v>151.05000000000001</v>
      </c>
      <c r="H107" s="471">
        <v>183.52000000000004</v>
      </c>
      <c r="I107" s="471">
        <v>214.86</v>
      </c>
      <c r="J107" s="471">
        <v>160.89999999999998</v>
      </c>
      <c r="R107" s="469">
        <v>0.5</v>
      </c>
      <c r="S107" s="310" t="str">
        <v>384 kbps</v>
      </c>
      <c r="U107" s="471">
        <f t="shared" si="66"/>
        <v>192</v>
      </c>
      <c r="V107" s="471">
        <f t="shared" si="67"/>
        <v>128</v>
      </c>
      <c r="W107" s="471">
        <f t="shared" si="68"/>
        <v>152</v>
      </c>
      <c r="X107" s="471">
        <f t="shared" si="69"/>
        <v>185</v>
      </c>
      <c r="Y107" s="471">
        <f t="shared" si="70"/>
        <v>216</v>
      </c>
      <c r="Z107" s="471">
        <f t="shared" si="71"/>
        <v>161</v>
      </c>
      <c r="AI107" s="310" t="str">
        <v>384 kbps</v>
      </c>
      <c r="AK107" s="472">
        <v>382.53</v>
      </c>
      <c r="AL107" s="472">
        <v>255.20000000000002</v>
      </c>
      <c r="AM107" s="472">
        <v>303.05</v>
      </c>
      <c r="AN107" s="472">
        <v>368.52000000000004</v>
      </c>
      <c r="AO107" s="472">
        <v>430.86</v>
      </c>
      <c r="AP107" s="472">
        <v>321.89999999999998</v>
      </c>
    </row>
    <row r="108" spans="3:48" s="299" customFormat="1">
      <c r="C108" s="310" t="str">
        <v>512 kbps</v>
      </c>
      <c r="E108" s="471">
        <v>311.61</v>
      </c>
      <c r="F108" s="471">
        <v>279.61</v>
      </c>
      <c r="G108" s="471">
        <v>246.5</v>
      </c>
      <c r="H108" s="471">
        <v>270.64</v>
      </c>
      <c r="I108" s="471">
        <v>178.51999999999998</v>
      </c>
      <c r="J108" s="471">
        <v>224.07999999999998</v>
      </c>
      <c r="R108" s="469">
        <v>0.5</v>
      </c>
      <c r="S108" s="310" t="str">
        <v>512 kbps</v>
      </c>
      <c r="U108" s="471">
        <f t="shared" si="66"/>
        <v>312</v>
      </c>
      <c r="V108" s="471">
        <f t="shared" si="67"/>
        <v>280</v>
      </c>
      <c r="W108" s="471">
        <f t="shared" si="68"/>
        <v>247</v>
      </c>
      <c r="X108" s="471">
        <f t="shared" si="69"/>
        <v>272</v>
      </c>
      <c r="Y108" s="471">
        <f t="shared" si="70"/>
        <v>179</v>
      </c>
      <c r="Z108" s="471">
        <f t="shared" si="71"/>
        <v>226</v>
      </c>
      <c r="AI108" s="310" t="str">
        <v>512 kbps</v>
      </c>
      <c r="AK108" s="472">
        <v>623.61</v>
      </c>
      <c r="AL108" s="472">
        <v>559.61</v>
      </c>
      <c r="AM108" s="472">
        <v>493.5</v>
      </c>
      <c r="AN108" s="472">
        <v>542.64</v>
      </c>
      <c r="AO108" s="472">
        <v>357.52</v>
      </c>
      <c r="AP108" s="472">
        <v>450.08</v>
      </c>
    </row>
    <row r="109" spans="3:48" s="299" customFormat="1">
      <c r="C109" s="310" t="str">
        <v>768 kbps</v>
      </c>
      <c r="E109" s="471">
        <v>74.960000000000008</v>
      </c>
      <c r="F109" s="471">
        <v>55.600000000000009</v>
      </c>
      <c r="G109" s="471">
        <v>75.22</v>
      </c>
      <c r="H109" s="471">
        <v>41.480000000000004</v>
      </c>
      <c r="I109" s="471">
        <v>37.799999999999997</v>
      </c>
      <c r="J109" s="471">
        <v>32.539999999999992</v>
      </c>
      <c r="R109" s="469">
        <v>0.5</v>
      </c>
      <c r="S109" s="310" t="str">
        <v>768 kbps</v>
      </c>
      <c r="U109" s="471">
        <f t="shared" si="66"/>
        <v>76</v>
      </c>
      <c r="V109" s="471">
        <f t="shared" si="67"/>
        <v>56</v>
      </c>
      <c r="W109" s="471">
        <f t="shared" si="68"/>
        <v>77</v>
      </c>
      <c r="X109" s="471">
        <f t="shared" si="69"/>
        <v>43</v>
      </c>
      <c r="Y109" s="471">
        <f t="shared" si="70"/>
        <v>39</v>
      </c>
      <c r="Z109" s="471">
        <f t="shared" si="71"/>
        <v>33</v>
      </c>
      <c r="AI109" s="310" t="str">
        <v>768 kbps</v>
      </c>
      <c r="AK109" s="472">
        <v>150.96</v>
      </c>
      <c r="AL109" s="472">
        <v>111.60000000000001</v>
      </c>
      <c r="AM109" s="472">
        <v>152.22</v>
      </c>
      <c r="AN109" s="472">
        <v>84.48</v>
      </c>
      <c r="AO109" s="472">
        <v>76.8</v>
      </c>
      <c r="AP109" s="472">
        <v>65.539999999999992</v>
      </c>
    </row>
    <row r="110" spans="3:48" s="299" customFormat="1">
      <c r="C110" s="310" t="str">
        <v>1024 kbps</v>
      </c>
      <c r="E110" s="471">
        <v>44</v>
      </c>
      <c r="F110" s="471">
        <v>50.600000000000009</v>
      </c>
      <c r="G110" s="471">
        <v>38.019999999999996</v>
      </c>
      <c r="H110" s="471">
        <v>39.56</v>
      </c>
      <c r="I110" s="471">
        <v>27.549999999999997</v>
      </c>
      <c r="J110" s="471">
        <v>28.660000000000004</v>
      </c>
      <c r="R110" s="469">
        <v>0.5</v>
      </c>
      <c r="S110" s="310" t="str">
        <v>1024 kbps</v>
      </c>
      <c r="U110" s="471">
        <f t="shared" si="66"/>
        <v>44</v>
      </c>
      <c r="V110" s="471">
        <f t="shared" si="67"/>
        <v>52</v>
      </c>
      <c r="W110" s="471">
        <f t="shared" si="68"/>
        <v>40</v>
      </c>
      <c r="X110" s="471">
        <f t="shared" si="69"/>
        <v>40</v>
      </c>
      <c r="Y110" s="471">
        <f t="shared" si="70"/>
        <v>29</v>
      </c>
      <c r="Z110" s="471">
        <f t="shared" si="71"/>
        <v>29</v>
      </c>
      <c r="AI110" s="310" t="str">
        <v>1024 kbps</v>
      </c>
      <c r="AK110" s="472">
        <v>88</v>
      </c>
      <c r="AL110" s="472">
        <v>102.60000000000001</v>
      </c>
      <c r="AM110" s="472">
        <v>78.02</v>
      </c>
      <c r="AN110" s="472">
        <v>79.56</v>
      </c>
      <c r="AO110" s="472">
        <v>56.55</v>
      </c>
      <c r="AP110" s="472">
        <v>57.660000000000004</v>
      </c>
    </row>
    <row r="111" spans="3:48" s="299" customFormat="1">
      <c r="C111" s="331" t="str">
        <v>E1 (2.04 Mbps)</v>
      </c>
      <c r="E111" s="471">
        <v>54.799999999999955</v>
      </c>
      <c r="F111" s="471">
        <v>106.59000000000015</v>
      </c>
      <c r="G111" s="471">
        <v>117.72000000000003</v>
      </c>
      <c r="H111" s="471">
        <v>196.07999999999993</v>
      </c>
      <c r="I111" s="471">
        <v>155.17000000000007</v>
      </c>
      <c r="J111" s="471">
        <v>302.32000000000016</v>
      </c>
      <c r="R111" s="469">
        <v>0.9</v>
      </c>
      <c r="S111" s="331" t="str">
        <v>E1 (2.04 Mbps)</v>
      </c>
      <c r="U111" s="471">
        <f t="shared" si="66"/>
        <v>501</v>
      </c>
      <c r="V111" s="471">
        <f t="shared" si="67"/>
        <v>969</v>
      </c>
      <c r="W111" s="471">
        <f t="shared" si="68"/>
        <v>1065</v>
      </c>
      <c r="X111" s="471">
        <f t="shared" si="69"/>
        <v>1767</v>
      </c>
      <c r="Y111" s="471">
        <f t="shared" si="70"/>
        <v>1401</v>
      </c>
      <c r="Z111" s="471">
        <f t="shared" si="71"/>
        <v>2730</v>
      </c>
      <c r="AI111" s="331" t="str">
        <v>E1 (2.04 Mbps)</v>
      </c>
      <c r="AK111" s="472">
        <v>555.79999999999995</v>
      </c>
      <c r="AL111" s="472">
        <v>1075.5900000000001</v>
      </c>
      <c r="AM111" s="472">
        <v>1182.72</v>
      </c>
      <c r="AN111" s="472">
        <v>1963.08</v>
      </c>
      <c r="AO111" s="472">
        <v>1556.17</v>
      </c>
      <c r="AP111" s="472">
        <v>3032.32</v>
      </c>
    </row>
    <row r="112" spans="3:48" s="299" customFormat="1">
      <c r="C112" s="331" t="str">
        <v>E2 *</v>
      </c>
      <c r="E112" s="471">
        <v>0</v>
      </c>
      <c r="F112" s="471">
        <v>0</v>
      </c>
      <c r="G112" s="471">
        <v>0</v>
      </c>
      <c r="H112" s="471">
        <v>0</v>
      </c>
      <c r="I112" s="471">
        <v>0</v>
      </c>
      <c r="J112" s="471">
        <v>0</v>
      </c>
      <c r="R112" s="469">
        <v>0.5</v>
      </c>
      <c r="S112" s="331" t="str">
        <v>E2 *</v>
      </c>
      <c r="U112" s="471">
        <f t="shared" si="66"/>
        <v>0</v>
      </c>
      <c r="V112" s="471">
        <f t="shared" si="67"/>
        <v>0</v>
      </c>
      <c r="W112" s="471">
        <f t="shared" si="68"/>
        <v>0</v>
      </c>
      <c r="X112" s="471">
        <f t="shared" si="69"/>
        <v>0</v>
      </c>
      <c r="Y112" s="471">
        <f t="shared" si="70"/>
        <v>0</v>
      </c>
      <c r="Z112" s="471">
        <f t="shared" si="71"/>
        <v>0</v>
      </c>
      <c r="AI112" s="331" t="str">
        <v>E2 *</v>
      </c>
      <c r="AK112" s="472">
        <v>0</v>
      </c>
      <c r="AL112" s="472">
        <v>0</v>
      </c>
      <c r="AM112" s="472">
        <v>0</v>
      </c>
      <c r="AN112" s="472">
        <v>0</v>
      </c>
      <c r="AO112" s="472">
        <v>0</v>
      </c>
      <c r="AP112" s="472">
        <v>0</v>
      </c>
    </row>
    <row r="113" spans="3:42" s="299" customFormat="1">
      <c r="C113" s="331" t="str">
        <v>E3 (34 Mbps)</v>
      </c>
      <c r="E113" s="471">
        <v>1.04</v>
      </c>
      <c r="F113" s="471">
        <v>3.6300000000000008</v>
      </c>
      <c r="G113" s="471">
        <v>5.3999999999999986</v>
      </c>
      <c r="H113" s="471">
        <v>5.6</v>
      </c>
      <c r="I113" s="471">
        <v>6.6899999999999977</v>
      </c>
      <c r="J113" s="471">
        <v>5.52</v>
      </c>
      <c r="R113" s="469">
        <v>0.5</v>
      </c>
      <c r="S113" s="331" t="str">
        <v>E3 (34 Mbps)</v>
      </c>
      <c r="U113" s="471">
        <f t="shared" si="66"/>
        <v>3</v>
      </c>
      <c r="V113" s="471">
        <f t="shared" si="67"/>
        <v>4</v>
      </c>
      <c r="W113" s="471">
        <f t="shared" si="68"/>
        <v>6</v>
      </c>
      <c r="X113" s="471">
        <f t="shared" si="69"/>
        <v>6</v>
      </c>
      <c r="Y113" s="471">
        <f t="shared" si="70"/>
        <v>8</v>
      </c>
      <c r="Z113" s="471">
        <f t="shared" si="71"/>
        <v>6</v>
      </c>
      <c r="AI113" s="331" t="str">
        <v>E3 (34 Mbps)</v>
      </c>
      <c r="AK113" s="472">
        <v>4.04</v>
      </c>
      <c r="AL113" s="472">
        <v>7.6300000000000008</v>
      </c>
      <c r="AM113" s="472">
        <v>11.399999999999999</v>
      </c>
      <c r="AN113" s="472">
        <v>11.6</v>
      </c>
      <c r="AO113" s="472">
        <v>14.689999999999998</v>
      </c>
      <c r="AP113" s="472">
        <v>11.52</v>
      </c>
    </row>
    <row r="114" spans="3:42" s="299" customFormat="1">
      <c r="C114" s="331" t="str">
        <v>STM-1 (155 Mbps)</v>
      </c>
      <c r="E114" s="471">
        <v>0</v>
      </c>
      <c r="F114" s="471">
        <v>0</v>
      </c>
      <c r="G114" s="471">
        <v>0</v>
      </c>
      <c r="H114" s="471">
        <v>0</v>
      </c>
      <c r="I114" s="471">
        <v>0</v>
      </c>
      <c r="J114" s="471">
        <v>0</v>
      </c>
      <c r="S114" s="331" t="str">
        <v>STM-1 (155 Mbps)</v>
      </c>
      <c r="U114" s="472">
        <f t="shared" ref="U114:U118" si="72">AK114</f>
        <v>3.9000000000000004</v>
      </c>
      <c r="V114" s="472">
        <f t="shared" ref="V114:V118" si="73">AL114</f>
        <v>3.85</v>
      </c>
      <c r="W114" s="472">
        <f t="shared" ref="W114:W118" si="74">AM114</f>
        <v>4.68</v>
      </c>
      <c r="X114" s="472">
        <f t="shared" ref="X114:X118" si="75">AN114</f>
        <v>5.45</v>
      </c>
      <c r="Y114" s="472">
        <f t="shared" ref="Y114:Y118" si="76">AO114</f>
        <v>5.16</v>
      </c>
      <c r="Z114" s="472">
        <f t="shared" ref="Z114:Z118" si="77">AP114</f>
        <v>5.75</v>
      </c>
      <c r="AI114" s="331" t="str">
        <v>STM-1 (155 Mbps)</v>
      </c>
      <c r="AK114" s="472">
        <v>3.9000000000000004</v>
      </c>
      <c r="AL114" s="472">
        <v>3.85</v>
      </c>
      <c r="AM114" s="472">
        <v>4.68</v>
      </c>
      <c r="AN114" s="472">
        <v>5.45</v>
      </c>
      <c r="AO114" s="472">
        <v>5.16</v>
      </c>
      <c r="AP114" s="472">
        <v>5.75</v>
      </c>
    </row>
    <row r="115" spans="3:42" s="299" customFormat="1">
      <c r="C115" s="310" t="str">
        <v>STM-4 (622.08 Mbps)</v>
      </c>
      <c r="E115" s="471">
        <v>0</v>
      </c>
      <c r="F115" s="471">
        <v>0</v>
      </c>
      <c r="G115" s="471">
        <v>0</v>
      </c>
      <c r="H115" s="471">
        <v>0</v>
      </c>
      <c r="I115" s="471">
        <v>0</v>
      </c>
      <c r="J115" s="471">
        <v>0</v>
      </c>
      <c r="S115" s="310" t="str">
        <v>STM-4 (622.08 Mbps)</v>
      </c>
      <c r="U115" s="472">
        <f t="shared" si="72"/>
        <v>0</v>
      </c>
      <c r="V115" s="472">
        <f t="shared" si="73"/>
        <v>0</v>
      </c>
      <c r="W115" s="472">
        <f t="shared" si="74"/>
        <v>0</v>
      </c>
      <c r="X115" s="472">
        <f t="shared" si="75"/>
        <v>0</v>
      </c>
      <c r="Y115" s="472">
        <f t="shared" si="76"/>
        <v>0</v>
      </c>
      <c r="Z115" s="472">
        <f t="shared" si="77"/>
        <v>0</v>
      </c>
      <c r="AI115" s="310" t="str">
        <v>STM-4 (622.08 Mbps)</v>
      </c>
      <c r="AK115" s="472">
        <v>0</v>
      </c>
      <c r="AL115" s="472">
        <v>0</v>
      </c>
      <c r="AM115" s="472">
        <v>0</v>
      </c>
      <c r="AN115" s="472">
        <v>0</v>
      </c>
      <c r="AO115" s="472">
        <v>0</v>
      </c>
      <c r="AP115" s="472">
        <v>0</v>
      </c>
    </row>
    <row r="116" spans="3:42" s="299" customFormat="1">
      <c r="C116" s="310" t="str">
        <v>STM-16 (2488.32Mbps)</v>
      </c>
      <c r="E116" s="471">
        <v>0</v>
      </c>
      <c r="F116" s="471">
        <v>0</v>
      </c>
      <c r="G116" s="471">
        <v>0</v>
      </c>
      <c r="H116" s="471">
        <v>0</v>
      </c>
      <c r="I116" s="471">
        <v>0</v>
      </c>
      <c r="J116" s="471">
        <v>0</v>
      </c>
      <c r="S116" s="310" t="str">
        <v>STM-16 (2488.32Mbps)</v>
      </c>
      <c r="U116" s="472">
        <f t="shared" si="72"/>
        <v>0</v>
      </c>
      <c r="V116" s="472">
        <f t="shared" si="73"/>
        <v>0</v>
      </c>
      <c r="W116" s="472">
        <f t="shared" si="74"/>
        <v>0</v>
      </c>
      <c r="X116" s="472">
        <f t="shared" si="75"/>
        <v>0</v>
      </c>
      <c r="Y116" s="472">
        <f t="shared" si="76"/>
        <v>0</v>
      </c>
      <c r="Z116" s="472">
        <f t="shared" si="77"/>
        <v>0</v>
      </c>
      <c r="AI116" s="310" t="str">
        <v>STM-16 (2488.32Mbps)</v>
      </c>
      <c r="AK116" s="472">
        <v>0</v>
      </c>
      <c r="AL116" s="472">
        <v>0</v>
      </c>
      <c r="AM116" s="472">
        <v>0</v>
      </c>
      <c r="AN116" s="472">
        <v>0</v>
      </c>
      <c r="AO116" s="472">
        <v>0</v>
      </c>
      <c r="AP116" s="472">
        <v>0</v>
      </c>
    </row>
    <row r="117" spans="3:42" s="299" customFormat="1">
      <c r="C117" s="310" t="str">
        <v>STM-64 (9953.28Mbps)</v>
      </c>
      <c r="E117" s="471">
        <v>0</v>
      </c>
      <c r="F117" s="471">
        <v>0</v>
      </c>
      <c r="G117" s="471">
        <v>0</v>
      </c>
      <c r="H117" s="471">
        <v>0</v>
      </c>
      <c r="I117" s="471">
        <v>0</v>
      </c>
      <c r="J117" s="471">
        <v>0</v>
      </c>
      <c r="S117" s="310" t="str">
        <v>STM-64 (9953.28Mbps)</v>
      </c>
      <c r="U117" s="472">
        <f t="shared" si="72"/>
        <v>0</v>
      </c>
      <c r="V117" s="472">
        <f t="shared" si="73"/>
        <v>0</v>
      </c>
      <c r="W117" s="472">
        <f t="shared" si="74"/>
        <v>0</v>
      </c>
      <c r="X117" s="472">
        <f t="shared" si="75"/>
        <v>0</v>
      </c>
      <c r="Y117" s="472">
        <f t="shared" si="76"/>
        <v>0</v>
      </c>
      <c r="Z117" s="472">
        <f t="shared" si="77"/>
        <v>0</v>
      </c>
      <c r="AI117" s="310" t="str">
        <v>STM-64 (9953.28Mbps)</v>
      </c>
      <c r="AK117" s="472">
        <v>0</v>
      </c>
      <c r="AL117" s="472">
        <v>0</v>
      </c>
      <c r="AM117" s="472">
        <v>0</v>
      </c>
      <c r="AN117" s="472">
        <v>0</v>
      </c>
      <c r="AO117" s="472">
        <v>0</v>
      </c>
      <c r="AP117" s="472">
        <v>0</v>
      </c>
    </row>
    <row r="118" spans="3:42" s="299" customFormat="1">
      <c r="C118" s="310" t="str">
        <v>STM-256 (39813.12 Mbps)*</v>
      </c>
      <c r="E118" s="471">
        <v>0</v>
      </c>
      <c r="F118" s="471">
        <v>0</v>
      </c>
      <c r="G118" s="471">
        <v>0</v>
      </c>
      <c r="H118" s="471">
        <v>0</v>
      </c>
      <c r="I118" s="471">
        <v>0</v>
      </c>
      <c r="J118" s="471">
        <v>0</v>
      </c>
      <c r="S118" s="310" t="str">
        <v>STM-256 (39813.12 Mbps)*</v>
      </c>
      <c r="U118" s="472">
        <f t="shared" si="72"/>
        <v>0</v>
      </c>
      <c r="V118" s="472">
        <f t="shared" si="73"/>
        <v>0</v>
      </c>
      <c r="W118" s="472">
        <f t="shared" si="74"/>
        <v>0</v>
      </c>
      <c r="X118" s="472">
        <f t="shared" si="75"/>
        <v>0</v>
      </c>
      <c r="Y118" s="472">
        <f t="shared" si="76"/>
        <v>0</v>
      </c>
      <c r="Z118" s="472">
        <f t="shared" si="77"/>
        <v>0</v>
      </c>
      <c r="AI118" s="310" t="str">
        <v>STM-256 (39813.12 Mbps)*</v>
      </c>
      <c r="AK118" s="472">
        <v>0</v>
      </c>
      <c r="AL118" s="472">
        <v>0</v>
      </c>
      <c r="AM118" s="472">
        <v>0</v>
      </c>
      <c r="AN118" s="472">
        <v>0</v>
      </c>
      <c r="AO118" s="472">
        <v>0</v>
      </c>
      <c r="AP118" s="472">
        <v>0</v>
      </c>
    </row>
    <row r="119" spans="3:42" s="299" customFormat="1">
      <c r="C119" s="310" t="str">
        <v>Ethernet (10Mbps)</v>
      </c>
      <c r="E119" s="471">
        <v>0.39999999999999991</v>
      </c>
      <c r="F119" s="471">
        <v>1.6</v>
      </c>
      <c r="G119" s="471">
        <v>4.9000000000000004</v>
      </c>
      <c r="H119" s="471">
        <v>20.28</v>
      </c>
      <c r="I119" s="471">
        <v>19.600000000000001</v>
      </c>
      <c r="J119" s="471">
        <v>21.309999999999995</v>
      </c>
      <c r="R119" s="469">
        <v>0.5</v>
      </c>
      <c r="S119" s="310" t="str">
        <v>Ethernet (10Mbps)</v>
      </c>
      <c r="U119" s="471">
        <f t="shared" ref="U119:U127" si="78">ROUNDUP(AK119*$R119,0)</f>
        <v>1</v>
      </c>
      <c r="V119" s="471">
        <f t="shared" ref="V119:V127" si="79">ROUNDUP(AL119*$R119,0)</f>
        <v>2</v>
      </c>
      <c r="W119" s="471">
        <f t="shared" ref="W119:W127" si="80">ROUNDUP(AM119*$R119,0)</f>
        <v>5</v>
      </c>
      <c r="X119" s="471">
        <f t="shared" ref="X119:X127" si="81">ROUNDUP(AN119*$R119,0)</f>
        <v>21</v>
      </c>
      <c r="Y119" s="471">
        <f t="shared" ref="Y119:Y127" si="82">ROUNDUP(AO119*$R119,0)</f>
        <v>20</v>
      </c>
      <c r="Z119" s="471">
        <f t="shared" ref="Z119:Z127" si="83">ROUNDUP(AP119*$R119,0)</f>
        <v>22</v>
      </c>
      <c r="AI119" s="310" t="str">
        <v>Ethernet (10Mbps)</v>
      </c>
      <c r="AK119" s="472">
        <v>1.4</v>
      </c>
      <c r="AL119" s="472">
        <v>3.6</v>
      </c>
      <c r="AM119" s="472">
        <v>9.9</v>
      </c>
      <c r="AN119" s="472">
        <v>41.28</v>
      </c>
      <c r="AO119" s="472">
        <v>39.6</v>
      </c>
      <c r="AP119" s="472">
        <v>43.309999999999995</v>
      </c>
    </row>
    <row r="120" spans="3:42" s="299" customFormat="1">
      <c r="C120" s="310" t="str">
        <v>Ethernet (20Mbps)</v>
      </c>
      <c r="E120" s="471">
        <v>0</v>
      </c>
      <c r="F120" s="471">
        <v>0.1100000000000001</v>
      </c>
      <c r="G120" s="471">
        <v>0</v>
      </c>
      <c r="H120" s="471">
        <v>2.09</v>
      </c>
      <c r="I120" s="471">
        <v>8.75</v>
      </c>
      <c r="J120" s="471">
        <v>17.340000000000003</v>
      </c>
      <c r="R120" s="469">
        <v>0.5</v>
      </c>
      <c r="S120" s="310" t="str">
        <v>Ethernet (20Mbps)</v>
      </c>
      <c r="U120" s="471">
        <f t="shared" si="78"/>
        <v>0</v>
      </c>
      <c r="V120" s="471">
        <f t="shared" si="79"/>
        <v>1</v>
      </c>
      <c r="W120" s="471">
        <f t="shared" si="80"/>
        <v>0</v>
      </c>
      <c r="X120" s="471">
        <f t="shared" si="81"/>
        <v>4</v>
      </c>
      <c r="Y120" s="471">
        <f t="shared" si="82"/>
        <v>10</v>
      </c>
      <c r="Z120" s="471">
        <f t="shared" si="83"/>
        <v>18</v>
      </c>
      <c r="AI120" s="310" t="str">
        <v>Ethernet (20Mbps)</v>
      </c>
      <c r="AK120" s="472">
        <v>0</v>
      </c>
      <c r="AL120" s="472">
        <v>1.1100000000000001</v>
      </c>
      <c r="AM120" s="472">
        <v>0</v>
      </c>
      <c r="AN120" s="472">
        <v>6.09</v>
      </c>
      <c r="AO120" s="472">
        <v>18.75</v>
      </c>
      <c r="AP120" s="472">
        <v>35.340000000000003</v>
      </c>
    </row>
    <row r="121" spans="3:42" s="299" customFormat="1">
      <c r="C121" s="310" t="str">
        <v>Ethernet (30Mbps)</v>
      </c>
      <c r="E121" s="471">
        <v>0</v>
      </c>
      <c r="F121" s="471">
        <v>-0.22999999999999998</v>
      </c>
      <c r="G121" s="471">
        <v>0</v>
      </c>
      <c r="H121" s="471">
        <v>3</v>
      </c>
      <c r="I121" s="471">
        <v>2.5700000000000003</v>
      </c>
      <c r="J121" s="471">
        <v>6.91</v>
      </c>
      <c r="R121" s="469">
        <v>0.5</v>
      </c>
      <c r="S121" s="310" t="str">
        <v>Ethernet (30Mbps)</v>
      </c>
      <c r="U121" s="471">
        <f t="shared" si="78"/>
        <v>0</v>
      </c>
      <c r="V121" s="471">
        <f t="shared" si="79"/>
        <v>1</v>
      </c>
      <c r="W121" s="471">
        <f t="shared" si="80"/>
        <v>0</v>
      </c>
      <c r="X121" s="471">
        <f t="shared" si="81"/>
        <v>3</v>
      </c>
      <c r="Y121" s="471">
        <f t="shared" si="82"/>
        <v>4</v>
      </c>
      <c r="Z121" s="471">
        <f t="shared" si="83"/>
        <v>7</v>
      </c>
      <c r="AI121" s="310" t="str">
        <v>Ethernet (30Mbps)</v>
      </c>
      <c r="AK121" s="472">
        <v>0</v>
      </c>
      <c r="AL121" s="472">
        <v>0.77</v>
      </c>
      <c r="AM121" s="472">
        <v>0</v>
      </c>
      <c r="AN121" s="472">
        <v>6</v>
      </c>
      <c r="AO121" s="472">
        <v>6.57</v>
      </c>
      <c r="AP121" s="472">
        <v>13.91</v>
      </c>
    </row>
    <row r="122" spans="3:42" s="299" customFormat="1">
      <c r="C122" s="310" t="str">
        <v>Ethernet (40Mbps)</v>
      </c>
      <c r="E122" s="471">
        <v>0.8</v>
      </c>
      <c r="F122" s="471">
        <v>1.5699999999999998</v>
      </c>
      <c r="G122" s="471">
        <v>1.2800000000000002</v>
      </c>
      <c r="H122" s="471">
        <v>2.4500000000000002</v>
      </c>
      <c r="I122" s="471">
        <v>2.9599999999999991</v>
      </c>
      <c r="J122" s="471">
        <v>5.75</v>
      </c>
      <c r="R122" s="469">
        <v>0.5</v>
      </c>
      <c r="S122" s="310" t="str">
        <v>Ethernet (40Mbps)</v>
      </c>
      <c r="U122" s="471">
        <f t="shared" si="78"/>
        <v>1</v>
      </c>
      <c r="V122" s="471">
        <f t="shared" si="79"/>
        <v>2</v>
      </c>
      <c r="W122" s="471">
        <f t="shared" si="80"/>
        <v>3</v>
      </c>
      <c r="X122" s="471">
        <f t="shared" si="81"/>
        <v>3</v>
      </c>
      <c r="Y122" s="471">
        <f t="shared" si="82"/>
        <v>4</v>
      </c>
      <c r="Z122" s="471">
        <f t="shared" si="83"/>
        <v>7</v>
      </c>
      <c r="AI122" s="310" t="str">
        <v>Ethernet (40Mbps)</v>
      </c>
      <c r="AK122" s="472">
        <v>1.8</v>
      </c>
      <c r="AL122" s="472">
        <v>3.57</v>
      </c>
      <c r="AM122" s="472">
        <v>4.28</v>
      </c>
      <c r="AN122" s="472">
        <v>5.45</v>
      </c>
      <c r="AO122" s="472">
        <v>6.9599999999999991</v>
      </c>
      <c r="AP122" s="472">
        <v>12.75</v>
      </c>
    </row>
    <row r="123" spans="3:42" s="299" customFormat="1">
      <c r="C123" s="310" t="str">
        <v>Ethernet (50Mbps)</v>
      </c>
      <c r="E123" s="471">
        <v>0</v>
      </c>
      <c r="F123" s="471">
        <v>0.18999999999999995</v>
      </c>
      <c r="G123" s="471">
        <v>0.60000000000000009</v>
      </c>
      <c r="H123" s="471">
        <v>0.16000000000000014</v>
      </c>
      <c r="I123" s="471">
        <v>1.5600000000000005</v>
      </c>
      <c r="J123" s="471">
        <v>4.0800000000000018</v>
      </c>
      <c r="R123" s="469">
        <v>0.5</v>
      </c>
      <c r="S123" s="310" t="str">
        <v>Ethernet (50Mbps)</v>
      </c>
      <c r="U123" s="471">
        <f t="shared" si="78"/>
        <v>0</v>
      </c>
      <c r="V123" s="471">
        <f t="shared" si="79"/>
        <v>1</v>
      </c>
      <c r="W123" s="471">
        <f t="shared" si="80"/>
        <v>2</v>
      </c>
      <c r="X123" s="471">
        <f t="shared" si="81"/>
        <v>2</v>
      </c>
      <c r="Y123" s="471">
        <f t="shared" si="82"/>
        <v>3</v>
      </c>
      <c r="Z123" s="471">
        <f t="shared" si="83"/>
        <v>6</v>
      </c>
      <c r="AI123" s="310" t="str">
        <v>Ethernet (50Mbps)</v>
      </c>
      <c r="AK123" s="472">
        <v>0</v>
      </c>
      <c r="AL123" s="472">
        <v>1.19</v>
      </c>
      <c r="AM123" s="472">
        <v>2.6</v>
      </c>
      <c r="AN123" s="472">
        <v>2.16</v>
      </c>
      <c r="AO123" s="472">
        <v>4.5600000000000005</v>
      </c>
      <c r="AP123" s="472">
        <v>10.080000000000002</v>
      </c>
    </row>
    <row r="124" spans="3:42" s="299" customFormat="1">
      <c r="C124" s="310" t="str">
        <v>Ethernet (60Mbps)</v>
      </c>
      <c r="E124" s="471">
        <v>0</v>
      </c>
      <c r="F124" s="471">
        <v>0</v>
      </c>
      <c r="G124" s="471">
        <v>0</v>
      </c>
      <c r="H124" s="471">
        <v>0.28000000000000003</v>
      </c>
      <c r="I124" s="471">
        <v>0</v>
      </c>
      <c r="J124" s="471">
        <v>0</v>
      </c>
      <c r="R124" s="469">
        <v>0.5</v>
      </c>
      <c r="S124" s="310" t="str">
        <v>Ethernet (60Mbps)</v>
      </c>
      <c r="U124" s="471">
        <f t="shared" si="78"/>
        <v>0</v>
      </c>
      <c r="V124" s="471">
        <f t="shared" si="79"/>
        <v>0</v>
      </c>
      <c r="W124" s="471">
        <f t="shared" si="80"/>
        <v>0</v>
      </c>
      <c r="X124" s="471">
        <f t="shared" si="81"/>
        <v>1</v>
      </c>
      <c r="Y124" s="471">
        <f t="shared" si="82"/>
        <v>0</v>
      </c>
      <c r="Z124" s="471">
        <f t="shared" si="83"/>
        <v>0</v>
      </c>
      <c r="AI124" s="310" t="str">
        <v>Ethernet (60Mbps)</v>
      </c>
      <c r="AK124" s="472">
        <v>0</v>
      </c>
      <c r="AL124" s="472">
        <v>0</v>
      </c>
      <c r="AM124" s="472">
        <v>0</v>
      </c>
      <c r="AN124" s="472">
        <v>1.28</v>
      </c>
      <c r="AO124" s="472">
        <v>0</v>
      </c>
      <c r="AP124" s="472">
        <v>0</v>
      </c>
    </row>
    <row r="125" spans="3:42" s="299" customFormat="1">
      <c r="C125" s="310" t="str">
        <v>Ethernet (70Mbps)</v>
      </c>
      <c r="E125" s="471">
        <v>0</v>
      </c>
      <c r="F125" s="471">
        <v>0</v>
      </c>
      <c r="G125" s="471">
        <v>0</v>
      </c>
      <c r="H125" s="471">
        <v>4.0000000000000036E-2</v>
      </c>
      <c r="I125" s="471">
        <v>0.14999999999999991</v>
      </c>
      <c r="J125" s="471">
        <v>0.14999999999999991</v>
      </c>
      <c r="R125" s="469">
        <v>0.5</v>
      </c>
      <c r="S125" s="310" t="str">
        <v>Ethernet (70Mbps)</v>
      </c>
      <c r="U125" s="471">
        <f t="shared" si="78"/>
        <v>0</v>
      </c>
      <c r="V125" s="471">
        <f t="shared" si="79"/>
        <v>0</v>
      </c>
      <c r="W125" s="471">
        <f t="shared" si="80"/>
        <v>0</v>
      </c>
      <c r="X125" s="471">
        <f t="shared" si="81"/>
        <v>1</v>
      </c>
      <c r="Y125" s="471">
        <f t="shared" si="82"/>
        <v>1</v>
      </c>
      <c r="Z125" s="471">
        <f t="shared" si="83"/>
        <v>1</v>
      </c>
      <c r="AI125" s="310" t="str">
        <v>Ethernet (70Mbps)</v>
      </c>
      <c r="AK125" s="472">
        <v>0</v>
      </c>
      <c r="AL125" s="472">
        <v>0</v>
      </c>
      <c r="AM125" s="472">
        <v>0</v>
      </c>
      <c r="AN125" s="472">
        <v>1.04</v>
      </c>
      <c r="AO125" s="472">
        <v>1.1499999999999999</v>
      </c>
      <c r="AP125" s="472">
        <v>1.1499999999999999</v>
      </c>
    </row>
    <row r="126" spans="3:42" s="299" customFormat="1">
      <c r="C126" s="310" t="str">
        <v>Ethernet (80Mbps)</v>
      </c>
      <c r="E126" s="471">
        <v>0</v>
      </c>
      <c r="F126" s="471">
        <v>0</v>
      </c>
      <c r="G126" s="471">
        <v>0</v>
      </c>
      <c r="H126" s="471">
        <v>0</v>
      </c>
      <c r="I126" s="471">
        <v>0</v>
      </c>
      <c r="J126" s="471">
        <v>0</v>
      </c>
      <c r="R126" s="469">
        <v>0.5</v>
      </c>
      <c r="S126" s="310" t="str">
        <v>Ethernet (80Mbps)</v>
      </c>
      <c r="U126" s="471">
        <f t="shared" si="78"/>
        <v>0</v>
      </c>
      <c r="V126" s="471">
        <f t="shared" si="79"/>
        <v>0</v>
      </c>
      <c r="W126" s="471">
        <f t="shared" si="80"/>
        <v>0</v>
      </c>
      <c r="X126" s="471">
        <f t="shared" si="81"/>
        <v>0</v>
      </c>
      <c r="Y126" s="471">
        <f t="shared" si="82"/>
        <v>0</v>
      </c>
      <c r="Z126" s="471">
        <f t="shared" si="83"/>
        <v>0</v>
      </c>
      <c r="AI126" s="310" t="str">
        <v>Ethernet (80Mbps)</v>
      </c>
      <c r="AK126" s="472">
        <v>0</v>
      </c>
      <c r="AL126" s="472">
        <v>0</v>
      </c>
      <c r="AM126" s="472">
        <v>0</v>
      </c>
      <c r="AN126" s="472">
        <v>0</v>
      </c>
      <c r="AO126" s="472">
        <v>0</v>
      </c>
      <c r="AP126" s="472">
        <v>0</v>
      </c>
    </row>
    <row r="127" spans="3:42" s="299" customFormat="1">
      <c r="C127" s="310" t="str">
        <v>Ethernet (90Mbps)</v>
      </c>
      <c r="E127" s="471">
        <v>0</v>
      </c>
      <c r="F127" s="471">
        <v>0</v>
      </c>
      <c r="G127" s="471">
        <v>0</v>
      </c>
      <c r="H127" s="471">
        <v>0</v>
      </c>
      <c r="I127" s="471">
        <v>0</v>
      </c>
      <c r="J127" s="471">
        <v>0</v>
      </c>
      <c r="R127" s="469">
        <v>0.5</v>
      </c>
      <c r="S127" s="310" t="str">
        <v>Ethernet (90Mbps)</v>
      </c>
      <c r="U127" s="471">
        <f t="shared" si="78"/>
        <v>0</v>
      </c>
      <c r="V127" s="471">
        <f t="shared" si="79"/>
        <v>0</v>
      </c>
      <c r="W127" s="471">
        <f t="shared" si="80"/>
        <v>0</v>
      </c>
      <c r="X127" s="471">
        <f t="shared" si="81"/>
        <v>0</v>
      </c>
      <c r="Y127" s="471">
        <f t="shared" si="82"/>
        <v>0</v>
      </c>
      <c r="Z127" s="471">
        <f t="shared" si="83"/>
        <v>0</v>
      </c>
      <c r="AI127" s="310" t="str">
        <v>Ethernet (90Mbps)</v>
      </c>
      <c r="AK127" s="472">
        <v>0</v>
      </c>
      <c r="AL127" s="472">
        <v>0</v>
      </c>
      <c r="AM127" s="472">
        <v>0</v>
      </c>
      <c r="AN127" s="472">
        <v>0</v>
      </c>
      <c r="AO127" s="472">
        <v>0</v>
      </c>
      <c r="AP127" s="472">
        <v>0</v>
      </c>
    </row>
    <row r="128" spans="3:42" s="299" customFormat="1">
      <c r="C128" s="310" t="str">
        <v>GigaEthernet (100Mbps)</v>
      </c>
      <c r="E128" s="471">
        <v>0</v>
      </c>
      <c r="F128" s="471">
        <v>0</v>
      </c>
      <c r="G128" s="471">
        <v>0</v>
      </c>
      <c r="H128" s="471">
        <v>0</v>
      </c>
      <c r="I128" s="471">
        <v>0</v>
      </c>
      <c r="J128" s="471">
        <v>0</v>
      </c>
      <c r="S128" s="310" t="str">
        <v>GigaEthernet (100Mbps)</v>
      </c>
      <c r="U128" s="472">
        <f t="shared" ref="U128:U140" si="84">AK128</f>
        <v>0</v>
      </c>
      <c r="V128" s="472">
        <f t="shared" ref="V128:V140" si="85">AL128</f>
        <v>0</v>
      </c>
      <c r="W128" s="472">
        <f t="shared" ref="W128:W140" si="86">AM128</f>
        <v>0.92</v>
      </c>
      <c r="X128" s="472">
        <f t="shared" ref="X128:X140" si="87">AN128</f>
        <v>3.72</v>
      </c>
      <c r="Y128" s="472">
        <f t="shared" ref="Y128:Y140" si="88">AO128</f>
        <v>3.33</v>
      </c>
      <c r="Z128" s="472">
        <f t="shared" ref="Z128:Z140" si="89">AP128</f>
        <v>5.5500000000000007</v>
      </c>
      <c r="AI128" s="310" t="str">
        <v>GigaEthernet (100Mbps)</v>
      </c>
      <c r="AK128" s="472">
        <v>0</v>
      </c>
      <c r="AL128" s="472">
        <v>0</v>
      </c>
      <c r="AM128" s="472">
        <v>0.92</v>
      </c>
      <c r="AN128" s="472">
        <v>3.72</v>
      </c>
      <c r="AO128" s="472">
        <v>3.33</v>
      </c>
      <c r="AP128" s="472">
        <v>5.5500000000000007</v>
      </c>
    </row>
    <row r="129" spans="3:48" s="299" customFormat="1">
      <c r="C129" s="310" t="str">
        <v>GigaEthernet (150Mbps)</v>
      </c>
      <c r="E129" s="471">
        <v>0</v>
      </c>
      <c r="F129" s="471">
        <v>0</v>
      </c>
      <c r="G129" s="471">
        <v>0</v>
      </c>
      <c r="H129" s="471">
        <v>0</v>
      </c>
      <c r="I129" s="471">
        <v>0</v>
      </c>
      <c r="J129" s="471">
        <v>0</v>
      </c>
      <c r="S129" s="310" t="str">
        <v>GigaEthernet (150Mbps)</v>
      </c>
      <c r="U129" s="472">
        <f t="shared" si="84"/>
        <v>3</v>
      </c>
      <c r="V129" s="472">
        <f t="shared" si="85"/>
        <v>2.84</v>
      </c>
      <c r="W129" s="472">
        <f t="shared" si="86"/>
        <v>3.24</v>
      </c>
      <c r="X129" s="472">
        <f t="shared" si="87"/>
        <v>4.8</v>
      </c>
      <c r="Y129" s="472">
        <f t="shared" si="88"/>
        <v>4.76</v>
      </c>
      <c r="Z129" s="472">
        <f t="shared" si="89"/>
        <v>3.68</v>
      </c>
      <c r="AI129" s="310" t="str">
        <v>GigaEthernet (150Mbps)</v>
      </c>
      <c r="AK129" s="472">
        <v>3</v>
      </c>
      <c r="AL129" s="472">
        <v>2.84</v>
      </c>
      <c r="AM129" s="472">
        <v>3.24</v>
      </c>
      <c r="AN129" s="472">
        <v>4.8</v>
      </c>
      <c r="AO129" s="472">
        <v>4.76</v>
      </c>
      <c r="AP129" s="472">
        <v>3.68</v>
      </c>
    </row>
    <row r="130" spans="3:48" s="299" customFormat="1">
      <c r="C130" s="310" t="str">
        <v>GigaEthernet (200Mbps)</v>
      </c>
      <c r="E130" s="471">
        <v>0</v>
      </c>
      <c r="F130" s="471">
        <v>0</v>
      </c>
      <c r="G130" s="471">
        <v>0</v>
      </c>
      <c r="H130" s="471">
        <v>0</v>
      </c>
      <c r="I130" s="471">
        <v>0</v>
      </c>
      <c r="J130" s="471">
        <v>0</v>
      </c>
      <c r="S130" s="310" t="str">
        <v>GigaEthernet (200Mbps)</v>
      </c>
      <c r="U130" s="472">
        <f t="shared" si="84"/>
        <v>0</v>
      </c>
      <c r="V130" s="472">
        <f t="shared" si="85"/>
        <v>0</v>
      </c>
      <c r="W130" s="472">
        <f t="shared" si="86"/>
        <v>0</v>
      </c>
      <c r="X130" s="472">
        <f t="shared" si="87"/>
        <v>0</v>
      </c>
      <c r="Y130" s="472">
        <f t="shared" si="88"/>
        <v>2.2000000000000002</v>
      </c>
      <c r="Z130" s="472">
        <f t="shared" si="89"/>
        <v>1</v>
      </c>
      <c r="AI130" s="310" t="str">
        <v>GigaEthernet (200Mbps)</v>
      </c>
      <c r="AK130" s="472">
        <v>0</v>
      </c>
      <c r="AL130" s="472">
        <v>0</v>
      </c>
      <c r="AM130" s="472">
        <v>0</v>
      </c>
      <c r="AN130" s="472">
        <v>0</v>
      </c>
      <c r="AO130" s="472">
        <v>2.2000000000000002</v>
      </c>
      <c r="AP130" s="472">
        <v>1</v>
      </c>
    </row>
    <row r="131" spans="3:48" s="299" customFormat="1">
      <c r="C131" s="310" t="str">
        <v>GigaEthernet (250Mbps)</v>
      </c>
      <c r="E131" s="471">
        <v>0</v>
      </c>
      <c r="F131" s="471">
        <v>0</v>
      </c>
      <c r="G131" s="471">
        <v>0</v>
      </c>
      <c r="H131" s="471">
        <v>0</v>
      </c>
      <c r="I131" s="471">
        <v>0</v>
      </c>
      <c r="J131" s="471">
        <v>0</v>
      </c>
      <c r="S131" s="310" t="str">
        <v>GigaEthernet (250Mbps)</v>
      </c>
      <c r="U131" s="472">
        <f t="shared" si="84"/>
        <v>0</v>
      </c>
      <c r="V131" s="472">
        <f t="shared" si="85"/>
        <v>0</v>
      </c>
      <c r="W131" s="472">
        <f t="shared" si="86"/>
        <v>0</v>
      </c>
      <c r="X131" s="472">
        <f t="shared" si="87"/>
        <v>0</v>
      </c>
      <c r="Y131" s="472">
        <f t="shared" si="88"/>
        <v>0</v>
      </c>
      <c r="Z131" s="472">
        <f t="shared" si="89"/>
        <v>0.87</v>
      </c>
      <c r="AI131" s="310" t="str">
        <v>GigaEthernet (250Mbps)</v>
      </c>
      <c r="AK131" s="472">
        <v>0</v>
      </c>
      <c r="AL131" s="472">
        <v>0</v>
      </c>
      <c r="AM131" s="472">
        <v>0</v>
      </c>
      <c r="AN131" s="472">
        <v>0</v>
      </c>
      <c r="AO131" s="472">
        <v>0</v>
      </c>
      <c r="AP131" s="472">
        <v>0.87</v>
      </c>
    </row>
    <row r="132" spans="3:48" s="299" customFormat="1">
      <c r="C132" s="310" t="str">
        <v>GigaEthernet (300Mbps)</v>
      </c>
      <c r="E132" s="471">
        <v>0</v>
      </c>
      <c r="F132" s="471">
        <v>0</v>
      </c>
      <c r="G132" s="471">
        <v>0</v>
      </c>
      <c r="H132" s="471">
        <v>0</v>
      </c>
      <c r="I132" s="471">
        <v>0</v>
      </c>
      <c r="J132" s="471">
        <v>0</v>
      </c>
      <c r="S132" s="310" t="str">
        <v>GigaEthernet (300Mbps)</v>
      </c>
      <c r="U132" s="472">
        <f t="shared" si="84"/>
        <v>0</v>
      </c>
      <c r="V132" s="472">
        <f t="shared" si="85"/>
        <v>0</v>
      </c>
      <c r="W132" s="472">
        <f t="shared" si="86"/>
        <v>0</v>
      </c>
      <c r="X132" s="472">
        <f t="shared" si="87"/>
        <v>0</v>
      </c>
      <c r="Y132" s="472">
        <f t="shared" si="88"/>
        <v>0</v>
      </c>
      <c r="Z132" s="472">
        <f t="shared" si="89"/>
        <v>0</v>
      </c>
      <c r="AI132" s="310" t="str">
        <v>GigaEthernet (300Mbps)</v>
      </c>
      <c r="AK132" s="472">
        <v>0</v>
      </c>
      <c r="AL132" s="472">
        <v>0</v>
      </c>
      <c r="AM132" s="472">
        <v>0</v>
      </c>
      <c r="AN132" s="472">
        <v>0</v>
      </c>
      <c r="AO132" s="472">
        <v>0</v>
      </c>
      <c r="AP132" s="472">
        <v>0</v>
      </c>
    </row>
    <row r="133" spans="3:48" s="299" customFormat="1">
      <c r="C133" s="310" t="str">
        <v>GigaEthernet (350Mbps)</v>
      </c>
      <c r="E133" s="471">
        <v>0</v>
      </c>
      <c r="F133" s="471">
        <v>0</v>
      </c>
      <c r="G133" s="471">
        <v>0</v>
      </c>
      <c r="H133" s="471">
        <v>0</v>
      </c>
      <c r="I133" s="471">
        <v>0</v>
      </c>
      <c r="J133" s="471">
        <v>0</v>
      </c>
      <c r="S133" s="310" t="str">
        <v>GigaEthernet (350Mbps)</v>
      </c>
      <c r="U133" s="472">
        <f t="shared" si="84"/>
        <v>0</v>
      </c>
      <c r="V133" s="472">
        <f t="shared" si="85"/>
        <v>0</v>
      </c>
      <c r="W133" s="472">
        <f t="shared" si="86"/>
        <v>0</v>
      </c>
      <c r="X133" s="472">
        <f t="shared" si="87"/>
        <v>0</v>
      </c>
      <c r="Y133" s="472">
        <f t="shared" si="88"/>
        <v>0</v>
      </c>
      <c r="Z133" s="472">
        <f t="shared" si="89"/>
        <v>0</v>
      </c>
      <c r="AI133" s="310" t="str">
        <v>GigaEthernet (350Mbps)</v>
      </c>
      <c r="AK133" s="472">
        <v>0</v>
      </c>
      <c r="AL133" s="472">
        <v>0</v>
      </c>
      <c r="AM133" s="472">
        <v>0</v>
      </c>
      <c r="AN133" s="472">
        <v>0</v>
      </c>
      <c r="AO133" s="472">
        <v>0</v>
      </c>
      <c r="AP133" s="472">
        <v>0</v>
      </c>
    </row>
    <row r="134" spans="3:48" s="299" customFormat="1">
      <c r="C134" s="310" t="str">
        <v>GigaEthernet (400Mbps)</v>
      </c>
      <c r="E134" s="471">
        <v>0</v>
      </c>
      <c r="F134" s="471">
        <v>0</v>
      </c>
      <c r="G134" s="471">
        <v>0</v>
      </c>
      <c r="H134" s="471">
        <v>0</v>
      </c>
      <c r="I134" s="471">
        <v>0</v>
      </c>
      <c r="J134" s="471">
        <v>0</v>
      </c>
      <c r="S134" s="310" t="str">
        <v>GigaEthernet (400Mbps)</v>
      </c>
      <c r="U134" s="472">
        <f t="shared" si="84"/>
        <v>0</v>
      </c>
      <c r="V134" s="472">
        <f t="shared" si="85"/>
        <v>0</v>
      </c>
      <c r="W134" s="472">
        <f t="shared" si="86"/>
        <v>0</v>
      </c>
      <c r="X134" s="472">
        <f t="shared" si="87"/>
        <v>0</v>
      </c>
      <c r="Y134" s="472">
        <f t="shared" si="88"/>
        <v>0</v>
      </c>
      <c r="Z134" s="472">
        <f t="shared" si="89"/>
        <v>0</v>
      </c>
      <c r="AI134" s="310" t="str">
        <v>GigaEthernet (400Mbps)</v>
      </c>
      <c r="AK134" s="472">
        <v>0</v>
      </c>
      <c r="AL134" s="472">
        <v>0</v>
      </c>
      <c r="AM134" s="472">
        <v>0</v>
      </c>
      <c r="AN134" s="472">
        <v>0</v>
      </c>
      <c r="AO134" s="472">
        <v>0</v>
      </c>
      <c r="AP134" s="472">
        <v>0</v>
      </c>
    </row>
    <row r="135" spans="3:48" s="299" customFormat="1">
      <c r="C135" s="310" t="str">
        <v>GigaEthernet (450Mbps)</v>
      </c>
      <c r="E135" s="471">
        <v>0</v>
      </c>
      <c r="F135" s="471">
        <v>0</v>
      </c>
      <c r="G135" s="471">
        <v>0</v>
      </c>
      <c r="H135" s="471">
        <v>0</v>
      </c>
      <c r="I135" s="471">
        <v>0</v>
      </c>
      <c r="J135" s="471">
        <v>0</v>
      </c>
      <c r="S135" s="310" t="str">
        <v>GigaEthernet (450Mbps)</v>
      </c>
      <c r="U135" s="472">
        <f t="shared" si="84"/>
        <v>0</v>
      </c>
      <c r="V135" s="472">
        <f t="shared" si="85"/>
        <v>0</v>
      </c>
      <c r="W135" s="472">
        <f t="shared" si="86"/>
        <v>0</v>
      </c>
      <c r="X135" s="472">
        <f t="shared" si="87"/>
        <v>0</v>
      </c>
      <c r="Y135" s="472">
        <f t="shared" si="88"/>
        <v>0</v>
      </c>
      <c r="Z135" s="472">
        <f t="shared" si="89"/>
        <v>0</v>
      </c>
      <c r="AI135" s="310" t="str">
        <v>GigaEthernet (450Mbps)</v>
      </c>
      <c r="AK135" s="472">
        <v>0</v>
      </c>
      <c r="AL135" s="472">
        <v>0</v>
      </c>
      <c r="AM135" s="472">
        <v>0</v>
      </c>
      <c r="AN135" s="472">
        <v>0</v>
      </c>
      <c r="AO135" s="472">
        <v>0</v>
      </c>
      <c r="AP135" s="472">
        <v>0</v>
      </c>
    </row>
    <row r="136" spans="3:48" s="299" customFormat="1">
      <c r="C136" s="310" t="str">
        <v>GigaEthernet (500Mbps)</v>
      </c>
      <c r="E136" s="471">
        <v>0</v>
      </c>
      <c r="F136" s="471">
        <v>0</v>
      </c>
      <c r="G136" s="471">
        <v>0</v>
      </c>
      <c r="H136" s="471">
        <v>0</v>
      </c>
      <c r="I136" s="471">
        <v>0</v>
      </c>
      <c r="J136" s="471">
        <v>0</v>
      </c>
      <c r="S136" s="310" t="str">
        <v>GigaEthernet (500Mbps)</v>
      </c>
      <c r="U136" s="472">
        <f t="shared" si="84"/>
        <v>0</v>
      </c>
      <c r="V136" s="472">
        <f t="shared" si="85"/>
        <v>0</v>
      </c>
      <c r="W136" s="472">
        <f t="shared" si="86"/>
        <v>0</v>
      </c>
      <c r="X136" s="472">
        <f t="shared" si="87"/>
        <v>0</v>
      </c>
      <c r="Y136" s="472">
        <f t="shared" si="88"/>
        <v>0</v>
      </c>
      <c r="Z136" s="472">
        <f t="shared" si="89"/>
        <v>0</v>
      </c>
      <c r="AI136" s="310" t="str">
        <v>GigaEthernet (500Mbps)</v>
      </c>
      <c r="AK136" s="472">
        <v>0</v>
      </c>
      <c r="AL136" s="472">
        <v>0</v>
      </c>
      <c r="AM136" s="472">
        <v>0</v>
      </c>
      <c r="AN136" s="472">
        <v>0</v>
      </c>
      <c r="AO136" s="472">
        <v>0</v>
      </c>
      <c r="AP136" s="472">
        <v>0</v>
      </c>
    </row>
    <row r="137" spans="3:48" s="299" customFormat="1">
      <c r="C137" s="310" t="str">
        <v>GigaEthernet (550Mbps)</v>
      </c>
      <c r="E137" s="471">
        <v>0</v>
      </c>
      <c r="F137" s="471">
        <v>0</v>
      </c>
      <c r="G137" s="471">
        <v>0</v>
      </c>
      <c r="H137" s="471">
        <v>0</v>
      </c>
      <c r="I137" s="471">
        <v>0</v>
      </c>
      <c r="J137" s="471">
        <v>0</v>
      </c>
      <c r="S137" s="310" t="str">
        <v>GigaEthernet (550Mbps)</v>
      </c>
      <c r="U137" s="472">
        <f t="shared" si="84"/>
        <v>0</v>
      </c>
      <c r="V137" s="472">
        <f t="shared" si="85"/>
        <v>0</v>
      </c>
      <c r="W137" s="472">
        <f t="shared" si="86"/>
        <v>0</v>
      </c>
      <c r="X137" s="472">
        <f t="shared" si="87"/>
        <v>0</v>
      </c>
      <c r="Y137" s="472">
        <f t="shared" si="88"/>
        <v>0</v>
      </c>
      <c r="Z137" s="472">
        <f t="shared" si="89"/>
        <v>0</v>
      </c>
      <c r="AI137" s="310" t="str">
        <v>GigaEthernet (550Mbps)</v>
      </c>
      <c r="AK137" s="472">
        <v>0</v>
      </c>
      <c r="AL137" s="472">
        <v>0</v>
      </c>
      <c r="AM137" s="472">
        <v>0</v>
      </c>
      <c r="AN137" s="472">
        <v>0</v>
      </c>
      <c r="AO137" s="472">
        <v>0</v>
      </c>
      <c r="AP137" s="472">
        <v>0</v>
      </c>
    </row>
    <row r="138" spans="3:48" s="299" customFormat="1">
      <c r="C138" s="310" t="str">
        <v>GigaEthernet (600Mbps)</v>
      </c>
      <c r="E138" s="471">
        <v>0</v>
      </c>
      <c r="F138" s="471">
        <v>0</v>
      </c>
      <c r="G138" s="471">
        <v>0</v>
      </c>
      <c r="H138" s="471">
        <v>0</v>
      </c>
      <c r="I138" s="471">
        <v>0</v>
      </c>
      <c r="J138" s="471">
        <v>0</v>
      </c>
      <c r="S138" s="310" t="str">
        <v>GigaEthernet (600Mbps)</v>
      </c>
      <c r="U138" s="472">
        <f t="shared" si="84"/>
        <v>0</v>
      </c>
      <c r="V138" s="472">
        <f t="shared" si="85"/>
        <v>0</v>
      </c>
      <c r="W138" s="472">
        <f t="shared" si="86"/>
        <v>0</v>
      </c>
      <c r="X138" s="472">
        <f t="shared" si="87"/>
        <v>0</v>
      </c>
      <c r="Y138" s="472">
        <f t="shared" si="88"/>
        <v>0</v>
      </c>
      <c r="Z138" s="472">
        <f t="shared" si="89"/>
        <v>0</v>
      </c>
      <c r="AI138" s="310" t="str">
        <v>GigaEthernet (600Mbps)</v>
      </c>
      <c r="AK138" s="472">
        <v>0</v>
      </c>
      <c r="AL138" s="472">
        <v>0</v>
      </c>
      <c r="AM138" s="472">
        <v>0</v>
      </c>
      <c r="AN138" s="472">
        <v>0</v>
      </c>
      <c r="AO138" s="472">
        <v>0</v>
      </c>
      <c r="AP138" s="472">
        <v>0</v>
      </c>
    </row>
    <row r="139" spans="3:48" s="299" customFormat="1">
      <c r="C139" s="310" t="str">
        <v>GigaEthernet (750Mbps)</v>
      </c>
      <c r="E139" s="471">
        <v>0</v>
      </c>
      <c r="F139" s="471">
        <v>0</v>
      </c>
      <c r="G139" s="471">
        <v>0</v>
      </c>
      <c r="H139" s="471">
        <v>0</v>
      </c>
      <c r="I139" s="471">
        <v>0</v>
      </c>
      <c r="J139" s="471">
        <v>0</v>
      </c>
      <c r="S139" s="310" t="str">
        <v>GigaEthernet (750Mbps)</v>
      </c>
      <c r="U139" s="472">
        <f t="shared" si="84"/>
        <v>0</v>
      </c>
      <c r="V139" s="472">
        <f t="shared" si="85"/>
        <v>0</v>
      </c>
      <c r="W139" s="472">
        <f t="shared" si="86"/>
        <v>0</v>
      </c>
      <c r="X139" s="472">
        <f t="shared" si="87"/>
        <v>0</v>
      </c>
      <c r="Y139" s="472">
        <f t="shared" si="88"/>
        <v>0</v>
      </c>
      <c r="Z139" s="472">
        <f t="shared" si="89"/>
        <v>0</v>
      </c>
      <c r="AI139" s="310" t="str">
        <v>GigaEthernet (750Mbps)</v>
      </c>
      <c r="AK139" s="472">
        <v>0</v>
      </c>
      <c r="AL139" s="472">
        <v>0</v>
      </c>
      <c r="AM139" s="472">
        <v>0</v>
      </c>
      <c r="AN139" s="472">
        <v>0</v>
      </c>
      <c r="AO139" s="472">
        <v>0</v>
      </c>
      <c r="AP139" s="472">
        <v>0</v>
      </c>
    </row>
    <row r="140" spans="3:48" s="299" customFormat="1">
      <c r="C140" s="310" t="str">
        <v>GigaEthernet (1 Gbps)</v>
      </c>
      <c r="E140" s="471">
        <v>0</v>
      </c>
      <c r="F140" s="471">
        <v>0</v>
      </c>
      <c r="G140" s="471">
        <v>0</v>
      </c>
      <c r="H140" s="471">
        <v>0</v>
      </c>
      <c r="I140" s="471">
        <v>0</v>
      </c>
      <c r="J140" s="471">
        <v>0</v>
      </c>
      <c r="S140" s="310" t="str">
        <v>GigaEthernet (1 Gbps)</v>
      </c>
      <c r="U140" s="472">
        <f t="shared" si="84"/>
        <v>0</v>
      </c>
      <c r="V140" s="472">
        <f t="shared" si="85"/>
        <v>0</v>
      </c>
      <c r="W140" s="472">
        <f t="shared" si="86"/>
        <v>0</v>
      </c>
      <c r="X140" s="472">
        <f t="shared" si="87"/>
        <v>0</v>
      </c>
      <c r="Y140" s="472">
        <f t="shared" si="88"/>
        <v>0</v>
      </c>
      <c r="Z140" s="472">
        <f t="shared" si="89"/>
        <v>0</v>
      </c>
      <c r="AI140" s="310" t="str">
        <v>GigaEthernet (1 Gbps)</v>
      </c>
      <c r="AK140" s="472">
        <v>0</v>
      </c>
      <c r="AL140" s="472">
        <v>0</v>
      </c>
      <c r="AM140" s="472">
        <v>0</v>
      </c>
      <c r="AN140" s="472">
        <v>0</v>
      </c>
      <c r="AO140" s="472">
        <v>0</v>
      </c>
      <c r="AP140" s="472">
        <v>0</v>
      </c>
    </row>
    <row r="141" spans="3:48">
      <c r="K141" s="38" t="s">
        <v>577</v>
      </c>
      <c r="AA141" s="38" t="s">
        <v>584</v>
      </c>
      <c r="AH141" s="299"/>
      <c r="AI141" s="299"/>
      <c r="AJ141" s="299"/>
      <c r="AK141" s="299"/>
      <c r="AL141" s="299"/>
      <c r="AM141" s="299"/>
      <c r="AN141" s="299"/>
      <c r="AO141" s="299"/>
      <c r="AP141" s="299"/>
      <c r="AQ141" s="38" t="s">
        <v>591</v>
      </c>
      <c r="AR141" s="299"/>
      <c r="AS141" s="299"/>
      <c r="AT141" s="299"/>
      <c r="AU141" s="299"/>
      <c r="AV141" s="299"/>
    </row>
    <row r="142" spans="3:48">
      <c r="AH142" s="299"/>
      <c r="AI142" s="299"/>
      <c r="AJ142" s="299"/>
      <c r="AK142" s="299"/>
      <c r="AL142" s="299"/>
      <c r="AM142" s="299"/>
      <c r="AN142" s="299"/>
      <c r="AO142" s="299"/>
      <c r="AP142" s="299"/>
      <c r="AQ142" s="299"/>
      <c r="AR142" s="299"/>
      <c r="AS142" s="299"/>
      <c r="AT142" s="299"/>
      <c r="AU142" s="299"/>
      <c r="AV142" s="299"/>
    </row>
    <row r="143" spans="3:48" s="299" customFormat="1" ht="15.75" thickBot="1">
      <c r="C143" s="130" t="s">
        <v>488</v>
      </c>
      <c r="S143" s="130" t="s">
        <v>488</v>
      </c>
      <c r="AI143" s="130" t="s">
        <v>488</v>
      </c>
    </row>
    <row r="144" spans="3:48" s="299" customFormat="1" ht="15.75" thickBot="1">
      <c r="C144" s="130" t="s">
        <v>489</v>
      </c>
      <c r="D144" s="130"/>
      <c r="E144" s="130"/>
      <c r="F144" s="130"/>
      <c r="G144" s="130"/>
      <c r="H144" s="130"/>
      <c r="I144" s="130"/>
      <c r="J144" s="130"/>
      <c r="K144" s="130"/>
      <c r="L144" s="130"/>
      <c r="M144" s="130"/>
      <c r="N144" s="130"/>
      <c r="O144" s="130"/>
      <c r="P144" s="130"/>
      <c r="S144" s="130" t="s">
        <v>489</v>
      </c>
      <c r="T144" s="130"/>
      <c r="U144" s="130"/>
      <c r="V144" s="130"/>
      <c r="W144" s="130"/>
      <c r="X144" s="130"/>
      <c r="Y144" s="130"/>
      <c r="Z144" s="130"/>
      <c r="AA144" s="130"/>
      <c r="AB144" s="130"/>
      <c r="AC144" s="130"/>
      <c r="AD144" s="130"/>
      <c r="AE144" s="130"/>
      <c r="AF144" s="130"/>
      <c r="AI144" s="130" t="s">
        <v>489</v>
      </c>
      <c r="AJ144" s="130"/>
      <c r="AK144" s="130"/>
      <c r="AL144" s="130"/>
      <c r="AM144" s="130"/>
      <c r="AN144" s="130"/>
      <c r="AO144" s="130"/>
      <c r="AP144" s="130"/>
      <c r="AQ144" s="130"/>
      <c r="AR144" s="130"/>
      <c r="AS144" s="130"/>
      <c r="AT144" s="130"/>
      <c r="AU144" s="130"/>
      <c r="AV144" s="130"/>
    </row>
    <row r="145" spans="3:47" s="299" customFormat="1">
      <c r="S145" s="314" t="str">
        <f>Retail.leased.lines.proporcionados.option</f>
        <v>Supuesto 2</v>
      </c>
    </row>
    <row r="146" spans="3:47" s="299" customFormat="1">
      <c r="C146" s="325" t="s">
        <v>442</v>
      </c>
      <c r="D146" s="325">
        <f t="array" ref="D146:O146">TRANSPOSE(Years)</f>
        <v>2008</v>
      </c>
      <c r="E146" s="325">
        <v>2009</v>
      </c>
      <c r="F146" s="325">
        <v>2010</v>
      </c>
      <c r="G146" s="325">
        <v>2011</v>
      </c>
      <c r="H146" s="325">
        <v>2012</v>
      </c>
      <c r="I146" s="325">
        <v>2013</v>
      </c>
      <c r="J146" s="325">
        <v>2014</v>
      </c>
      <c r="K146" s="325">
        <v>2015</v>
      </c>
      <c r="L146" s="325">
        <v>2016</v>
      </c>
      <c r="M146" s="325">
        <v>2017</v>
      </c>
      <c r="N146" s="325">
        <v>2018</v>
      </c>
      <c r="O146" s="325">
        <v>2019</v>
      </c>
      <c r="S146" s="338" t="s">
        <v>442</v>
      </c>
      <c r="T146" s="338">
        <f t="array" ref="T146:AE146">TRANSPOSE(Years)</f>
        <v>2008</v>
      </c>
      <c r="U146" s="338">
        <v>2009</v>
      </c>
      <c r="V146" s="338">
        <v>2010</v>
      </c>
      <c r="W146" s="338">
        <v>2011</v>
      </c>
      <c r="X146" s="338">
        <v>2012</v>
      </c>
      <c r="Y146" s="338">
        <v>2013</v>
      </c>
      <c r="Z146" s="338">
        <v>2014</v>
      </c>
      <c r="AA146" s="338">
        <v>2015</v>
      </c>
      <c r="AB146" s="338">
        <v>2016</v>
      </c>
      <c r="AC146" s="338">
        <v>2017</v>
      </c>
      <c r="AD146" s="338">
        <v>2018</v>
      </c>
      <c r="AE146" s="338">
        <v>2019</v>
      </c>
      <c r="AI146" s="338" t="s">
        <v>442</v>
      </c>
      <c r="AJ146" s="338">
        <f t="array" ref="AJ146:AU146">TRANSPOSE(Years)</f>
        <v>2008</v>
      </c>
      <c r="AK146" s="338">
        <v>2009</v>
      </c>
      <c r="AL146" s="338">
        <v>2010</v>
      </c>
      <c r="AM146" s="338">
        <v>2011</v>
      </c>
      <c r="AN146" s="338">
        <v>2012</v>
      </c>
      <c r="AO146" s="338">
        <v>2013</v>
      </c>
      <c r="AP146" s="338">
        <v>2014</v>
      </c>
      <c r="AQ146" s="338">
        <v>2015</v>
      </c>
      <c r="AR146" s="338">
        <v>2016</v>
      </c>
      <c r="AS146" s="338">
        <v>2017</v>
      </c>
      <c r="AT146" s="338">
        <v>2018</v>
      </c>
      <c r="AU146" s="338">
        <v>2019</v>
      </c>
    </row>
    <row r="147" spans="3:47" s="299" customFormat="1">
      <c r="C147" s="310" t="str">
        <f t="array" ref="C147:C184">LL.list</f>
        <v>64 kbps</v>
      </c>
      <c r="E147" s="471">
        <f t="array" ref="E147:J184">AK147:AP184-U147:Z184</f>
        <v>443.4</v>
      </c>
      <c r="F147" s="471">
        <v>588.75</v>
      </c>
      <c r="G147" s="471">
        <v>396.30999999999995</v>
      </c>
      <c r="H147" s="471">
        <v>265</v>
      </c>
      <c r="I147" s="471">
        <v>242.34999999999997</v>
      </c>
      <c r="J147" s="471">
        <v>368.46000000000004</v>
      </c>
      <c r="R147" s="469">
        <v>0.5</v>
      </c>
      <c r="S147" s="310" t="str">
        <f t="array" ref="S147:S184">LL.list</f>
        <v>64 kbps</v>
      </c>
      <c r="U147" s="471">
        <f t="shared" ref="U147:U157" si="90">ROUNDUP(AK147*$R147,0)</f>
        <v>444</v>
      </c>
      <c r="V147" s="471">
        <f t="shared" ref="V147:V157" si="91">ROUNDUP(AL147*$R147,0)</f>
        <v>590</v>
      </c>
      <c r="W147" s="471">
        <f t="shared" ref="W147:W157" si="92">ROUNDUP(AM147*$R147,0)</f>
        <v>398</v>
      </c>
      <c r="X147" s="471">
        <f t="shared" ref="X147:X157" si="93">ROUNDUP(AN147*$R147,0)</f>
        <v>266</v>
      </c>
      <c r="Y147" s="471">
        <f t="shared" ref="Y147:Y157" si="94">ROUNDUP(AO147*$R147,0)</f>
        <v>244</v>
      </c>
      <c r="Z147" s="471">
        <f t="shared" ref="Z147:Z157" si="95">ROUNDUP(AP147*$R147,0)</f>
        <v>369</v>
      </c>
      <c r="AI147" s="310" t="str">
        <f t="array" ref="AI147:AI184">LL.list</f>
        <v>64 kbps</v>
      </c>
      <c r="AK147" s="472">
        <f t="array" ref="AK147:AP184">'7'!$AR$453:$AW$490</f>
        <v>887.4</v>
      </c>
      <c r="AL147" s="472">
        <v>1178.75</v>
      </c>
      <c r="AM147" s="472">
        <v>794.31</v>
      </c>
      <c r="AN147" s="472">
        <v>531</v>
      </c>
      <c r="AO147" s="472">
        <v>486.34999999999997</v>
      </c>
      <c r="AP147" s="472">
        <v>737.46</v>
      </c>
    </row>
    <row r="148" spans="3:47" s="299" customFormat="1">
      <c r="C148" s="310" t="str">
        <v>128 kbps</v>
      </c>
      <c r="E148" s="471">
        <v>334.16999999999996</v>
      </c>
      <c r="F148" s="471">
        <v>333.5200000000001</v>
      </c>
      <c r="G148" s="471">
        <v>223.71999999999997</v>
      </c>
      <c r="H148" s="471">
        <v>198.51999999999998</v>
      </c>
      <c r="I148" s="471">
        <v>262.98</v>
      </c>
      <c r="J148" s="471">
        <v>163.79000000000002</v>
      </c>
      <c r="R148" s="469">
        <v>0.5</v>
      </c>
      <c r="S148" s="310" t="str">
        <v>128 kbps</v>
      </c>
      <c r="U148" s="471">
        <f t="shared" si="90"/>
        <v>336</v>
      </c>
      <c r="V148" s="471">
        <f t="shared" si="91"/>
        <v>335</v>
      </c>
      <c r="W148" s="471">
        <f t="shared" si="92"/>
        <v>224</v>
      </c>
      <c r="X148" s="471">
        <f t="shared" si="93"/>
        <v>200</v>
      </c>
      <c r="Y148" s="471">
        <f t="shared" si="94"/>
        <v>263</v>
      </c>
      <c r="Z148" s="471">
        <f t="shared" si="95"/>
        <v>165</v>
      </c>
      <c r="AI148" s="310" t="str">
        <v>128 kbps</v>
      </c>
      <c r="AK148" s="472">
        <v>670.17</v>
      </c>
      <c r="AL148" s="472">
        <v>668.5200000000001</v>
      </c>
      <c r="AM148" s="472">
        <v>447.71999999999997</v>
      </c>
      <c r="AN148" s="472">
        <v>398.52</v>
      </c>
      <c r="AO148" s="472">
        <v>525.98</v>
      </c>
      <c r="AP148" s="472">
        <v>328.79</v>
      </c>
    </row>
    <row r="149" spans="3:47" s="299" customFormat="1">
      <c r="C149" s="310" t="str">
        <v>192 kbps</v>
      </c>
      <c r="E149" s="471">
        <v>89.28</v>
      </c>
      <c r="F149" s="471">
        <v>106.84</v>
      </c>
      <c r="G149" s="471">
        <v>89.360000000000014</v>
      </c>
      <c r="H149" s="471">
        <v>70.949999999999989</v>
      </c>
      <c r="I149" s="471">
        <v>93.619999999999976</v>
      </c>
      <c r="J149" s="471">
        <v>57</v>
      </c>
      <c r="R149" s="469">
        <v>0.5</v>
      </c>
      <c r="S149" s="310" t="str">
        <v>192 kbps</v>
      </c>
      <c r="U149" s="471">
        <f t="shared" si="90"/>
        <v>90</v>
      </c>
      <c r="V149" s="471">
        <f t="shared" si="91"/>
        <v>107</v>
      </c>
      <c r="W149" s="471">
        <f t="shared" si="92"/>
        <v>91</v>
      </c>
      <c r="X149" s="471">
        <f t="shared" si="93"/>
        <v>71</v>
      </c>
      <c r="Y149" s="471">
        <f t="shared" si="94"/>
        <v>94</v>
      </c>
      <c r="Z149" s="471">
        <f t="shared" si="95"/>
        <v>57</v>
      </c>
      <c r="AI149" s="310" t="str">
        <v>192 kbps</v>
      </c>
      <c r="AK149" s="472">
        <v>179.28</v>
      </c>
      <c r="AL149" s="472">
        <v>213.84</v>
      </c>
      <c r="AM149" s="472">
        <v>180.36</v>
      </c>
      <c r="AN149" s="472">
        <v>141.94999999999999</v>
      </c>
      <c r="AO149" s="472">
        <v>187.61999999999998</v>
      </c>
      <c r="AP149" s="472">
        <v>114</v>
      </c>
    </row>
    <row r="150" spans="3:47" s="299" customFormat="1">
      <c r="C150" s="310" t="str">
        <v>256 kbps</v>
      </c>
      <c r="E150" s="471">
        <v>145.47999999999996</v>
      </c>
      <c r="F150" s="471">
        <v>177.26</v>
      </c>
      <c r="G150" s="471">
        <v>238.75</v>
      </c>
      <c r="H150" s="471">
        <v>158.19999999999999</v>
      </c>
      <c r="I150" s="471">
        <v>230.01</v>
      </c>
      <c r="J150" s="471">
        <v>137.5</v>
      </c>
      <c r="R150" s="469">
        <v>0.5</v>
      </c>
      <c r="S150" s="310" t="str">
        <v>256 kbps</v>
      </c>
      <c r="U150" s="471">
        <f t="shared" si="90"/>
        <v>146</v>
      </c>
      <c r="V150" s="471">
        <f t="shared" si="91"/>
        <v>178</v>
      </c>
      <c r="W150" s="471">
        <f t="shared" si="92"/>
        <v>240</v>
      </c>
      <c r="X150" s="471">
        <f t="shared" si="93"/>
        <v>160</v>
      </c>
      <c r="Y150" s="471">
        <f t="shared" si="94"/>
        <v>231</v>
      </c>
      <c r="Z150" s="471">
        <f t="shared" si="95"/>
        <v>138</v>
      </c>
      <c r="AI150" s="310" t="str">
        <v>256 kbps</v>
      </c>
      <c r="AK150" s="472">
        <v>291.47999999999996</v>
      </c>
      <c r="AL150" s="472">
        <v>355.26</v>
      </c>
      <c r="AM150" s="472">
        <v>478.75</v>
      </c>
      <c r="AN150" s="472">
        <v>318.2</v>
      </c>
      <c r="AO150" s="472">
        <v>461.01</v>
      </c>
      <c r="AP150" s="472">
        <v>275.5</v>
      </c>
    </row>
    <row r="151" spans="3:47" s="299" customFormat="1">
      <c r="C151" s="310" t="str">
        <v>384 kbps</v>
      </c>
      <c r="E151" s="471">
        <v>82.53</v>
      </c>
      <c r="F151" s="471">
        <v>86.4</v>
      </c>
      <c r="G151" s="471">
        <v>79.03</v>
      </c>
      <c r="H151" s="471">
        <v>108.5</v>
      </c>
      <c r="I151" s="471">
        <v>95.52000000000001</v>
      </c>
      <c r="J151" s="471">
        <v>103.76000000000002</v>
      </c>
      <c r="R151" s="469">
        <v>0.5</v>
      </c>
      <c r="S151" s="310" t="str">
        <v>384 kbps</v>
      </c>
      <c r="U151" s="471">
        <f t="shared" si="90"/>
        <v>84</v>
      </c>
      <c r="V151" s="471">
        <f t="shared" si="91"/>
        <v>87</v>
      </c>
      <c r="W151" s="471">
        <f t="shared" si="92"/>
        <v>80</v>
      </c>
      <c r="X151" s="471">
        <f t="shared" si="93"/>
        <v>109</v>
      </c>
      <c r="Y151" s="471">
        <f t="shared" si="94"/>
        <v>96</v>
      </c>
      <c r="Z151" s="471">
        <f t="shared" si="95"/>
        <v>104</v>
      </c>
      <c r="AI151" s="310" t="str">
        <v>384 kbps</v>
      </c>
      <c r="AK151" s="472">
        <v>166.53</v>
      </c>
      <c r="AL151" s="472">
        <v>173.4</v>
      </c>
      <c r="AM151" s="472">
        <v>159.03</v>
      </c>
      <c r="AN151" s="472">
        <v>217.5</v>
      </c>
      <c r="AO151" s="472">
        <v>191.52</v>
      </c>
      <c r="AP151" s="472">
        <v>207.76000000000002</v>
      </c>
    </row>
    <row r="152" spans="3:47" s="299" customFormat="1">
      <c r="C152" s="310" t="str">
        <v>512 kbps</v>
      </c>
      <c r="E152" s="471">
        <v>136.88</v>
      </c>
      <c r="F152" s="471">
        <v>175.98000000000002</v>
      </c>
      <c r="G152" s="471">
        <v>169</v>
      </c>
      <c r="H152" s="471">
        <v>171.75</v>
      </c>
      <c r="I152" s="471">
        <v>114.68</v>
      </c>
      <c r="J152" s="471">
        <v>100.02000000000001</v>
      </c>
      <c r="R152" s="469">
        <v>0.5</v>
      </c>
      <c r="S152" s="310" t="str">
        <v>512 kbps</v>
      </c>
      <c r="U152" s="471">
        <f t="shared" si="90"/>
        <v>137</v>
      </c>
      <c r="V152" s="471">
        <f t="shared" si="91"/>
        <v>177</v>
      </c>
      <c r="W152" s="471">
        <f t="shared" si="92"/>
        <v>169</v>
      </c>
      <c r="X152" s="471">
        <f t="shared" si="93"/>
        <v>172</v>
      </c>
      <c r="Y152" s="471">
        <f t="shared" si="94"/>
        <v>115</v>
      </c>
      <c r="Z152" s="471">
        <f t="shared" si="95"/>
        <v>102</v>
      </c>
      <c r="AI152" s="310" t="str">
        <v>512 kbps</v>
      </c>
      <c r="AK152" s="472">
        <v>273.88</v>
      </c>
      <c r="AL152" s="472">
        <v>352.98</v>
      </c>
      <c r="AM152" s="472">
        <v>338</v>
      </c>
      <c r="AN152" s="472">
        <v>343.75</v>
      </c>
      <c r="AO152" s="472">
        <v>229.68</v>
      </c>
      <c r="AP152" s="472">
        <v>202.02</v>
      </c>
    </row>
    <row r="153" spans="3:47" s="299" customFormat="1">
      <c r="C153" s="310" t="str">
        <v>768 kbps</v>
      </c>
      <c r="E153" s="471">
        <v>44.47</v>
      </c>
      <c r="F153" s="471">
        <v>48.759999999999991</v>
      </c>
      <c r="G153" s="471">
        <v>61.800000000000011</v>
      </c>
      <c r="H153" s="471">
        <v>46.830000000000013</v>
      </c>
      <c r="I153" s="471">
        <v>34.850000000000009</v>
      </c>
      <c r="J153" s="471">
        <v>25.479999999999997</v>
      </c>
      <c r="R153" s="469">
        <v>0.5</v>
      </c>
      <c r="S153" s="310" t="str">
        <v>768 kbps</v>
      </c>
      <c r="U153" s="471">
        <f t="shared" si="90"/>
        <v>46</v>
      </c>
      <c r="V153" s="471">
        <f t="shared" si="91"/>
        <v>49</v>
      </c>
      <c r="W153" s="471">
        <f t="shared" si="92"/>
        <v>63</v>
      </c>
      <c r="X153" s="471">
        <f t="shared" si="93"/>
        <v>48</v>
      </c>
      <c r="Y153" s="471">
        <f t="shared" si="94"/>
        <v>36</v>
      </c>
      <c r="Z153" s="471">
        <f t="shared" si="95"/>
        <v>26</v>
      </c>
      <c r="AI153" s="310" t="str">
        <v>768 kbps</v>
      </c>
      <c r="AK153" s="472">
        <v>90.47</v>
      </c>
      <c r="AL153" s="472">
        <v>97.759999999999991</v>
      </c>
      <c r="AM153" s="472">
        <v>124.80000000000001</v>
      </c>
      <c r="AN153" s="472">
        <v>94.830000000000013</v>
      </c>
      <c r="AO153" s="472">
        <v>70.850000000000009</v>
      </c>
      <c r="AP153" s="472">
        <v>51.48</v>
      </c>
    </row>
    <row r="154" spans="3:47" s="299" customFormat="1">
      <c r="C154" s="310" t="str">
        <v>1024 kbps</v>
      </c>
      <c r="E154" s="471">
        <v>53.100000000000009</v>
      </c>
      <c r="F154" s="471">
        <v>43.879999999999995</v>
      </c>
      <c r="G154" s="471">
        <v>29.339999999999996</v>
      </c>
      <c r="H154" s="471">
        <v>19.420000000000002</v>
      </c>
      <c r="I154" s="471">
        <v>19</v>
      </c>
      <c r="J154" s="471">
        <v>30</v>
      </c>
      <c r="R154" s="469">
        <v>0.5</v>
      </c>
      <c r="S154" s="310" t="str">
        <v>1024 kbps</v>
      </c>
      <c r="U154" s="471">
        <f t="shared" si="90"/>
        <v>54</v>
      </c>
      <c r="V154" s="471">
        <f t="shared" si="91"/>
        <v>45</v>
      </c>
      <c r="W154" s="471">
        <f t="shared" si="92"/>
        <v>30</v>
      </c>
      <c r="X154" s="471">
        <f t="shared" si="93"/>
        <v>20</v>
      </c>
      <c r="Y154" s="471">
        <f t="shared" si="94"/>
        <v>20</v>
      </c>
      <c r="Z154" s="471">
        <f t="shared" si="95"/>
        <v>30</v>
      </c>
      <c r="AI154" s="310" t="str">
        <v>1024 kbps</v>
      </c>
      <c r="AK154" s="472">
        <v>107.10000000000001</v>
      </c>
      <c r="AL154" s="472">
        <v>88.88</v>
      </c>
      <c r="AM154" s="472">
        <v>59.339999999999996</v>
      </c>
      <c r="AN154" s="472">
        <v>39.42</v>
      </c>
      <c r="AO154" s="472">
        <v>39</v>
      </c>
      <c r="AP154" s="472">
        <v>60</v>
      </c>
    </row>
    <row r="155" spans="3:47" s="299" customFormat="1">
      <c r="C155" s="331" t="str">
        <v>E1 (2.04 Mbps)</v>
      </c>
      <c r="E155" s="471">
        <v>97.400000000000091</v>
      </c>
      <c r="F155" s="471">
        <v>118.15000000000009</v>
      </c>
      <c r="G155" s="471">
        <v>144.90000000000009</v>
      </c>
      <c r="H155" s="471">
        <v>201.29999999999995</v>
      </c>
      <c r="I155" s="471">
        <v>153.80999999999995</v>
      </c>
      <c r="J155" s="471">
        <v>205.31999999999971</v>
      </c>
      <c r="R155" s="469">
        <v>0.9</v>
      </c>
      <c r="S155" s="331" t="str">
        <v>E1 (2.04 Mbps)</v>
      </c>
      <c r="U155" s="471">
        <f t="shared" si="90"/>
        <v>886</v>
      </c>
      <c r="V155" s="471">
        <f t="shared" si="91"/>
        <v>1064</v>
      </c>
      <c r="W155" s="471">
        <f t="shared" si="92"/>
        <v>1306</v>
      </c>
      <c r="X155" s="471">
        <f t="shared" si="93"/>
        <v>1818</v>
      </c>
      <c r="Y155" s="471">
        <f t="shared" si="94"/>
        <v>1385</v>
      </c>
      <c r="Z155" s="471">
        <f t="shared" si="95"/>
        <v>1856</v>
      </c>
      <c r="AI155" s="331" t="str">
        <v>E1 (2.04 Mbps)</v>
      </c>
      <c r="AK155" s="472">
        <v>983.40000000000009</v>
      </c>
      <c r="AL155" s="472">
        <v>1182.1500000000001</v>
      </c>
      <c r="AM155" s="472">
        <v>1450.9</v>
      </c>
      <c r="AN155" s="472">
        <v>2019.3</v>
      </c>
      <c r="AO155" s="472">
        <v>1538.81</v>
      </c>
      <c r="AP155" s="472">
        <v>2061.3199999999997</v>
      </c>
    </row>
    <row r="156" spans="3:47" s="299" customFormat="1">
      <c r="C156" s="331" t="str">
        <v>E2 *</v>
      </c>
      <c r="E156" s="471">
        <v>0</v>
      </c>
      <c r="F156" s="471">
        <v>0</v>
      </c>
      <c r="G156" s="471">
        <v>0</v>
      </c>
      <c r="H156" s="471">
        <v>0</v>
      </c>
      <c r="I156" s="471">
        <v>0</v>
      </c>
      <c r="J156" s="471">
        <v>0</v>
      </c>
      <c r="R156" s="469">
        <v>0.5</v>
      </c>
      <c r="S156" s="331" t="str">
        <v>E2 *</v>
      </c>
      <c r="U156" s="471">
        <f t="shared" si="90"/>
        <v>0</v>
      </c>
      <c r="V156" s="471">
        <f t="shared" si="91"/>
        <v>0</v>
      </c>
      <c r="W156" s="471">
        <f t="shared" si="92"/>
        <v>0</v>
      </c>
      <c r="X156" s="471">
        <f t="shared" si="93"/>
        <v>0</v>
      </c>
      <c r="Y156" s="471">
        <f t="shared" si="94"/>
        <v>0</v>
      </c>
      <c r="Z156" s="471">
        <f t="shared" si="95"/>
        <v>0</v>
      </c>
      <c r="AI156" s="331" t="str">
        <v>E2 *</v>
      </c>
      <c r="AK156" s="472">
        <v>0</v>
      </c>
      <c r="AL156" s="472">
        <v>0</v>
      </c>
      <c r="AM156" s="472">
        <v>0</v>
      </c>
      <c r="AN156" s="472">
        <v>0</v>
      </c>
      <c r="AO156" s="472">
        <v>0</v>
      </c>
      <c r="AP156" s="472">
        <v>0</v>
      </c>
    </row>
    <row r="157" spans="3:47" s="299" customFormat="1">
      <c r="C157" s="331" t="str">
        <v>E3 (34 Mbps)</v>
      </c>
      <c r="E157" s="471">
        <v>3.2999999999999989</v>
      </c>
      <c r="F157" s="471">
        <v>3.6099999999999994</v>
      </c>
      <c r="G157" s="471">
        <v>2.08</v>
      </c>
      <c r="H157" s="471">
        <v>3.3999999999999986</v>
      </c>
      <c r="I157" s="471">
        <v>5.879999999999999</v>
      </c>
      <c r="J157" s="471">
        <v>3.7000000000000011</v>
      </c>
      <c r="R157" s="469">
        <v>0.5</v>
      </c>
      <c r="S157" s="331" t="str">
        <v>E3 (34 Mbps)</v>
      </c>
      <c r="U157" s="471">
        <f t="shared" si="90"/>
        <v>5</v>
      </c>
      <c r="V157" s="471">
        <f t="shared" si="91"/>
        <v>5</v>
      </c>
      <c r="W157" s="471">
        <f t="shared" si="92"/>
        <v>4</v>
      </c>
      <c r="X157" s="471">
        <f t="shared" si="93"/>
        <v>5</v>
      </c>
      <c r="Y157" s="471">
        <f t="shared" si="94"/>
        <v>6</v>
      </c>
      <c r="Z157" s="471">
        <f t="shared" si="95"/>
        <v>4</v>
      </c>
      <c r="AI157" s="331" t="str">
        <v>E3 (34 Mbps)</v>
      </c>
      <c r="AK157" s="472">
        <v>8.2999999999999989</v>
      </c>
      <c r="AL157" s="472">
        <v>8.61</v>
      </c>
      <c r="AM157" s="472">
        <v>6.08</v>
      </c>
      <c r="AN157" s="472">
        <v>8.3999999999999986</v>
      </c>
      <c r="AO157" s="472">
        <v>11.879999999999999</v>
      </c>
      <c r="AP157" s="472">
        <v>7.7000000000000011</v>
      </c>
    </row>
    <row r="158" spans="3:47" s="299" customFormat="1">
      <c r="C158" s="331" t="str">
        <v>STM-1 (155 Mbps)</v>
      </c>
      <c r="E158" s="471">
        <v>0</v>
      </c>
      <c r="F158" s="471">
        <v>0</v>
      </c>
      <c r="G158" s="471">
        <v>0</v>
      </c>
      <c r="H158" s="471">
        <v>0</v>
      </c>
      <c r="I158" s="471">
        <v>0</v>
      </c>
      <c r="J158" s="471">
        <v>0</v>
      </c>
      <c r="S158" s="331" t="str">
        <v>STM-1 (155 Mbps)</v>
      </c>
      <c r="U158" s="472">
        <f t="shared" ref="U158:U162" si="96">AK158</f>
        <v>9.6199999999999992</v>
      </c>
      <c r="V158" s="472">
        <f t="shared" ref="V158:V162" si="97">AL158</f>
        <v>13.35</v>
      </c>
      <c r="W158" s="472">
        <f t="shared" ref="W158:W162" si="98">AM158</f>
        <v>13.299999999999999</v>
      </c>
      <c r="X158" s="472">
        <f t="shared" ref="X158:X162" si="99">AN158</f>
        <v>19.190000000000001</v>
      </c>
      <c r="Y158" s="472">
        <f t="shared" ref="Y158:Y162" si="100">AO158</f>
        <v>19.89</v>
      </c>
      <c r="Z158" s="472">
        <f t="shared" ref="Z158:Z162" si="101">AP158</f>
        <v>18.04</v>
      </c>
      <c r="AI158" s="331" t="str">
        <v>STM-1 (155 Mbps)</v>
      </c>
      <c r="AK158" s="472">
        <v>9.6199999999999992</v>
      </c>
      <c r="AL158" s="472">
        <v>13.35</v>
      </c>
      <c r="AM158" s="472">
        <v>13.299999999999999</v>
      </c>
      <c r="AN158" s="472">
        <v>19.190000000000001</v>
      </c>
      <c r="AO158" s="472">
        <v>19.89</v>
      </c>
      <c r="AP158" s="472">
        <v>18.04</v>
      </c>
    </row>
    <row r="159" spans="3:47" s="299" customFormat="1">
      <c r="C159" s="310" t="str">
        <v>STM-4 (622.08 Mbps)</v>
      </c>
      <c r="E159" s="471">
        <v>0</v>
      </c>
      <c r="F159" s="471">
        <v>0</v>
      </c>
      <c r="G159" s="471">
        <v>0</v>
      </c>
      <c r="H159" s="471">
        <v>0</v>
      </c>
      <c r="I159" s="471">
        <v>0</v>
      </c>
      <c r="J159" s="471">
        <v>0</v>
      </c>
      <c r="S159" s="310" t="str">
        <v>STM-4 (622.08 Mbps)</v>
      </c>
      <c r="U159" s="472">
        <f t="shared" si="96"/>
        <v>0</v>
      </c>
      <c r="V159" s="472">
        <f t="shared" si="97"/>
        <v>0</v>
      </c>
      <c r="W159" s="472">
        <f t="shared" si="98"/>
        <v>0</v>
      </c>
      <c r="X159" s="472">
        <f t="shared" si="99"/>
        <v>0</v>
      </c>
      <c r="Y159" s="472">
        <f t="shared" si="100"/>
        <v>0</v>
      </c>
      <c r="Z159" s="472">
        <f t="shared" si="101"/>
        <v>0</v>
      </c>
      <c r="AI159" s="310" t="str">
        <v>STM-4 (622.08 Mbps)</v>
      </c>
      <c r="AK159" s="472">
        <v>0</v>
      </c>
      <c r="AL159" s="472">
        <v>0</v>
      </c>
      <c r="AM159" s="472">
        <v>0</v>
      </c>
      <c r="AN159" s="472">
        <v>0</v>
      </c>
      <c r="AO159" s="472">
        <v>0</v>
      </c>
      <c r="AP159" s="472">
        <v>0</v>
      </c>
    </row>
    <row r="160" spans="3:47" s="299" customFormat="1">
      <c r="C160" s="310" t="str">
        <v>STM-16 (2488.32Mbps)</v>
      </c>
      <c r="E160" s="471">
        <v>0</v>
      </c>
      <c r="F160" s="471">
        <v>0</v>
      </c>
      <c r="G160" s="471">
        <v>0</v>
      </c>
      <c r="H160" s="471">
        <v>0</v>
      </c>
      <c r="I160" s="471">
        <v>0</v>
      </c>
      <c r="J160" s="471">
        <v>0</v>
      </c>
      <c r="S160" s="310" t="str">
        <v>STM-16 (2488.32Mbps)</v>
      </c>
      <c r="U160" s="472">
        <f t="shared" si="96"/>
        <v>0</v>
      </c>
      <c r="V160" s="472">
        <f t="shared" si="97"/>
        <v>0</v>
      </c>
      <c r="W160" s="472">
        <f t="shared" si="98"/>
        <v>0</v>
      </c>
      <c r="X160" s="472">
        <f t="shared" si="99"/>
        <v>0</v>
      </c>
      <c r="Y160" s="472">
        <f t="shared" si="100"/>
        <v>0</v>
      </c>
      <c r="Z160" s="472">
        <f t="shared" si="101"/>
        <v>0</v>
      </c>
      <c r="AI160" s="310" t="str">
        <v>STM-16 (2488.32Mbps)</v>
      </c>
      <c r="AK160" s="472">
        <v>0</v>
      </c>
      <c r="AL160" s="472">
        <v>0</v>
      </c>
      <c r="AM160" s="472">
        <v>0</v>
      </c>
      <c r="AN160" s="472">
        <v>0</v>
      </c>
      <c r="AO160" s="472">
        <v>0</v>
      </c>
      <c r="AP160" s="472">
        <v>0</v>
      </c>
    </row>
    <row r="161" spans="3:42" s="299" customFormat="1">
      <c r="C161" s="310" t="str">
        <v>STM-64 (9953.28Mbps)</v>
      </c>
      <c r="E161" s="471">
        <v>0</v>
      </c>
      <c r="F161" s="471">
        <v>0</v>
      </c>
      <c r="G161" s="471">
        <v>0</v>
      </c>
      <c r="H161" s="471">
        <v>0</v>
      </c>
      <c r="I161" s="471">
        <v>0</v>
      </c>
      <c r="J161" s="471">
        <v>0</v>
      </c>
      <c r="S161" s="310" t="str">
        <v>STM-64 (9953.28Mbps)</v>
      </c>
      <c r="U161" s="472">
        <f t="shared" si="96"/>
        <v>0</v>
      </c>
      <c r="V161" s="472">
        <f t="shared" si="97"/>
        <v>0</v>
      </c>
      <c r="W161" s="472">
        <f t="shared" si="98"/>
        <v>0</v>
      </c>
      <c r="X161" s="472">
        <f t="shared" si="99"/>
        <v>0</v>
      </c>
      <c r="Y161" s="472">
        <f t="shared" si="100"/>
        <v>0</v>
      </c>
      <c r="Z161" s="472">
        <f t="shared" si="101"/>
        <v>0</v>
      </c>
      <c r="AI161" s="310" t="str">
        <v>STM-64 (9953.28Mbps)</v>
      </c>
      <c r="AK161" s="472">
        <v>0</v>
      </c>
      <c r="AL161" s="472">
        <v>0</v>
      </c>
      <c r="AM161" s="472">
        <v>0</v>
      </c>
      <c r="AN161" s="472">
        <v>0</v>
      </c>
      <c r="AO161" s="472">
        <v>0</v>
      </c>
      <c r="AP161" s="472">
        <v>0</v>
      </c>
    </row>
    <row r="162" spans="3:42" s="299" customFormat="1">
      <c r="C162" s="310" t="str">
        <v>STM-256 (39813.12 Mbps)*</v>
      </c>
      <c r="E162" s="471">
        <v>0</v>
      </c>
      <c r="F162" s="471">
        <v>0</v>
      </c>
      <c r="G162" s="471">
        <v>0</v>
      </c>
      <c r="H162" s="471">
        <v>0</v>
      </c>
      <c r="I162" s="471">
        <v>0</v>
      </c>
      <c r="J162" s="471">
        <v>0</v>
      </c>
      <c r="S162" s="310" t="str">
        <v>STM-256 (39813.12 Mbps)*</v>
      </c>
      <c r="U162" s="472">
        <f t="shared" si="96"/>
        <v>0</v>
      </c>
      <c r="V162" s="472">
        <f t="shared" si="97"/>
        <v>0</v>
      </c>
      <c r="W162" s="472">
        <f t="shared" si="98"/>
        <v>0</v>
      </c>
      <c r="X162" s="472">
        <f t="shared" si="99"/>
        <v>0</v>
      </c>
      <c r="Y162" s="472">
        <f t="shared" si="100"/>
        <v>0</v>
      </c>
      <c r="Z162" s="472">
        <f t="shared" si="101"/>
        <v>0</v>
      </c>
      <c r="AI162" s="310" t="str">
        <v>STM-256 (39813.12 Mbps)*</v>
      </c>
      <c r="AK162" s="472">
        <v>0</v>
      </c>
      <c r="AL162" s="472">
        <v>0</v>
      </c>
      <c r="AM162" s="472">
        <v>0</v>
      </c>
      <c r="AN162" s="472">
        <v>0</v>
      </c>
      <c r="AO162" s="472">
        <v>0</v>
      </c>
      <c r="AP162" s="472">
        <v>0</v>
      </c>
    </row>
    <row r="163" spans="3:42" s="299" customFormat="1">
      <c r="C163" s="310" t="str">
        <v>Ethernet (10Mbps)</v>
      </c>
      <c r="E163" s="471">
        <v>5.18</v>
      </c>
      <c r="F163" s="471">
        <v>8.8499999999999979</v>
      </c>
      <c r="G163" s="471">
        <v>16.29</v>
      </c>
      <c r="H163" s="471">
        <v>19.89</v>
      </c>
      <c r="I163" s="471">
        <v>42.519999999999996</v>
      </c>
      <c r="J163" s="471">
        <v>75.25</v>
      </c>
      <c r="R163" s="469">
        <v>0.5</v>
      </c>
      <c r="S163" s="310" t="str">
        <v>Ethernet (10Mbps)</v>
      </c>
      <c r="U163" s="471">
        <f t="shared" ref="U163:U171" si="102">ROUNDUP(AK163*$R163,0)</f>
        <v>7</v>
      </c>
      <c r="V163" s="471">
        <f t="shared" ref="V163:V171" si="103">ROUNDUP(AL163*$R163,0)</f>
        <v>9</v>
      </c>
      <c r="W163" s="471">
        <f t="shared" ref="W163:W171" si="104">ROUNDUP(AM163*$R163,0)</f>
        <v>18</v>
      </c>
      <c r="X163" s="471">
        <f t="shared" ref="X163:X171" si="105">ROUNDUP(AN163*$R163,0)</f>
        <v>21</v>
      </c>
      <c r="Y163" s="471">
        <f t="shared" ref="Y163:Y171" si="106">ROUNDUP(AO163*$R163,0)</f>
        <v>44</v>
      </c>
      <c r="Z163" s="471">
        <f t="shared" ref="Z163:Z171" si="107">ROUNDUP(AP163*$R163,0)</f>
        <v>76</v>
      </c>
      <c r="AI163" s="310" t="str">
        <v>Ethernet (10Mbps)</v>
      </c>
      <c r="AK163" s="472">
        <v>12.18</v>
      </c>
      <c r="AL163" s="472">
        <v>17.849999999999998</v>
      </c>
      <c r="AM163" s="472">
        <v>34.29</v>
      </c>
      <c r="AN163" s="472">
        <v>40.89</v>
      </c>
      <c r="AO163" s="472">
        <v>86.52</v>
      </c>
      <c r="AP163" s="472">
        <v>151.25</v>
      </c>
    </row>
    <row r="164" spans="3:42" s="299" customFormat="1">
      <c r="C164" s="310" t="str">
        <v>Ethernet (20Mbps)</v>
      </c>
      <c r="E164" s="471">
        <v>3.74</v>
      </c>
      <c r="F164" s="471">
        <v>2.16</v>
      </c>
      <c r="G164" s="471">
        <v>3.0499999999999989</v>
      </c>
      <c r="H164" s="471">
        <v>4.4499999999999993</v>
      </c>
      <c r="I164" s="471">
        <v>9</v>
      </c>
      <c r="J164" s="471">
        <v>20.58</v>
      </c>
      <c r="R164" s="469">
        <v>0.5</v>
      </c>
      <c r="S164" s="310" t="str">
        <v>Ethernet (20Mbps)</v>
      </c>
      <c r="U164" s="471">
        <f t="shared" si="102"/>
        <v>4</v>
      </c>
      <c r="V164" s="471">
        <f t="shared" si="103"/>
        <v>4</v>
      </c>
      <c r="W164" s="471">
        <f t="shared" si="104"/>
        <v>5</v>
      </c>
      <c r="X164" s="471">
        <f t="shared" si="105"/>
        <v>6</v>
      </c>
      <c r="Y164" s="471">
        <f t="shared" si="106"/>
        <v>9</v>
      </c>
      <c r="Z164" s="471">
        <f t="shared" si="107"/>
        <v>21</v>
      </c>
      <c r="AI164" s="310" t="str">
        <v>Ethernet (20Mbps)</v>
      </c>
      <c r="AK164" s="472">
        <v>7.74</v>
      </c>
      <c r="AL164" s="472">
        <v>6.16</v>
      </c>
      <c r="AM164" s="472">
        <v>8.0499999999999989</v>
      </c>
      <c r="AN164" s="472">
        <v>10.45</v>
      </c>
      <c r="AO164" s="472">
        <v>18</v>
      </c>
      <c r="AP164" s="472">
        <v>41.58</v>
      </c>
    </row>
    <row r="165" spans="3:42" s="299" customFormat="1">
      <c r="C165" s="310" t="str">
        <v>Ethernet (30Mbps)</v>
      </c>
      <c r="E165" s="471">
        <v>0.37999999999999989</v>
      </c>
      <c r="F165" s="471">
        <v>0.94</v>
      </c>
      <c r="G165" s="471">
        <v>1.81</v>
      </c>
      <c r="H165" s="471">
        <v>4.4000000000000004</v>
      </c>
      <c r="I165" s="471">
        <v>5.4</v>
      </c>
      <c r="J165" s="471">
        <v>7.0399999999999991</v>
      </c>
      <c r="R165" s="469">
        <v>0.5</v>
      </c>
      <c r="S165" s="310" t="str">
        <v>Ethernet (30Mbps)</v>
      </c>
      <c r="U165" s="471">
        <f t="shared" si="102"/>
        <v>2</v>
      </c>
      <c r="V165" s="471">
        <f t="shared" si="103"/>
        <v>1</v>
      </c>
      <c r="W165" s="471">
        <f t="shared" si="104"/>
        <v>2</v>
      </c>
      <c r="X165" s="471">
        <f t="shared" si="105"/>
        <v>6</v>
      </c>
      <c r="Y165" s="471">
        <f t="shared" si="106"/>
        <v>6</v>
      </c>
      <c r="Z165" s="471">
        <f t="shared" si="107"/>
        <v>8</v>
      </c>
      <c r="AI165" s="310" t="str">
        <v>Ethernet (30Mbps)</v>
      </c>
      <c r="AK165" s="472">
        <v>2.38</v>
      </c>
      <c r="AL165" s="472">
        <v>1.94</v>
      </c>
      <c r="AM165" s="472">
        <v>3.81</v>
      </c>
      <c r="AN165" s="472">
        <v>10.4</v>
      </c>
      <c r="AO165" s="472">
        <v>11.4</v>
      </c>
      <c r="AP165" s="472">
        <v>15.04</v>
      </c>
    </row>
    <row r="166" spans="3:42" s="299" customFormat="1">
      <c r="C166" s="310" t="str">
        <v>Ethernet (40Mbps)</v>
      </c>
      <c r="E166" s="471">
        <v>0.33999999999999986</v>
      </c>
      <c r="F166" s="471">
        <v>0.48</v>
      </c>
      <c r="G166" s="471">
        <v>0.96999999999999975</v>
      </c>
      <c r="H166" s="471">
        <v>2.4000000000000004</v>
      </c>
      <c r="I166" s="471">
        <v>2.96</v>
      </c>
      <c r="J166" s="471">
        <v>10.989999999999998</v>
      </c>
      <c r="R166" s="469">
        <v>0.5</v>
      </c>
      <c r="S166" s="310" t="str">
        <v>Ethernet (40Mbps)</v>
      </c>
      <c r="U166" s="471">
        <f t="shared" si="102"/>
        <v>2</v>
      </c>
      <c r="V166" s="471">
        <f t="shared" si="103"/>
        <v>2</v>
      </c>
      <c r="W166" s="471">
        <f t="shared" si="104"/>
        <v>2</v>
      </c>
      <c r="X166" s="471">
        <f t="shared" si="105"/>
        <v>3</v>
      </c>
      <c r="Y166" s="471">
        <f t="shared" si="106"/>
        <v>4</v>
      </c>
      <c r="Z166" s="471">
        <f t="shared" si="107"/>
        <v>12</v>
      </c>
      <c r="AI166" s="310" t="str">
        <v>Ethernet (40Mbps)</v>
      </c>
      <c r="AK166" s="472">
        <v>2.34</v>
      </c>
      <c r="AL166" s="472">
        <v>2.48</v>
      </c>
      <c r="AM166" s="472">
        <v>2.9699999999999998</v>
      </c>
      <c r="AN166" s="472">
        <v>5.4</v>
      </c>
      <c r="AO166" s="472">
        <v>6.96</v>
      </c>
      <c r="AP166" s="472">
        <v>22.99</v>
      </c>
    </row>
    <row r="167" spans="3:42" s="299" customFormat="1">
      <c r="C167" s="310" t="str">
        <v>Ethernet (50Mbps)</v>
      </c>
      <c r="E167" s="471">
        <v>0.20000000000000018</v>
      </c>
      <c r="F167" s="471">
        <v>13.09</v>
      </c>
      <c r="G167" s="471">
        <v>13.98</v>
      </c>
      <c r="H167" s="471">
        <v>12.73</v>
      </c>
      <c r="I167" s="471">
        <v>19.32</v>
      </c>
      <c r="J167" s="471">
        <v>10</v>
      </c>
      <c r="R167" s="469">
        <v>0.5</v>
      </c>
      <c r="S167" s="310" t="str">
        <v>Ethernet (50Mbps)</v>
      </c>
      <c r="U167" s="471">
        <f t="shared" si="102"/>
        <v>2</v>
      </c>
      <c r="V167" s="471">
        <f t="shared" si="103"/>
        <v>14</v>
      </c>
      <c r="W167" s="471">
        <f t="shared" si="104"/>
        <v>15</v>
      </c>
      <c r="X167" s="471">
        <f t="shared" si="105"/>
        <v>14</v>
      </c>
      <c r="Y167" s="471">
        <f t="shared" si="106"/>
        <v>21</v>
      </c>
      <c r="Z167" s="471">
        <f t="shared" si="107"/>
        <v>11</v>
      </c>
      <c r="AI167" s="310" t="str">
        <v>Ethernet (50Mbps)</v>
      </c>
      <c r="AK167" s="472">
        <v>2.2000000000000002</v>
      </c>
      <c r="AL167" s="472">
        <v>27.09</v>
      </c>
      <c r="AM167" s="472">
        <v>28.98</v>
      </c>
      <c r="AN167" s="472">
        <v>26.73</v>
      </c>
      <c r="AO167" s="472">
        <v>40.32</v>
      </c>
      <c r="AP167" s="472">
        <v>21</v>
      </c>
    </row>
    <row r="168" spans="3:42" s="299" customFormat="1">
      <c r="C168" s="310" t="str">
        <v>Ethernet (60Mbps)</v>
      </c>
      <c r="E168" s="471">
        <v>0</v>
      </c>
      <c r="F168" s="471">
        <v>4.0000000000000036E-2</v>
      </c>
      <c r="G168" s="471">
        <v>0.45999999999999996</v>
      </c>
      <c r="H168" s="471">
        <v>1</v>
      </c>
      <c r="I168" s="471">
        <v>0.41999999999999993</v>
      </c>
      <c r="J168" s="471">
        <v>0.43999999999999995</v>
      </c>
      <c r="R168" s="469">
        <v>0.5</v>
      </c>
      <c r="S168" s="310" t="str">
        <v>Ethernet (60Mbps)</v>
      </c>
      <c r="U168" s="471">
        <f t="shared" si="102"/>
        <v>0</v>
      </c>
      <c r="V168" s="471">
        <f t="shared" si="103"/>
        <v>1</v>
      </c>
      <c r="W168" s="471">
        <f t="shared" si="104"/>
        <v>2</v>
      </c>
      <c r="X168" s="471">
        <f t="shared" si="105"/>
        <v>1</v>
      </c>
      <c r="Y168" s="471">
        <f t="shared" si="106"/>
        <v>2</v>
      </c>
      <c r="Z168" s="471">
        <f t="shared" si="107"/>
        <v>1</v>
      </c>
      <c r="AI168" s="310" t="str">
        <v>Ethernet (60Mbps)</v>
      </c>
      <c r="AK168" s="472">
        <v>0</v>
      </c>
      <c r="AL168" s="472">
        <v>1.04</v>
      </c>
      <c r="AM168" s="472">
        <v>2.46</v>
      </c>
      <c r="AN168" s="472">
        <v>2</v>
      </c>
      <c r="AO168" s="472">
        <v>2.42</v>
      </c>
      <c r="AP168" s="472">
        <v>1.44</v>
      </c>
    </row>
    <row r="169" spans="3:42" s="299" customFormat="1">
      <c r="C169" s="310" t="str">
        <v>Ethernet (70Mbps)</v>
      </c>
      <c r="E169" s="471">
        <v>0</v>
      </c>
      <c r="F169" s="471">
        <v>0</v>
      </c>
      <c r="G169" s="471">
        <v>0</v>
      </c>
      <c r="H169" s="471">
        <v>0</v>
      </c>
      <c r="I169" s="471">
        <v>0.35999999999999988</v>
      </c>
      <c r="J169" s="471">
        <v>2.75</v>
      </c>
      <c r="R169" s="469">
        <v>0.5</v>
      </c>
      <c r="S169" s="310" t="str">
        <v>Ethernet (70Mbps)</v>
      </c>
      <c r="U169" s="471">
        <f t="shared" si="102"/>
        <v>0</v>
      </c>
      <c r="V169" s="471">
        <f t="shared" si="103"/>
        <v>0</v>
      </c>
      <c r="W169" s="471">
        <f t="shared" si="104"/>
        <v>0</v>
      </c>
      <c r="X169" s="471">
        <f t="shared" si="105"/>
        <v>0</v>
      </c>
      <c r="Y169" s="471">
        <f t="shared" si="106"/>
        <v>2</v>
      </c>
      <c r="Z169" s="471">
        <f t="shared" si="107"/>
        <v>3</v>
      </c>
      <c r="AI169" s="310" t="str">
        <v>Ethernet (70Mbps)</v>
      </c>
      <c r="AK169" s="472">
        <v>0</v>
      </c>
      <c r="AL169" s="472">
        <v>0</v>
      </c>
      <c r="AM169" s="472">
        <v>0</v>
      </c>
      <c r="AN169" s="472">
        <v>0</v>
      </c>
      <c r="AO169" s="472">
        <v>2.36</v>
      </c>
      <c r="AP169" s="472">
        <v>5.75</v>
      </c>
    </row>
    <row r="170" spans="3:42" s="299" customFormat="1">
      <c r="C170" s="310" t="str">
        <v>Ethernet (80Mbps)</v>
      </c>
      <c r="E170" s="471">
        <v>0</v>
      </c>
      <c r="F170" s="471">
        <v>0</v>
      </c>
      <c r="G170" s="471">
        <v>0</v>
      </c>
      <c r="H170" s="471">
        <v>0</v>
      </c>
      <c r="I170" s="471">
        <v>0</v>
      </c>
      <c r="J170" s="471">
        <v>-0.25</v>
      </c>
      <c r="R170" s="469">
        <v>0.5</v>
      </c>
      <c r="S170" s="310" t="str">
        <v>Ethernet (80Mbps)</v>
      </c>
      <c r="U170" s="471">
        <f t="shared" si="102"/>
        <v>0</v>
      </c>
      <c r="V170" s="471">
        <f t="shared" si="103"/>
        <v>0</v>
      </c>
      <c r="W170" s="471">
        <f t="shared" si="104"/>
        <v>0</v>
      </c>
      <c r="X170" s="471">
        <f t="shared" si="105"/>
        <v>0</v>
      </c>
      <c r="Y170" s="471">
        <f t="shared" si="106"/>
        <v>0</v>
      </c>
      <c r="Z170" s="471">
        <f t="shared" si="107"/>
        <v>1</v>
      </c>
      <c r="AI170" s="310" t="str">
        <v>Ethernet (80Mbps)</v>
      </c>
      <c r="AK170" s="472">
        <v>0</v>
      </c>
      <c r="AL170" s="472">
        <v>0</v>
      </c>
      <c r="AM170" s="472">
        <v>0</v>
      </c>
      <c r="AN170" s="472">
        <v>0</v>
      </c>
      <c r="AO170" s="472">
        <v>0</v>
      </c>
      <c r="AP170" s="472">
        <v>0.75</v>
      </c>
    </row>
    <row r="171" spans="3:42" s="299" customFormat="1">
      <c r="C171" s="310" t="str">
        <v>Ethernet (90Mbps)</v>
      </c>
      <c r="E171" s="471">
        <v>0</v>
      </c>
      <c r="F171" s="471">
        <v>0</v>
      </c>
      <c r="G171" s="471">
        <v>0</v>
      </c>
      <c r="H171" s="471">
        <v>0</v>
      </c>
      <c r="I171" s="471">
        <v>0.24</v>
      </c>
      <c r="J171" s="471">
        <v>0.73</v>
      </c>
      <c r="R171" s="469">
        <v>0.5</v>
      </c>
      <c r="S171" s="310" t="str">
        <v>Ethernet (90Mbps)</v>
      </c>
      <c r="U171" s="471">
        <f t="shared" si="102"/>
        <v>0</v>
      </c>
      <c r="V171" s="471">
        <f t="shared" si="103"/>
        <v>0</v>
      </c>
      <c r="W171" s="471">
        <f t="shared" si="104"/>
        <v>0</v>
      </c>
      <c r="X171" s="471">
        <f t="shared" si="105"/>
        <v>0</v>
      </c>
      <c r="Y171" s="471">
        <f t="shared" si="106"/>
        <v>1</v>
      </c>
      <c r="Z171" s="471">
        <f t="shared" si="107"/>
        <v>2</v>
      </c>
      <c r="AI171" s="310" t="str">
        <v>Ethernet (90Mbps)</v>
      </c>
      <c r="AK171" s="472">
        <v>0</v>
      </c>
      <c r="AL171" s="472">
        <v>0</v>
      </c>
      <c r="AM171" s="472">
        <v>0</v>
      </c>
      <c r="AN171" s="472">
        <v>0</v>
      </c>
      <c r="AO171" s="472">
        <v>1.24</v>
      </c>
      <c r="AP171" s="472">
        <v>2.73</v>
      </c>
    </row>
    <row r="172" spans="3:42" s="299" customFormat="1">
      <c r="C172" s="310" t="str">
        <v>GigaEthernet (100Mbps)</v>
      </c>
      <c r="E172" s="471">
        <v>0</v>
      </c>
      <c r="F172" s="471">
        <v>0</v>
      </c>
      <c r="G172" s="471">
        <v>0</v>
      </c>
      <c r="H172" s="471">
        <v>0</v>
      </c>
      <c r="I172" s="471">
        <v>0</v>
      </c>
      <c r="J172" s="471">
        <v>0</v>
      </c>
      <c r="S172" s="310" t="str">
        <v>GigaEthernet (100Mbps)</v>
      </c>
      <c r="U172" s="472">
        <f t="shared" ref="U172:U184" si="108">AK172</f>
        <v>5.7399999999999993</v>
      </c>
      <c r="V172" s="472">
        <f t="shared" ref="V172:V184" si="109">AL172</f>
        <v>12</v>
      </c>
      <c r="W172" s="472">
        <f t="shared" ref="W172:W184" si="110">AM172</f>
        <v>16.939999999999998</v>
      </c>
      <c r="X172" s="472">
        <f t="shared" ref="X172:X184" si="111">AN172</f>
        <v>21.8</v>
      </c>
      <c r="Y172" s="472">
        <f t="shared" ref="Y172:Y184" si="112">AO172</f>
        <v>16.72</v>
      </c>
      <c r="Z172" s="472">
        <f t="shared" ref="Z172:Z184" si="113">AP172</f>
        <v>18.239999999999998</v>
      </c>
      <c r="AI172" s="310" t="str">
        <v>GigaEthernet (100Mbps)</v>
      </c>
      <c r="AK172" s="472">
        <v>5.7399999999999993</v>
      </c>
      <c r="AL172" s="472">
        <v>12</v>
      </c>
      <c r="AM172" s="472">
        <v>16.939999999999998</v>
      </c>
      <c r="AN172" s="472">
        <v>21.8</v>
      </c>
      <c r="AO172" s="472">
        <v>16.72</v>
      </c>
      <c r="AP172" s="472">
        <v>18.239999999999998</v>
      </c>
    </row>
    <row r="173" spans="3:42" s="299" customFormat="1">
      <c r="C173" s="310" t="str">
        <v>GigaEthernet (150Mbps)</v>
      </c>
      <c r="E173" s="471">
        <v>0</v>
      </c>
      <c r="F173" s="471">
        <v>0</v>
      </c>
      <c r="G173" s="471">
        <v>0</v>
      </c>
      <c r="H173" s="471">
        <v>0</v>
      </c>
      <c r="I173" s="471">
        <v>0</v>
      </c>
      <c r="J173" s="471">
        <v>0</v>
      </c>
      <c r="S173" s="310" t="str">
        <v>GigaEthernet (150Mbps)</v>
      </c>
      <c r="U173" s="472">
        <f t="shared" si="108"/>
        <v>2.56</v>
      </c>
      <c r="V173" s="472">
        <f t="shared" si="109"/>
        <v>2.06</v>
      </c>
      <c r="W173" s="472">
        <f t="shared" si="110"/>
        <v>2.2999999999999998</v>
      </c>
      <c r="X173" s="472">
        <f t="shared" si="111"/>
        <v>0</v>
      </c>
      <c r="Y173" s="472">
        <f t="shared" si="112"/>
        <v>2.2400000000000002</v>
      </c>
      <c r="Z173" s="472">
        <f t="shared" si="113"/>
        <v>6.36</v>
      </c>
      <c r="AI173" s="310" t="str">
        <v>GigaEthernet (150Mbps)</v>
      </c>
      <c r="AK173" s="472">
        <v>2.56</v>
      </c>
      <c r="AL173" s="472">
        <v>2.06</v>
      </c>
      <c r="AM173" s="472">
        <v>2.2999999999999998</v>
      </c>
      <c r="AN173" s="472">
        <v>0</v>
      </c>
      <c r="AO173" s="472">
        <v>2.2400000000000002</v>
      </c>
      <c r="AP173" s="472">
        <v>6.36</v>
      </c>
    </row>
    <row r="174" spans="3:42" s="299" customFormat="1">
      <c r="C174" s="310" t="str">
        <v>GigaEthernet (200Mbps)</v>
      </c>
      <c r="E174" s="471">
        <v>0</v>
      </c>
      <c r="F174" s="471">
        <v>0</v>
      </c>
      <c r="G174" s="471">
        <v>0</v>
      </c>
      <c r="H174" s="471">
        <v>0</v>
      </c>
      <c r="I174" s="471">
        <v>0</v>
      </c>
      <c r="J174" s="471">
        <v>0</v>
      </c>
      <c r="S174" s="310" t="str">
        <v>GigaEthernet (200Mbps)</v>
      </c>
      <c r="U174" s="472">
        <f t="shared" si="108"/>
        <v>0</v>
      </c>
      <c r="V174" s="472">
        <f t="shared" si="109"/>
        <v>0</v>
      </c>
      <c r="W174" s="472">
        <f t="shared" si="110"/>
        <v>0</v>
      </c>
      <c r="X174" s="472">
        <f t="shared" si="111"/>
        <v>2.54</v>
      </c>
      <c r="Y174" s="472">
        <f t="shared" si="112"/>
        <v>2.5</v>
      </c>
      <c r="Z174" s="472">
        <f t="shared" si="113"/>
        <v>2.3199999999999998</v>
      </c>
      <c r="AI174" s="310" t="str">
        <v>GigaEthernet (200Mbps)</v>
      </c>
      <c r="AK174" s="472">
        <v>0</v>
      </c>
      <c r="AL174" s="472">
        <v>0</v>
      </c>
      <c r="AM174" s="472">
        <v>0</v>
      </c>
      <c r="AN174" s="472">
        <v>2.54</v>
      </c>
      <c r="AO174" s="472">
        <v>2.5</v>
      </c>
      <c r="AP174" s="472">
        <v>2.3199999999999998</v>
      </c>
    </row>
    <row r="175" spans="3:42" s="299" customFormat="1">
      <c r="C175" s="310" t="str">
        <v>GigaEthernet (250Mbps)</v>
      </c>
      <c r="E175" s="471">
        <v>0</v>
      </c>
      <c r="F175" s="471">
        <v>0</v>
      </c>
      <c r="G175" s="471">
        <v>0</v>
      </c>
      <c r="H175" s="471">
        <v>0</v>
      </c>
      <c r="I175" s="471">
        <v>0</v>
      </c>
      <c r="J175" s="471">
        <v>0</v>
      </c>
      <c r="S175" s="310" t="str">
        <v>GigaEthernet (250Mbps)</v>
      </c>
      <c r="U175" s="472">
        <f t="shared" si="108"/>
        <v>0</v>
      </c>
      <c r="V175" s="472">
        <f t="shared" si="109"/>
        <v>0</v>
      </c>
      <c r="W175" s="472">
        <f t="shared" si="110"/>
        <v>0</v>
      </c>
      <c r="X175" s="472">
        <f t="shared" si="111"/>
        <v>0</v>
      </c>
      <c r="Y175" s="472">
        <f t="shared" si="112"/>
        <v>0</v>
      </c>
      <c r="Z175" s="472">
        <f t="shared" si="113"/>
        <v>0</v>
      </c>
      <c r="AI175" s="310" t="str">
        <v>GigaEthernet (250Mbps)</v>
      </c>
      <c r="AK175" s="472">
        <v>0</v>
      </c>
      <c r="AL175" s="472">
        <v>0</v>
      </c>
      <c r="AM175" s="472">
        <v>0</v>
      </c>
      <c r="AN175" s="472">
        <v>0</v>
      </c>
      <c r="AO175" s="472">
        <v>0</v>
      </c>
      <c r="AP175" s="472">
        <v>0</v>
      </c>
    </row>
    <row r="176" spans="3:42" s="299" customFormat="1">
      <c r="C176" s="310" t="str">
        <v>GigaEthernet (300Mbps)</v>
      </c>
      <c r="E176" s="471">
        <v>0</v>
      </c>
      <c r="F176" s="471">
        <v>0</v>
      </c>
      <c r="G176" s="471">
        <v>0</v>
      </c>
      <c r="H176" s="471">
        <v>0</v>
      </c>
      <c r="I176" s="471">
        <v>0</v>
      </c>
      <c r="J176" s="471">
        <v>0</v>
      </c>
      <c r="S176" s="310" t="str">
        <v>GigaEthernet (300Mbps)</v>
      </c>
      <c r="U176" s="472">
        <f t="shared" si="108"/>
        <v>1.88</v>
      </c>
      <c r="V176" s="472">
        <f t="shared" si="109"/>
        <v>2.52</v>
      </c>
      <c r="W176" s="472">
        <f t="shared" si="110"/>
        <v>1.78</v>
      </c>
      <c r="X176" s="472">
        <f t="shared" si="111"/>
        <v>0</v>
      </c>
      <c r="Y176" s="472">
        <f t="shared" si="112"/>
        <v>0</v>
      </c>
      <c r="Z176" s="472">
        <f t="shared" si="113"/>
        <v>0</v>
      </c>
      <c r="AI176" s="310" t="str">
        <v>GigaEthernet (300Mbps)</v>
      </c>
      <c r="AK176" s="472">
        <v>1.88</v>
      </c>
      <c r="AL176" s="472">
        <v>2.52</v>
      </c>
      <c r="AM176" s="472">
        <v>1.78</v>
      </c>
      <c r="AN176" s="472">
        <v>0</v>
      </c>
      <c r="AO176" s="472">
        <v>0</v>
      </c>
      <c r="AP176" s="472">
        <v>0</v>
      </c>
    </row>
    <row r="177" spans="3:48" s="299" customFormat="1">
      <c r="C177" s="310" t="str">
        <v>GigaEthernet (350Mbps)</v>
      </c>
      <c r="E177" s="471">
        <v>0</v>
      </c>
      <c r="F177" s="471">
        <v>0</v>
      </c>
      <c r="G177" s="471">
        <v>0</v>
      </c>
      <c r="H177" s="471">
        <v>0</v>
      </c>
      <c r="I177" s="471">
        <v>0</v>
      </c>
      <c r="J177" s="471">
        <v>0</v>
      </c>
      <c r="S177" s="310" t="str">
        <v>GigaEthernet (350Mbps)</v>
      </c>
      <c r="U177" s="472">
        <f t="shared" si="108"/>
        <v>0</v>
      </c>
      <c r="V177" s="472">
        <f t="shared" si="109"/>
        <v>0</v>
      </c>
      <c r="W177" s="472">
        <f t="shared" si="110"/>
        <v>0</v>
      </c>
      <c r="X177" s="472">
        <f t="shared" si="111"/>
        <v>0</v>
      </c>
      <c r="Y177" s="472">
        <f t="shared" si="112"/>
        <v>0</v>
      </c>
      <c r="Z177" s="472">
        <f t="shared" si="113"/>
        <v>0</v>
      </c>
      <c r="AI177" s="310" t="str">
        <v>GigaEthernet (350Mbps)</v>
      </c>
      <c r="AK177" s="472">
        <v>0</v>
      </c>
      <c r="AL177" s="472">
        <v>0</v>
      </c>
      <c r="AM177" s="472">
        <v>0</v>
      </c>
      <c r="AN177" s="472">
        <v>0</v>
      </c>
      <c r="AO177" s="472">
        <v>0</v>
      </c>
      <c r="AP177" s="472">
        <v>0</v>
      </c>
    </row>
    <row r="178" spans="3:48" s="299" customFormat="1">
      <c r="C178" s="310" t="str">
        <v>GigaEthernet (400Mbps)</v>
      </c>
      <c r="E178" s="471">
        <v>0</v>
      </c>
      <c r="F178" s="471">
        <v>0</v>
      </c>
      <c r="G178" s="471">
        <v>0</v>
      </c>
      <c r="H178" s="471">
        <v>0</v>
      </c>
      <c r="I178" s="471">
        <v>0</v>
      </c>
      <c r="J178" s="471">
        <v>0</v>
      </c>
      <c r="S178" s="310" t="str">
        <v>GigaEthernet (400Mbps)</v>
      </c>
      <c r="U178" s="472">
        <f t="shared" si="108"/>
        <v>0</v>
      </c>
      <c r="V178" s="472">
        <f t="shared" si="109"/>
        <v>0</v>
      </c>
      <c r="W178" s="472">
        <f t="shared" si="110"/>
        <v>0</v>
      </c>
      <c r="X178" s="472">
        <f t="shared" si="111"/>
        <v>1.72</v>
      </c>
      <c r="Y178" s="472">
        <f t="shared" si="112"/>
        <v>1.66</v>
      </c>
      <c r="Z178" s="472">
        <f t="shared" si="113"/>
        <v>3.69</v>
      </c>
      <c r="AI178" s="310" t="str">
        <v>GigaEthernet (400Mbps)</v>
      </c>
      <c r="AK178" s="472">
        <v>0</v>
      </c>
      <c r="AL178" s="472">
        <v>0</v>
      </c>
      <c r="AM178" s="472">
        <v>0</v>
      </c>
      <c r="AN178" s="472">
        <v>1.72</v>
      </c>
      <c r="AO178" s="472">
        <v>1.66</v>
      </c>
      <c r="AP178" s="472">
        <v>3.69</v>
      </c>
    </row>
    <row r="179" spans="3:48" s="299" customFormat="1">
      <c r="C179" s="310" t="str">
        <v>GigaEthernet (450Mbps)</v>
      </c>
      <c r="E179" s="471">
        <v>0</v>
      </c>
      <c r="F179" s="471">
        <v>0</v>
      </c>
      <c r="G179" s="471">
        <v>0</v>
      </c>
      <c r="H179" s="471">
        <v>0</v>
      </c>
      <c r="I179" s="471">
        <v>0</v>
      </c>
      <c r="J179" s="471">
        <v>0</v>
      </c>
      <c r="S179" s="310" t="str">
        <v>GigaEthernet (450Mbps)</v>
      </c>
      <c r="U179" s="472">
        <f t="shared" si="108"/>
        <v>0</v>
      </c>
      <c r="V179" s="472">
        <f t="shared" si="109"/>
        <v>0</v>
      </c>
      <c r="W179" s="472">
        <f t="shared" si="110"/>
        <v>0</v>
      </c>
      <c r="X179" s="472">
        <f t="shared" si="111"/>
        <v>0</v>
      </c>
      <c r="Y179" s="472">
        <f t="shared" si="112"/>
        <v>0</v>
      </c>
      <c r="Z179" s="472">
        <f t="shared" si="113"/>
        <v>0</v>
      </c>
      <c r="AI179" s="310" t="str">
        <v>GigaEthernet (450Mbps)</v>
      </c>
      <c r="AK179" s="472">
        <v>0</v>
      </c>
      <c r="AL179" s="472">
        <v>0</v>
      </c>
      <c r="AM179" s="472">
        <v>0</v>
      </c>
      <c r="AN179" s="472">
        <v>0</v>
      </c>
      <c r="AO179" s="472">
        <v>0</v>
      </c>
      <c r="AP179" s="472">
        <v>0</v>
      </c>
    </row>
    <row r="180" spans="3:48" s="299" customFormat="1">
      <c r="C180" s="310" t="str">
        <v>GigaEthernet (500Mbps)</v>
      </c>
      <c r="E180" s="471">
        <v>0</v>
      </c>
      <c r="F180" s="471">
        <v>0</v>
      </c>
      <c r="G180" s="471">
        <v>0</v>
      </c>
      <c r="H180" s="471">
        <v>0</v>
      </c>
      <c r="I180" s="471">
        <v>0</v>
      </c>
      <c r="J180" s="471">
        <v>0</v>
      </c>
      <c r="S180" s="310" t="str">
        <v>GigaEthernet (500Mbps)</v>
      </c>
      <c r="U180" s="472">
        <f t="shared" si="108"/>
        <v>0</v>
      </c>
      <c r="V180" s="472">
        <f t="shared" si="109"/>
        <v>0</v>
      </c>
      <c r="W180" s="472">
        <f t="shared" si="110"/>
        <v>0</v>
      </c>
      <c r="X180" s="472">
        <f t="shared" si="111"/>
        <v>0</v>
      </c>
      <c r="Y180" s="472">
        <f t="shared" si="112"/>
        <v>0</v>
      </c>
      <c r="Z180" s="472">
        <f t="shared" si="113"/>
        <v>0</v>
      </c>
      <c r="AI180" s="310" t="str">
        <v>GigaEthernet (500Mbps)</v>
      </c>
      <c r="AK180" s="472">
        <v>0</v>
      </c>
      <c r="AL180" s="472">
        <v>0</v>
      </c>
      <c r="AM180" s="472">
        <v>0</v>
      </c>
      <c r="AN180" s="472">
        <v>0</v>
      </c>
      <c r="AO180" s="472">
        <v>0</v>
      </c>
      <c r="AP180" s="472">
        <v>0</v>
      </c>
    </row>
    <row r="181" spans="3:48" s="299" customFormat="1">
      <c r="C181" s="310" t="str">
        <v>GigaEthernet (550Mbps)</v>
      </c>
      <c r="E181" s="471">
        <v>0</v>
      </c>
      <c r="F181" s="471">
        <v>0</v>
      </c>
      <c r="G181" s="471">
        <v>0</v>
      </c>
      <c r="H181" s="471">
        <v>0</v>
      </c>
      <c r="I181" s="471">
        <v>0</v>
      </c>
      <c r="J181" s="471">
        <v>0</v>
      </c>
      <c r="S181" s="310" t="str">
        <v>GigaEthernet (550Mbps)</v>
      </c>
      <c r="U181" s="472">
        <f t="shared" si="108"/>
        <v>0</v>
      </c>
      <c r="V181" s="472">
        <f t="shared" si="109"/>
        <v>0</v>
      </c>
      <c r="W181" s="472">
        <f t="shared" si="110"/>
        <v>0</v>
      </c>
      <c r="X181" s="472">
        <f t="shared" si="111"/>
        <v>0</v>
      </c>
      <c r="Y181" s="472">
        <f t="shared" si="112"/>
        <v>0</v>
      </c>
      <c r="Z181" s="472">
        <f t="shared" si="113"/>
        <v>0</v>
      </c>
      <c r="AI181" s="310" t="str">
        <v>GigaEthernet (550Mbps)</v>
      </c>
      <c r="AK181" s="472">
        <v>0</v>
      </c>
      <c r="AL181" s="472">
        <v>0</v>
      </c>
      <c r="AM181" s="472">
        <v>0</v>
      </c>
      <c r="AN181" s="472">
        <v>0</v>
      </c>
      <c r="AO181" s="472">
        <v>0</v>
      </c>
      <c r="AP181" s="472">
        <v>0</v>
      </c>
    </row>
    <row r="182" spans="3:48" s="299" customFormat="1">
      <c r="C182" s="310" t="str">
        <v>GigaEthernet (600Mbps)</v>
      </c>
      <c r="E182" s="471">
        <v>0</v>
      </c>
      <c r="F182" s="471">
        <v>0</v>
      </c>
      <c r="G182" s="471">
        <v>0</v>
      </c>
      <c r="H182" s="471">
        <v>0</v>
      </c>
      <c r="I182" s="471">
        <v>0</v>
      </c>
      <c r="J182" s="471">
        <v>0</v>
      </c>
      <c r="S182" s="310" t="str">
        <v>GigaEthernet (600Mbps)</v>
      </c>
      <c r="U182" s="472">
        <f t="shared" si="108"/>
        <v>0.78</v>
      </c>
      <c r="V182" s="472">
        <f t="shared" si="109"/>
        <v>0.7</v>
      </c>
      <c r="W182" s="472">
        <f t="shared" si="110"/>
        <v>0</v>
      </c>
      <c r="X182" s="472">
        <f t="shared" si="111"/>
        <v>0</v>
      </c>
      <c r="Y182" s="472">
        <f t="shared" si="112"/>
        <v>0</v>
      </c>
      <c r="Z182" s="472">
        <f t="shared" si="113"/>
        <v>0</v>
      </c>
      <c r="AI182" s="310" t="str">
        <v>GigaEthernet (600Mbps)</v>
      </c>
      <c r="AK182" s="472">
        <v>0.78</v>
      </c>
      <c r="AL182" s="472">
        <v>0.7</v>
      </c>
      <c r="AM182" s="472">
        <v>0</v>
      </c>
      <c r="AN182" s="472">
        <v>0</v>
      </c>
      <c r="AO182" s="472">
        <v>0</v>
      </c>
      <c r="AP182" s="472">
        <v>0</v>
      </c>
    </row>
    <row r="183" spans="3:48" s="299" customFormat="1">
      <c r="C183" s="310" t="str">
        <v>GigaEthernet (750Mbps)</v>
      </c>
      <c r="E183" s="471">
        <v>0</v>
      </c>
      <c r="F183" s="471">
        <v>0</v>
      </c>
      <c r="G183" s="471">
        <v>0</v>
      </c>
      <c r="H183" s="471">
        <v>0</v>
      </c>
      <c r="I183" s="471">
        <v>0</v>
      </c>
      <c r="J183" s="471">
        <v>0</v>
      </c>
      <c r="S183" s="310" t="str">
        <v>GigaEthernet (750Mbps)</v>
      </c>
      <c r="U183" s="472">
        <f t="shared" si="108"/>
        <v>0</v>
      </c>
      <c r="V183" s="472">
        <f t="shared" si="109"/>
        <v>0</v>
      </c>
      <c r="W183" s="472">
        <f t="shared" si="110"/>
        <v>0.96</v>
      </c>
      <c r="X183" s="472">
        <f t="shared" si="111"/>
        <v>1.28</v>
      </c>
      <c r="Y183" s="472">
        <f t="shared" si="112"/>
        <v>0.91</v>
      </c>
      <c r="Z183" s="472">
        <f t="shared" si="113"/>
        <v>0</v>
      </c>
      <c r="AI183" s="310" t="str">
        <v>GigaEthernet (750Mbps)</v>
      </c>
      <c r="AK183" s="472">
        <v>0</v>
      </c>
      <c r="AL183" s="472">
        <v>0</v>
      </c>
      <c r="AM183" s="472">
        <v>0.96</v>
      </c>
      <c r="AN183" s="472">
        <v>1.28</v>
      </c>
      <c r="AO183" s="472">
        <v>0.91</v>
      </c>
      <c r="AP183" s="472">
        <v>0</v>
      </c>
    </row>
    <row r="184" spans="3:48" s="299" customFormat="1">
      <c r="C184" s="310" t="str">
        <v>GigaEthernet (1 Gbps)</v>
      </c>
      <c r="E184" s="471">
        <v>0</v>
      </c>
      <c r="F184" s="471">
        <v>0</v>
      </c>
      <c r="G184" s="471">
        <v>0</v>
      </c>
      <c r="H184" s="471">
        <v>0</v>
      </c>
      <c r="I184" s="471">
        <v>0</v>
      </c>
      <c r="J184" s="471">
        <v>0</v>
      </c>
      <c r="S184" s="310" t="str">
        <v>GigaEthernet (1 Gbps)</v>
      </c>
      <c r="U184" s="472">
        <f t="shared" si="108"/>
        <v>0</v>
      </c>
      <c r="V184" s="472">
        <f t="shared" si="109"/>
        <v>0.95</v>
      </c>
      <c r="W184" s="472">
        <f t="shared" si="110"/>
        <v>0</v>
      </c>
      <c r="X184" s="472">
        <f t="shared" si="111"/>
        <v>0</v>
      </c>
      <c r="Y184" s="472">
        <f t="shared" si="112"/>
        <v>1.08</v>
      </c>
      <c r="Z184" s="472">
        <f t="shared" si="113"/>
        <v>10.4</v>
      </c>
      <c r="AI184" s="310" t="str">
        <v>GigaEthernet (1 Gbps)</v>
      </c>
      <c r="AK184" s="472">
        <v>0</v>
      </c>
      <c r="AL184" s="472">
        <v>0.95</v>
      </c>
      <c r="AM184" s="472">
        <v>0</v>
      </c>
      <c r="AN184" s="472">
        <v>0</v>
      </c>
      <c r="AO184" s="472">
        <v>1.08</v>
      </c>
      <c r="AP184" s="472">
        <v>10.4</v>
      </c>
    </row>
    <row r="185" spans="3:48">
      <c r="K185" s="38" t="s">
        <v>578</v>
      </c>
      <c r="AA185" s="38" t="s">
        <v>585</v>
      </c>
      <c r="AH185" s="299"/>
      <c r="AI185" s="299"/>
      <c r="AJ185" s="299"/>
      <c r="AK185" s="299"/>
      <c r="AL185" s="299"/>
      <c r="AM185" s="299"/>
      <c r="AN185" s="299"/>
      <c r="AO185" s="299"/>
      <c r="AP185" s="299"/>
      <c r="AQ185" s="38" t="s">
        <v>592</v>
      </c>
      <c r="AR185" s="299"/>
      <c r="AS185" s="299"/>
      <c r="AT185" s="299"/>
      <c r="AU185" s="299"/>
      <c r="AV185" s="299"/>
    </row>
    <row r="186" spans="3:48">
      <c r="AH186" s="299"/>
      <c r="AI186" s="299"/>
      <c r="AJ186" s="299"/>
      <c r="AK186" s="299"/>
      <c r="AL186" s="299"/>
      <c r="AM186" s="299"/>
      <c r="AN186" s="299"/>
      <c r="AO186" s="299"/>
      <c r="AP186" s="299"/>
      <c r="AQ186" s="299"/>
      <c r="AR186" s="299"/>
      <c r="AS186" s="299"/>
      <c r="AT186" s="299"/>
      <c r="AU186" s="299"/>
      <c r="AV186" s="299"/>
    </row>
    <row r="187" spans="3:48" s="299" customFormat="1" ht="15.75" thickBot="1">
      <c r="C187" s="130" t="s">
        <v>490</v>
      </c>
      <c r="S187" s="130" t="s">
        <v>490</v>
      </c>
      <c r="AI187" s="130" t="s">
        <v>490</v>
      </c>
    </row>
    <row r="188" spans="3:48" s="299" customFormat="1" ht="15.75" thickBot="1">
      <c r="C188" s="130" t="s">
        <v>491</v>
      </c>
      <c r="D188" s="130"/>
      <c r="E188" s="130"/>
      <c r="F188" s="130"/>
      <c r="G188" s="130"/>
      <c r="H188" s="130"/>
      <c r="I188" s="130"/>
      <c r="J188" s="130"/>
      <c r="K188" s="130"/>
      <c r="L188" s="130"/>
      <c r="M188" s="130"/>
      <c r="N188" s="130"/>
      <c r="O188" s="130"/>
      <c r="P188" s="130"/>
      <c r="S188" s="130" t="s">
        <v>491</v>
      </c>
      <c r="T188" s="130"/>
      <c r="U188" s="130"/>
      <c r="V188" s="130"/>
      <c r="W188" s="130"/>
      <c r="X188" s="130"/>
      <c r="Y188" s="130"/>
      <c r="Z188" s="130"/>
      <c r="AA188" s="130"/>
      <c r="AB188" s="130"/>
      <c r="AC188" s="130"/>
      <c r="AD188" s="130"/>
      <c r="AE188" s="130"/>
      <c r="AF188" s="130"/>
      <c r="AI188" s="130" t="s">
        <v>491</v>
      </c>
      <c r="AJ188" s="130"/>
      <c r="AK188" s="130"/>
      <c r="AL188" s="130"/>
      <c r="AM188" s="130"/>
      <c r="AN188" s="130"/>
      <c r="AO188" s="130"/>
      <c r="AP188" s="130"/>
      <c r="AQ188" s="130"/>
      <c r="AR188" s="130"/>
      <c r="AS188" s="130"/>
      <c r="AT188" s="130"/>
      <c r="AU188" s="130"/>
      <c r="AV188" s="130"/>
    </row>
    <row r="189" spans="3:48" s="299" customFormat="1">
      <c r="S189" s="314" t="str">
        <f>Retail.leased.lines.proporcionados.option</f>
        <v>Supuesto 2</v>
      </c>
    </row>
    <row r="190" spans="3:48" s="299" customFormat="1">
      <c r="C190" s="325" t="s">
        <v>442</v>
      </c>
      <c r="D190" s="325">
        <f t="array" ref="D190:O190">TRANSPOSE(Years)</f>
        <v>2008</v>
      </c>
      <c r="E190" s="325">
        <v>2009</v>
      </c>
      <c r="F190" s="325">
        <v>2010</v>
      </c>
      <c r="G190" s="325">
        <v>2011</v>
      </c>
      <c r="H190" s="325">
        <v>2012</v>
      </c>
      <c r="I190" s="325">
        <v>2013</v>
      </c>
      <c r="J190" s="325">
        <v>2014</v>
      </c>
      <c r="K190" s="325">
        <v>2015</v>
      </c>
      <c r="L190" s="325">
        <v>2016</v>
      </c>
      <c r="M190" s="325">
        <v>2017</v>
      </c>
      <c r="N190" s="325">
        <v>2018</v>
      </c>
      <c r="O190" s="325">
        <v>2019</v>
      </c>
      <c r="S190" s="338" t="s">
        <v>442</v>
      </c>
      <c r="T190" s="338">
        <f t="array" ref="T190:AE190">TRANSPOSE(Years)</f>
        <v>2008</v>
      </c>
      <c r="U190" s="338">
        <v>2009</v>
      </c>
      <c r="V190" s="338">
        <v>2010</v>
      </c>
      <c r="W190" s="338">
        <v>2011</v>
      </c>
      <c r="X190" s="338">
        <v>2012</v>
      </c>
      <c r="Y190" s="338">
        <v>2013</v>
      </c>
      <c r="Z190" s="338">
        <v>2014</v>
      </c>
      <c r="AA190" s="338">
        <v>2015</v>
      </c>
      <c r="AB190" s="338">
        <v>2016</v>
      </c>
      <c r="AC190" s="338">
        <v>2017</v>
      </c>
      <c r="AD190" s="338">
        <v>2018</v>
      </c>
      <c r="AE190" s="338">
        <v>2019</v>
      </c>
      <c r="AI190" s="338" t="s">
        <v>442</v>
      </c>
      <c r="AJ190" s="338">
        <f t="array" ref="AJ190:AU190">TRANSPOSE(Years)</f>
        <v>2008</v>
      </c>
      <c r="AK190" s="338">
        <v>2009</v>
      </c>
      <c r="AL190" s="338">
        <v>2010</v>
      </c>
      <c r="AM190" s="338">
        <v>2011</v>
      </c>
      <c r="AN190" s="338">
        <v>2012</v>
      </c>
      <c r="AO190" s="338">
        <v>2013</v>
      </c>
      <c r="AP190" s="338">
        <v>2014</v>
      </c>
      <c r="AQ190" s="338">
        <v>2015</v>
      </c>
      <c r="AR190" s="338">
        <v>2016</v>
      </c>
      <c r="AS190" s="338">
        <v>2017</v>
      </c>
      <c r="AT190" s="338">
        <v>2018</v>
      </c>
      <c r="AU190" s="338">
        <v>2019</v>
      </c>
    </row>
    <row r="191" spans="3:48" s="299" customFormat="1">
      <c r="C191" s="310" t="str">
        <f t="array" ref="C191:C228">LL.list</f>
        <v>64 kbps</v>
      </c>
      <c r="E191" s="471">
        <f t="array" ref="E191:J228">AK191:AP228-U191:Z228</f>
        <v>52.91</v>
      </c>
      <c r="F191" s="471">
        <v>34.349999999999994</v>
      </c>
      <c r="G191" s="471">
        <v>26.08</v>
      </c>
      <c r="H191" s="471">
        <v>25.299999999999997</v>
      </c>
      <c r="I191" s="471">
        <v>22.990000000000002</v>
      </c>
      <c r="J191" s="471">
        <v>20.240000000000002</v>
      </c>
      <c r="R191" s="469">
        <v>0.5</v>
      </c>
      <c r="S191" s="310" t="str">
        <f t="array" ref="S191:S228">LL.list</f>
        <v>64 kbps</v>
      </c>
      <c r="U191" s="471">
        <f t="shared" ref="U191:U201" si="114">ROUNDUP(AK191*$R191,0)</f>
        <v>53</v>
      </c>
      <c r="V191" s="471">
        <f t="shared" ref="V191:V201" si="115">ROUNDUP(AL191*$R191,0)</f>
        <v>35</v>
      </c>
      <c r="W191" s="471">
        <f t="shared" ref="W191:W201" si="116">ROUNDUP(AM191*$R191,0)</f>
        <v>28</v>
      </c>
      <c r="X191" s="471">
        <f t="shared" ref="X191:X201" si="117">ROUNDUP(AN191*$R191,0)</f>
        <v>26</v>
      </c>
      <c r="Y191" s="471">
        <f t="shared" ref="Y191:Y201" si="118">ROUNDUP(AO191*$R191,0)</f>
        <v>24</v>
      </c>
      <c r="Z191" s="471">
        <f t="shared" ref="Z191:Z201" si="119">ROUNDUP(AP191*$R191,0)</f>
        <v>22</v>
      </c>
      <c r="AI191" s="310" t="str">
        <f t="array" ref="AI191:AI228">LL.list</f>
        <v>64 kbps</v>
      </c>
      <c r="AK191" s="472">
        <f t="array" ref="AK191:AP228">'7'!$BE$453:$BJ$490</f>
        <v>105.91</v>
      </c>
      <c r="AL191" s="472">
        <v>69.349999999999994</v>
      </c>
      <c r="AM191" s="472">
        <v>54.08</v>
      </c>
      <c r="AN191" s="472">
        <v>51.3</v>
      </c>
      <c r="AO191" s="472">
        <v>46.99</v>
      </c>
      <c r="AP191" s="472">
        <v>42.24</v>
      </c>
    </row>
    <row r="192" spans="3:48" s="299" customFormat="1">
      <c r="C192" s="310" t="str">
        <v>128 kbps</v>
      </c>
      <c r="E192" s="471">
        <v>10.75</v>
      </c>
      <c r="F192" s="471">
        <v>7.379999999999999</v>
      </c>
      <c r="G192" s="471">
        <v>7.5399999999999991</v>
      </c>
      <c r="H192" s="471">
        <v>9.16</v>
      </c>
      <c r="I192" s="471">
        <v>10.32</v>
      </c>
      <c r="J192" s="471">
        <v>15.25</v>
      </c>
      <c r="R192" s="469">
        <v>0.5</v>
      </c>
      <c r="S192" s="310" t="str">
        <v>128 kbps</v>
      </c>
      <c r="U192" s="471">
        <f t="shared" si="114"/>
        <v>11</v>
      </c>
      <c r="V192" s="471">
        <f t="shared" si="115"/>
        <v>9</v>
      </c>
      <c r="W192" s="471">
        <f t="shared" si="116"/>
        <v>8</v>
      </c>
      <c r="X192" s="471">
        <f t="shared" si="117"/>
        <v>11</v>
      </c>
      <c r="Y192" s="471">
        <f t="shared" si="118"/>
        <v>11</v>
      </c>
      <c r="Z192" s="471">
        <f t="shared" si="119"/>
        <v>17</v>
      </c>
      <c r="AI192" s="310" t="str">
        <v>128 kbps</v>
      </c>
      <c r="AK192" s="472">
        <v>21.75</v>
      </c>
      <c r="AL192" s="472">
        <v>16.38</v>
      </c>
      <c r="AM192" s="472">
        <v>15.54</v>
      </c>
      <c r="AN192" s="472">
        <v>20.16</v>
      </c>
      <c r="AO192" s="472">
        <v>21.32</v>
      </c>
      <c r="AP192" s="472">
        <v>32.25</v>
      </c>
    </row>
    <row r="193" spans="3:42" s="299" customFormat="1">
      <c r="C193" s="310" t="str">
        <v>192 kbps</v>
      </c>
      <c r="E193" s="471">
        <v>11.43</v>
      </c>
      <c r="F193" s="471">
        <v>11.559999999999999</v>
      </c>
      <c r="G193" s="471">
        <v>17.479999999999997</v>
      </c>
      <c r="H193" s="471">
        <v>18.759999999999998</v>
      </c>
      <c r="I193" s="471">
        <v>13.080000000000002</v>
      </c>
      <c r="J193" s="471">
        <v>15.68</v>
      </c>
      <c r="R193" s="469">
        <v>0.5</v>
      </c>
      <c r="S193" s="310" t="str">
        <v>192 kbps</v>
      </c>
      <c r="U193" s="471">
        <f t="shared" si="114"/>
        <v>12</v>
      </c>
      <c r="V193" s="471">
        <f t="shared" si="115"/>
        <v>12</v>
      </c>
      <c r="W193" s="471">
        <f t="shared" si="116"/>
        <v>19</v>
      </c>
      <c r="X193" s="471">
        <f t="shared" si="117"/>
        <v>20</v>
      </c>
      <c r="Y193" s="471">
        <f t="shared" si="118"/>
        <v>15</v>
      </c>
      <c r="Z193" s="471">
        <f t="shared" si="119"/>
        <v>16</v>
      </c>
      <c r="AI193" s="310" t="str">
        <v>192 kbps</v>
      </c>
      <c r="AK193" s="472">
        <v>23.43</v>
      </c>
      <c r="AL193" s="472">
        <v>23.56</v>
      </c>
      <c r="AM193" s="472">
        <v>36.479999999999997</v>
      </c>
      <c r="AN193" s="472">
        <v>38.76</v>
      </c>
      <c r="AO193" s="472">
        <v>28.080000000000002</v>
      </c>
      <c r="AP193" s="472">
        <v>31.68</v>
      </c>
    </row>
    <row r="194" spans="3:42" s="299" customFormat="1">
      <c r="C194" s="310" t="str">
        <v>256 kbps</v>
      </c>
      <c r="E194" s="471">
        <v>10</v>
      </c>
      <c r="F194" s="471">
        <v>7.34</v>
      </c>
      <c r="G194" s="471">
        <v>6.5600000000000005</v>
      </c>
      <c r="H194" s="471">
        <v>8.1499999999999986</v>
      </c>
      <c r="I194" s="471">
        <v>4.4499999999999993</v>
      </c>
      <c r="J194" s="471">
        <v>4.99</v>
      </c>
      <c r="R194" s="469">
        <v>0.5</v>
      </c>
      <c r="S194" s="310" t="str">
        <v>256 kbps</v>
      </c>
      <c r="U194" s="471">
        <f t="shared" si="114"/>
        <v>11</v>
      </c>
      <c r="V194" s="471">
        <f t="shared" si="115"/>
        <v>9</v>
      </c>
      <c r="W194" s="471">
        <f t="shared" si="116"/>
        <v>8</v>
      </c>
      <c r="X194" s="471">
        <f t="shared" si="117"/>
        <v>10</v>
      </c>
      <c r="Y194" s="471">
        <f t="shared" si="118"/>
        <v>6</v>
      </c>
      <c r="Z194" s="471">
        <f t="shared" si="119"/>
        <v>5</v>
      </c>
      <c r="AI194" s="310" t="str">
        <v>256 kbps</v>
      </c>
      <c r="AK194" s="472">
        <v>21</v>
      </c>
      <c r="AL194" s="472">
        <v>16.34</v>
      </c>
      <c r="AM194" s="472">
        <v>14.56</v>
      </c>
      <c r="AN194" s="472">
        <v>18.149999999999999</v>
      </c>
      <c r="AO194" s="472">
        <v>10.45</v>
      </c>
      <c r="AP194" s="472">
        <v>9.99</v>
      </c>
    </row>
    <row r="195" spans="3:42" s="299" customFormat="1">
      <c r="C195" s="310" t="str">
        <v>384 kbps</v>
      </c>
      <c r="E195" s="471">
        <v>2</v>
      </c>
      <c r="F195" s="471">
        <v>0.56000000000000005</v>
      </c>
      <c r="G195" s="471">
        <v>0.74</v>
      </c>
      <c r="H195" s="471">
        <v>-6.0000000000000053E-2</v>
      </c>
      <c r="I195" s="471">
        <v>-0.17000000000000004</v>
      </c>
      <c r="J195" s="471">
        <v>0.1100000000000001</v>
      </c>
      <c r="R195" s="469">
        <v>0.5</v>
      </c>
      <c r="S195" s="310" t="str">
        <v>384 kbps</v>
      </c>
      <c r="U195" s="471">
        <f t="shared" si="114"/>
        <v>3</v>
      </c>
      <c r="V195" s="471">
        <f t="shared" si="115"/>
        <v>2</v>
      </c>
      <c r="W195" s="471">
        <f t="shared" si="116"/>
        <v>1</v>
      </c>
      <c r="X195" s="471">
        <f t="shared" si="117"/>
        <v>1</v>
      </c>
      <c r="Y195" s="471">
        <f t="shared" si="118"/>
        <v>1</v>
      </c>
      <c r="Z195" s="471">
        <f t="shared" si="119"/>
        <v>1</v>
      </c>
      <c r="AI195" s="310" t="str">
        <v>384 kbps</v>
      </c>
      <c r="AK195" s="472">
        <v>5</v>
      </c>
      <c r="AL195" s="472">
        <v>2.56</v>
      </c>
      <c r="AM195" s="472">
        <v>1.74</v>
      </c>
      <c r="AN195" s="472">
        <v>0.94</v>
      </c>
      <c r="AO195" s="472">
        <v>0.83</v>
      </c>
      <c r="AP195" s="472">
        <v>1.1100000000000001</v>
      </c>
    </row>
    <row r="196" spans="3:42" s="299" customFormat="1">
      <c r="C196" s="310" t="str">
        <v>512 kbps</v>
      </c>
      <c r="E196" s="471">
        <v>1.6000000000000005</v>
      </c>
      <c r="F196" s="471">
        <v>1.69</v>
      </c>
      <c r="G196" s="471">
        <v>0.25999999999999979</v>
      </c>
      <c r="H196" s="471">
        <v>0.22999999999999998</v>
      </c>
      <c r="I196" s="471">
        <v>0.1100000000000001</v>
      </c>
      <c r="J196" s="471">
        <v>0.56000000000000005</v>
      </c>
      <c r="R196" s="469">
        <v>0.5</v>
      </c>
      <c r="S196" s="310" t="str">
        <v>512 kbps</v>
      </c>
      <c r="U196" s="471">
        <f t="shared" si="114"/>
        <v>3</v>
      </c>
      <c r="V196" s="471">
        <f t="shared" si="115"/>
        <v>2</v>
      </c>
      <c r="W196" s="471">
        <f t="shared" si="116"/>
        <v>2</v>
      </c>
      <c r="X196" s="471">
        <f t="shared" si="117"/>
        <v>1</v>
      </c>
      <c r="Y196" s="471">
        <f t="shared" si="118"/>
        <v>1</v>
      </c>
      <c r="Z196" s="471">
        <f t="shared" si="119"/>
        <v>1</v>
      </c>
      <c r="AI196" s="310" t="str">
        <v>512 kbps</v>
      </c>
      <c r="AK196" s="472">
        <v>4.6000000000000005</v>
      </c>
      <c r="AL196" s="472">
        <v>3.69</v>
      </c>
      <c r="AM196" s="472">
        <v>2.2599999999999998</v>
      </c>
      <c r="AN196" s="472">
        <v>1.23</v>
      </c>
      <c r="AO196" s="472">
        <v>1.1100000000000001</v>
      </c>
      <c r="AP196" s="472">
        <v>1.56</v>
      </c>
    </row>
    <row r="197" spans="3:42" s="299" customFormat="1">
      <c r="C197" s="310" t="str">
        <v>768 kbps</v>
      </c>
      <c r="E197" s="471">
        <v>-0.16000000000000003</v>
      </c>
      <c r="F197" s="471">
        <v>0.24</v>
      </c>
      <c r="G197" s="471">
        <v>-0.24</v>
      </c>
      <c r="H197" s="471">
        <v>8.0000000000000071E-2</v>
      </c>
      <c r="I197" s="471">
        <v>0.28000000000000003</v>
      </c>
      <c r="J197" s="471">
        <v>2.0000000000000018E-2</v>
      </c>
      <c r="R197" s="469">
        <v>0.5</v>
      </c>
      <c r="S197" s="310" t="str">
        <v>768 kbps</v>
      </c>
      <c r="U197" s="471">
        <f t="shared" si="114"/>
        <v>1</v>
      </c>
      <c r="V197" s="471">
        <f t="shared" si="115"/>
        <v>1</v>
      </c>
      <c r="W197" s="471">
        <f t="shared" si="116"/>
        <v>1</v>
      </c>
      <c r="X197" s="471">
        <f t="shared" si="117"/>
        <v>1</v>
      </c>
      <c r="Y197" s="471">
        <f t="shared" si="118"/>
        <v>1</v>
      </c>
      <c r="Z197" s="471">
        <f t="shared" si="119"/>
        <v>1</v>
      </c>
      <c r="AI197" s="310" t="str">
        <v>768 kbps</v>
      </c>
      <c r="AK197" s="472">
        <v>0.84</v>
      </c>
      <c r="AL197" s="472">
        <v>1.24</v>
      </c>
      <c r="AM197" s="472">
        <v>0.76</v>
      </c>
      <c r="AN197" s="472">
        <v>1.08</v>
      </c>
      <c r="AO197" s="472">
        <v>1.28</v>
      </c>
      <c r="AP197" s="472">
        <v>1.02</v>
      </c>
    </row>
    <row r="198" spans="3:42" s="299" customFormat="1">
      <c r="C198" s="310" t="str">
        <v>1024 kbps</v>
      </c>
      <c r="E198" s="471">
        <v>2.2400000000000002</v>
      </c>
      <c r="F198" s="471">
        <v>0.43999999999999995</v>
      </c>
      <c r="G198" s="471">
        <v>0.5</v>
      </c>
      <c r="H198" s="471">
        <v>0.60000000000000009</v>
      </c>
      <c r="I198" s="471">
        <v>0.12000000000000011</v>
      </c>
      <c r="J198" s="471">
        <v>-4.0000000000000036E-2</v>
      </c>
      <c r="R198" s="469">
        <v>0.5</v>
      </c>
      <c r="S198" s="310" t="str">
        <v>1024 kbps</v>
      </c>
      <c r="U198" s="471">
        <f t="shared" si="114"/>
        <v>4</v>
      </c>
      <c r="V198" s="471">
        <f t="shared" si="115"/>
        <v>1</v>
      </c>
      <c r="W198" s="471">
        <f t="shared" si="116"/>
        <v>2</v>
      </c>
      <c r="X198" s="471">
        <f t="shared" si="117"/>
        <v>1</v>
      </c>
      <c r="Y198" s="471">
        <f t="shared" si="118"/>
        <v>1</v>
      </c>
      <c r="Z198" s="471">
        <f t="shared" si="119"/>
        <v>1</v>
      </c>
      <c r="AI198" s="310" t="str">
        <v>1024 kbps</v>
      </c>
      <c r="AK198" s="472">
        <v>6.24</v>
      </c>
      <c r="AL198" s="472">
        <v>1.44</v>
      </c>
      <c r="AM198" s="472">
        <v>2.5</v>
      </c>
      <c r="AN198" s="472">
        <v>1.6</v>
      </c>
      <c r="AO198" s="472">
        <v>1.1200000000000001</v>
      </c>
      <c r="AP198" s="472">
        <v>0.96</v>
      </c>
    </row>
    <row r="199" spans="3:42" s="299" customFormat="1">
      <c r="C199" s="331" t="str">
        <v>E1 (2.04 Mbps)</v>
      </c>
      <c r="E199" s="471">
        <v>17.119999999999997</v>
      </c>
      <c r="F199" s="471">
        <v>17.880000000000003</v>
      </c>
      <c r="G199" s="471">
        <v>15</v>
      </c>
      <c r="H199" s="471">
        <v>11.48</v>
      </c>
      <c r="I199" s="471">
        <v>8.1900000000000013</v>
      </c>
      <c r="J199" s="471">
        <v>7.1999999999999993</v>
      </c>
      <c r="R199" s="469">
        <v>0.5</v>
      </c>
      <c r="S199" s="331" t="str">
        <v>E1 (2.04 Mbps)</v>
      </c>
      <c r="U199" s="471">
        <f t="shared" si="114"/>
        <v>19</v>
      </c>
      <c r="V199" s="471">
        <f t="shared" si="115"/>
        <v>18</v>
      </c>
      <c r="W199" s="471">
        <f t="shared" si="116"/>
        <v>15</v>
      </c>
      <c r="X199" s="471">
        <f t="shared" si="117"/>
        <v>13</v>
      </c>
      <c r="Y199" s="471">
        <f t="shared" si="118"/>
        <v>10</v>
      </c>
      <c r="Z199" s="471">
        <f t="shared" si="119"/>
        <v>8</v>
      </c>
      <c r="AI199" s="331" t="str">
        <v>E1 (2.04 Mbps)</v>
      </c>
      <c r="AK199" s="472">
        <v>36.119999999999997</v>
      </c>
      <c r="AL199" s="472">
        <v>35.880000000000003</v>
      </c>
      <c r="AM199" s="472">
        <v>30</v>
      </c>
      <c r="AN199" s="472">
        <v>24.48</v>
      </c>
      <c r="AO199" s="472">
        <v>18.190000000000001</v>
      </c>
      <c r="AP199" s="472">
        <v>15.2</v>
      </c>
    </row>
    <row r="200" spans="3:42" s="299" customFormat="1">
      <c r="C200" s="331" t="str">
        <v>E2 *</v>
      </c>
      <c r="E200" s="471">
        <v>0</v>
      </c>
      <c r="F200" s="471">
        <v>0</v>
      </c>
      <c r="G200" s="471">
        <v>0</v>
      </c>
      <c r="H200" s="471">
        <v>0</v>
      </c>
      <c r="I200" s="471">
        <v>0</v>
      </c>
      <c r="J200" s="471">
        <v>0</v>
      </c>
      <c r="R200" s="469">
        <v>0.5</v>
      </c>
      <c r="S200" s="331" t="str">
        <v>E2 *</v>
      </c>
      <c r="U200" s="471">
        <f t="shared" si="114"/>
        <v>0</v>
      </c>
      <c r="V200" s="471">
        <f t="shared" si="115"/>
        <v>0</v>
      </c>
      <c r="W200" s="471">
        <f t="shared" si="116"/>
        <v>0</v>
      </c>
      <c r="X200" s="471">
        <f t="shared" si="117"/>
        <v>0</v>
      </c>
      <c r="Y200" s="471">
        <f t="shared" si="118"/>
        <v>0</v>
      </c>
      <c r="Z200" s="471">
        <f t="shared" si="119"/>
        <v>0</v>
      </c>
      <c r="AI200" s="331" t="str">
        <v>E2 *</v>
      </c>
      <c r="AK200" s="472">
        <v>0</v>
      </c>
      <c r="AL200" s="472">
        <v>0</v>
      </c>
      <c r="AM200" s="472">
        <v>0</v>
      </c>
      <c r="AN200" s="472">
        <v>0</v>
      </c>
      <c r="AO200" s="472">
        <v>0</v>
      </c>
      <c r="AP200" s="472">
        <v>0</v>
      </c>
    </row>
    <row r="201" spans="3:42" s="299" customFormat="1">
      <c r="C201" s="331" t="str">
        <v>E3 (34 Mbps)</v>
      </c>
      <c r="E201" s="471">
        <v>0.70000000000000018</v>
      </c>
      <c r="F201" s="471">
        <v>0.58000000000000007</v>
      </c>
      <c r="G201" s="471">
        <v>-7.999999999999996E-2</v>
      </c>
      <c r="H201" s="471">
        <v>6.0000000000000053E-2</v>
      </c>
      <c r="I201" s="471">
        <v>0.10000000000000009</v>
      </c>
      <c r="J201" s="471">
        <v>-0.17000000000000004</v>
      </c>
      <c r="R201" s="469">
        <v>0.5</v>
      </c>
      <c r="S201" s="331" t="str">
        <v>E3 (34 Mbps)</v>
      </c>
      <c r="U201" s="471">
        <f t="shared" si="114"/>
        <v>2</v>
      </c>
      <c r="V201" s="471">
        <f t="shared" si="115"/>
        <v>2</v>
      </c>
      <c r="W201" s="471">
        <f t="shared" si="116"/>
        <v>1</v>
      </c>
      <c r="X201" s="471">
        <f t="shared" si="117"/>
        <v>1</v>
      </c>
      <c r="Y201" s="471">
        <f t="shared" si="118"/>
        <v>1</v>
      </c>
      <c r="Z201" s="471">
        <f t="shared" si="119"/>
        <v>1</v>
      </c>
      <c r="AI201" s="331" t="str">
        <v>E3 (34 Mbps)</v>
      </c>
      <c r="AK201" s="472">
        <v>2.7</v>
      </c>
      <c r="AL201" s="472">
        <v>2.58</v>
      </c>
      <c r="AM201" s="472">
        <v>0.92</v>
      </c>
      <c r="AN201" s="472">
        <v>1.06</v>
      </c>
      <c r="AO201" s="472">
        <v>1.1000000000000001</v>
      </c>
      <c r="AP201" s="472">
        <v>0.83</v>
      </c>
    </row>
    <row r="202" spans="3:42" s="299" customFormat="1">
      <c r="C202" s="331" t="str">
        <v>STM-1 (155 Mbps)</v>
      </c>
      <c r="E202" s="471">
        <v>0</v>
      </c>
      <c r="F202" s="471">
        <v>0</v>
      </c>
      <c r="G202" s="471">
        <v>0</v>
      </c>
      <c r="H202" s="471">
        <v>0</v>
      </c>
      <c r="I202" s="471">
        <v>0</v>
      </c>
      <c r="J202" s="471">
        <v>0</v>
      </c>
      <c r="S202" s="331" t="str">
        <v>STM-1 (155 Mbps)</v>
      </c>
      <c r="U202" s="472">
        <f t="shared" ref="U202:U206" si="120">AK202</f>
        <v>0</v>
      </c>
      <c r="V202" s="472">
        <f t="shared" ref="V202:V206" si="121">AL202</f>
        <v>0</v>
      </c>
      <c r="W202" s="472">
        <f t="shared" ref="W202:W206" si="122">AM202</f>
        <v>0</v>
      </c>
      <c r="X202" s="472">
        <f t="shared" ref="X202:X206" si="123">AN202</f>
        <v>0</v>
      </c>
      <c r="Y202" s="472">
        <f t="shared" ref="Y202:Y206" si="124">AO202</f>
        <v>0</v>
      </c>
      <c r="Z202" s="472">
        <f t="shared" ref="Z202:Z206" si="125">AP202</f>
        <v>0</v>
      </c>
      <c r="AI202" s="331" t="str">
        <v>STM-1 (155 Mbps)</v>
      </c>
      <c r="AK202" s="472">
        <v>0</v>
      </c>
      <c r="AL202" s="472">
        <v>0</v>
      </c>
      <c r="AM202" s="472">
        <v>0</v>
      </c>
      <c r="AN202" s="472">
        <v>0</v>
      </c>
      <c r="AO202" s="472">
        <v>0</v>
      </c>
      <c r="AP202" s="472">
        <v>0</v>
      </c>
    </row>
    <row r="203" spans="3:42" s="299" customFormat="1">
      <c r="C203" s="310" t="str">
        <v>STM-4 (622.08 Mbps)</v>
      </c>
      <c r="E203" s="471">
        <v>0</v>
      </c>
      <c r="F203" s="471">
        <v>0</v>
      </c>
      <c r="G203" s="471">
        <v>0</v>
      </c>
      <c r="H203" s="471">
        <v>0</v>
      </c>
      <c r="I203" s="471">
        <v>0</v>
      </c>
      <c r="J203" s="471">
        <v>0</v>
      </c>
      <c r="S203" s="310" t="str">
        <v>STM-4 (622.08 Mbps)</v>
      </c>
      <c r="U203" s="472">
        <f t="shared" si="120"/>
        <v>0</v>
      </c>
      <c r="V203" s="472">
        <f t="shared" si="121"/>
        <v>0</v>
      </c>
      <c r="W203" s="472">
        <f t="shared" si="122"/>
        <v>0</v>
      </c>
      <c r="X203" s="472">
        <f t="shared" si="123"/>
        <v>0</v>
      </c>
      <c r="Y203" s="472">
        <f t="shared" si="124"/>
        <v>0</v>
      </c>
      <c r="Z203" s="472">
        <f t="shared" si="125"/>
        <v>0</v>
      </c>
      <c r="AI203" s="310" t="str">
        <v>STM-4 (622.08 Mbps)</v>
      </c>
      <c r="AK203" s="472">
        <v>0</v>
      </c>
      <c r="AL203" s="472">
        <v>0</v>
      </c>
      <c r="AM203" s="472">
        <v>0</v>
      </c>
      <c r="AN203" s="472">
        <v>0</v>
      </c>
      <c r="AO203" s="472">
        <v>0</v>
      </c>
      <c r="AP203" s="472">
        <v>0</v>
      </c>
    </row>
    <row r="204" spans="3:42" s="299" customFormat="1">
      <c r="C204" s="310" t="str">
        <v>STM-16 (2488.32Mbps)</v>
      </c>
      <c r="E204" s="471">
        <v>0</v>
      </c>
      <c r="F204" s="471">
        <v>0</v>
      </c>
      <c r="G204" s="471">
        <v>0</v>
      </c>
      <c r="H204" s="471">
        <v>0</v>
      </c>
      <c r="I204" s="471">
        <v>0</v>
      </c>
      <c r="J204" s="471">
        <v>0</v>
      </c>
      <c r="S204" s="310" t="str">
        <v>STM-16 (2488.32Mbps)</v>
      </c>
      <c r="U204" s="472">
        <f t="shared" si="120"/>
        <v>0</v>
      </c>
      <c r="V204" s="472">
        <f t="shared" si="121"/>
        <v>0</v>
      </c>
      <c r="W204" s="472">
        <f t="shared" si="122"/>
        <v>0</v>
      </c>
      <c r="X204" s="472">
        <f t="shared" si="123"/>
        <v>0</v>
      </c>
      <c r="Y204" s="472">
        <f t="shared" si="124"/>
        <v>0</v>
      </c>
      <c r="Z204" s="472">
        <f t="shared" si="125"/>
        <v>0</v>
      </c>
      <c r="AI204" s="310" t="str">
        <v>STM-16 (2488.32Mbps)</v>
      </c>
      <c r="AK204" s="472">
        <v>0</v>
      </c>
      <c r="AL204" s="472">
        <v>0</v>
      </c>
      <c r="AM204" s="472">
        <v>0</v>
      </c>
      <c r="AN204" s="472">
        <v>0</v>
      </c>
      <c r="AO204" s="472">
        <v>0</v>
      </c>
      <c r="AP204" s="472">
        <v>0</v>
      </c>
    </row>
    <row r="205" spans="3:42" s="299" customFormat="1">
      <c r="C205" s="310" t="str">
        <v>STM-64 (9953.28Mbps)</v>
      </c>
      <c r="E205" s="471">
        <v>0</v>
      </c>
      <c r="F205" s="471">
        <v>0</v>
      </c>
      <c r="G205" s="471">
        <v>0</v>
      </c>
      <c r="H205" s="471">
        <v>0</v>
      </c>
      <c r="I205" s="471">
        <v>0</v>
      </c>
      <c r="J205" s="471">
        <v>0</v>
      </c>
      <c r="S205" s="310" t="str">
        <v>STM-64 (9953.28Mbps)</v>
      </c>
      <c r="U205" s="472">
        <f t="shared" si="120"/>
        <v>0</v>
      </c>
      <c r="V205" s="472">
        <f t="shared" si="121"/>
        <v>0</v>
      </c>
      <c r="W205" s="472">
        <f t="shared" si="122"/>
        <v>0</v>
      </c>
      <c r="X205" s="472">
        <f t="shared" si="123"/>
        <v>0</v>
      </c>
      <c r="Y205" s="472">
        <f t="shared" si="124"/>
        <v>0</v>
      </c>
      <c r="Z205" s="472">
        <f t="shared" si="125"/>
        <v>0</v>
      </c>
      <c r="AI205" s="310" t="str">
        <v>STM-64 (9953.28Mbps)</v>
      </c>
      <c r="AK205" s="472">
        <v>0</v>
      </c>
      <c r="AL205" s="472">
        <v>0</v>
      </c>
      <c r="AM205" s="472">
        <v>0</v>
      </c>
      <c r="AN205" s="472">
        <v>0</v>
      </c>
      <c r="AO205" s="472">
        <v>0</v>
      </c>
      <c r="AP205" s="472">
        <v>0</v>
      </c>
    </row>
    <row r="206" spans="3:42" s="299" customFormat="1">
      <c r="C206" s="310" t="str">
        <v>STM-256 (39813.12 Mbps)*</v>
      </c>
      <c r="E206" s="471">
        <v>0</v>
      </c>
      <c r="F206" s="471">
        <v>0</v>
      </c>
      <c r="G206" s="471">
        <v>0</v>
      </c>
      <c r="H206" s="471">
        <v>0</v>
      </c>
      <c r="I206" s="471">
        <v>0</v>
      </c>
      <c r="J206" s="471">
        <v>0</v>
      </c>
      <c r="S206" s="310" t="str">
        <v>STM-256 (39813.12 Mbps)*</v>
      </c>
      <c r="U206" s="472">
        <f t="shared" si="120"/>
        <v>0</v>
      </c>
      <c r="V206" s="472">
        <f t="shared" si="121"/>
        <v>0</v>
      </c>
      <c r="W206" s="472">
        <f t="shared" si="122"/>
        <v>0</v>
      </c>
      <c r="X206" s="472">
        <f t="shared" si="123"/>
        <v>0</v>
      </c>
      <c r="Y206" s="472">
        <f t="shared" si="124"/>
        <v>0</v>
      </c>
      <c r="Z206" s="472">
        <f t="shared" si="125"/>
        <v>0</v>
      </c>
      <c r="AI206" s="310" t="str">
        <v>STM-256 (39813.12 Mbps)*</v>
      </c>
      <c r="AK206" s="472">
        <v>0</v>
      </c>
      <c r="AL206" s="472">
        <v>0</v>
      </c>
      <c r="AM206" s="472">
        <v>0</v>
      </c>
      <c r="AN206" s="472">
        <v>0</v>
      </c>
      <c r="AO206" s="472">
        <v>0</v>
      </c>
      <c r="AP206" s="472">
        <v>0</v>
      </c>
    </row>
    <row r="207" spans="3:42" s="299" customFormat="1">
      <c r="C207" s="310" t="str">
        <v>Ethernet (10Mbps)</v>
      </c>
      <c r="E207" s="471">
        <v>1.0000000000000009E-2</v>
      </c>
      <c r="F207" s="471">
        <v>0.10000000000000009</v>
      </c>
      <c r="G207" s="471">
        <v>1.6799999999999997</v>
      </c>
      <c r="H207" s="471">
        <v>0.5</v>
      </c>
      <c r="I207" s="471">
        <v>2.1500000000000004</v>
      </c>
      <c r="J207" s="471">
        <v>2.88</v>
      </c>
      <c r="R207" s="469">
        <v>0.5</v>
      </c>
      <c r="S207" s="310" t="str">
        <v>Ethernet (10Mbps)</v>
      </c>
      <c r="U207" s="471">
        <f t="shared" ref="U207:U215" si="126">ROUNDUP(AK207*$R207,0)</f>
        <v>1</v>
      </c>
      <c r="V207" s="471">
        <f t="shared" ref="V207:V215" si="127">ROUNDUP(AL207*$R207,0)</f>
        <v>2</v>
      </c>
      <c r="W207" s="471">
        <f t="shared" ref="W207:W215" si="128">ROUNDUP(AM207*$R207,0)</f>
        <v>3</v>
      </c>
      <c r="X207" s="471">
        <f t="shared" ref="X207:X215" si="129">ROUNDUP(AN207*$R207,0)</f>
        <v>1</v>
      </c>
      <c r="Y207" s="471">
        <f t="shared" ref="Y207:Y215" si="130">ROUNDUP(AO207*$R207,0)</f>
        <v>4</v>
      </c>
      <c r="Z207" s="471">
        <f t="shared" ref="Z207:Z215" si="131">ROUNDUP(AP207*$R207,0)</f>
        <v>3</v>
      </c>
      <c r="AI207" s="310" t="str">
        <v>Ethernet (10Mbps)</v>
      </c>
      <c r="AK207" s="472">
        <v>1.01</v>
      </c>
      <c r="AL207" s="472">
        <v>2.1</v>
      </c>
      <c r="AM207" s="472">
        <v>4.68</v>
      </c>
      <c r="AN207" s="472">
        <v>1.5</v>
      </c>
      <c r="AO207" s="472">
        <v>6.15</v>
      </c>
      <c r="AP207" s="472">
        <v>5.88</v>
      </c>
    </row>
    <row r="208" spans="3:42" s="299" customFormat="1">
      <c r="C208" s="310" t="str">
        <v>Ethernet (20Mbps)</v>
      </c>
      <c r="E208" s="471">
        <v>0</v>
      </c>
      <c r="F208" s="471">
        <v>0.45999999999999996</v>
      </c>
      <c r="G208" s="471">
        <v>0.48</v>
      </c>
      <c r="H208" s="471">
        <v>2.0499999999999998</v>
      </c>
      <c r="I208" s="471">
        <v>2</v>
      </c>
      <c r="J208" s="471">
        <v>2.4000000000000004</v>
      </c>
      <c r="R208" s="469">
        <v>0.5</v>
      </c>
      <c r="S208" s="310" t="str">
        <v>Ethernet (20Mbps)</v>
      </c>
      <c r="U208" s="471">
        <f t="shared" si="126"/>
        <v>0</v>
      </c>
      <c r="V208" s="471">
        <f t="shared" si="127"/>
        <v>1</v>
      </c>
      <c r="W208" s="471">
        <f t="shared" si="128"/>
        <v>2</v>
      </c>
      <c r="X208" s="471">
        <f t="shared" si="129"/>
        <v>3</v>
      </c>
      <c r="Y208" s="471">
        <f t="shared" si="130"/>
        <v>3</v>
      </c>
      <c r="Z208" s="471">
        <f t="shared" si="131"/>
        <v>4</v>
      </c>
      <c r="AI208" s="310" t="str">
        <v>Ethernet (20Mbps)</v>
      </c>
      <c r="AK208" s="472">
        <v>0</v>
      </c>
      <c r="AL208" s="472">
        <v>1.46</v>
      </c>
      <c r="AM208" s="472">
        <v>2.48</v>
      </c>
      <c r="AN208" s="472">
        <v>5.05</v>
      </c>
      <c r="AO208" s="472">
        <v>5</v>
      </c>
      <c r="AP208" s="472">
        <v>6.4</v>
      </c>
    </row>
    <row r="209" spans="3:42" s="299" customFormat="1">
      <c r="C209" s="310" t="str">
        <v>Ethernet (30Mbps)</v>
      </c>
      <c r="E209" s="471">
        <v>0</v>
      </c>
      <c r="F209" s="471">
        <v>0</v>
      </c>
      <c r="G209" s="471">
        <v>0</v>
      </c>
      <c r="H209" s="471">
        <v>0</v>
      </c>
      <c r="I209" s="471">
        <v>0</v>
      </c>
      <c r="J209" s="471">
        <v>0</v>
      </c>
      <c r="R209" s="469">
        <v>0.5</v>
      </c>
      <c r="S209" s="310" t="str">
        <v>Ethernet (30Mbps)</v>
      </c>
      <c r="U209" s="471">
        <f t="shared" si="126"/>
        <v>0</v>
      </c>
      <c r="V209" s="471">
        <f t="shared" si="127"/>
        <v>0</v>
      </c>
      <c r="W209" s="471">
        <f t="shared" si="128"/>
        <v>0</v>
      </c>
      <c r="X209" s="471">
        <f t="shared" si="129"/>
        <v>0</v>
      </c>
      <c r="Y209" s="471">
        <f t="shared" si="130"/>
        <v>0</v>
      </c>
      <c r="Z209" s="471">
        <f t="shared" si="131"/>
        <v>0</v>
      </c>
      <c r="AI209" s="310" t="str">
        <v>Ethernet (30Mbps)</v>
      </c>
      <c r="AK209" s="472">
        <v>0</v>
      </c>
      <c r="AL209" s="472">
        <v>0</v>
      </c>
      <c r="AM209" s="472">
        <v>0</v>
      </c>
      <c r="AN209" s="472">
        <v>0</v>
      </c>
      <c r="AO209" s="472">
        <v>0</v>
      </c>
      <c r="AP209" s="472">
        <v>0</v>
      </c>
    </row>
    <row r="210" spans="3:42" s="299" customFormat="1">
      <c r="C210" s="310" t="str">
        <v>Ethernet (40Mbps)</v>
      </c>
      <c r="E210" s="471">
        <v>0</v>
      </c>
      <c r="F210" s="471">
        <v>0</v>
      </c>
      <c r="G210" s="471">
        <v>0</v>
      </c>
      <c r="H210" s="471">
        <v>0</v>
      </c>
      <c r="I210" s="471">
        <v>0</v>
      </c>
      <c r="J210" s="471">
        <v>0</v>
      </c>
      <c r="R210" s="469">
        <v>0.5</v>
      </c>
      <c r="S210" s="310" t="str">
        <v>Ethernet (40Mbps)</v>
      </c>
      <c r="U210" s="471">
        <f t="shared" si="126"/>
        <v>0</v>
      </c>
      <c r="V210" s="471">
        <f t="shared" si="127"/>
        <v>0</v>
      </c>
      <c r="W210" s="471">
        <f t="shared" si="128"/>
        <v>0</v>
      </c>
      <c r="X210" s="471">
        <f t="shared" si="129"/>
        <v>0</v>
      </c>
      <c r="Y210" s="471">
        <f t="shared" si="130"/>
        <v>0</v>
      </c>
      <c r="Z210" s="471">
        <f t="shared" si="131"/>
        <v>0</v>
      </c>
      <c r="AI210" s="310" t="str">
        <v>Ethernet (40Mbps)</v>
      </c>
      <c r="AK210" s="472">
        <v>0</v>
      </c>
      <c r="AL210" s="472">
        <v>0</v>
      </c>
      <c r="AM210" s="472">
        <v>0</v>
      </c>
      <c r="AN210" s="472">
        <v>0</v>
      </c>
      <c r="AO210" s="472">
        <v>0</v>
      </c>
      <c r="AP210" s="472">
        <v>0</v>
      </c>
    </row>
    <row r="211" spans="3:42" s="299" customFormat="1">
      <c r="C211" s="310" t="str">
        <v>Ethernet (50Mbps)</v>
      </c>
      <c r="E211" s="471">
        <v>0</v>
      </c>
      <c r="F211" s="471">
        <v>0</v>
      </c>
      <c r="G211" s="471">
        <v>0</v>
      </c>
      <c r="H211" s="471">
        <v>0</v>
      </c>
      <c r="I211" s="471">
        <v>0</v>
      </c>
      <c r="J211" s="471">
        <v>0</v>
      </c>
      <c r="R211" s="469">
        <v>0.5</v>
      </c>
      <c r="S211" s="310" t="str">
        <v>Ethernet (50Mbps)</v>
      </c>
      <c r="U211" s="471">
        <f t="shared" si="126"/>
        <v>0</v>
      </c>
      <c r="V211" s="471">
        <f t="shared" si="127"/>
        <v>0</v>
      </c>
      <c r="W211" s="471">
        <f t="shared" si="128"/>
        <v>0</v>
      </c>
      <c r="X211" s="471">
        <f t="shared" si="129"/>
        <v>0</v>
      </c>
      <c r="Y211" s="471">
        <f t="shared" si="130"/>
        <v>0</v>
      </c>
      <c r="Z211" s="471">
        <f t="shared" si="131"/>
        <v>0</v>
      </c>
      <c r="AI211" s="310" t="str">
        <v>Ethernet (50Mbps)</v>
      </c>
      <c r="AK211" s="472">
        <v>0</v>
      </c>
      <c r="AL211" s="472">
        <v>0</v>
      </c>
      <c r="AM211" s="472">
        <v>0</v>
      </c>
      <c r="AN211" s="472">
        <v>0</v>
      </c>
      <c r="AO211" s="472">
        <v>0</v>
      </c>
      <c r="AP211" s="472">
        <v>0</v>
      </c>
    </row>
    <row r="212" spans="3:42" s="299" customFormat="1">
      <c r="C212" s="310" t="str">
        <v>Ethernet (60Mbps)</v>
      </c>
      <c r="E212" s="471">
        <v>0</v>
      </c>
      <c r="F212" s="471">
        <v>0</v>
      </c>
      <c r="G212" s="471">
        <v>0</v>
      </c>
      <c r="H212" s="471">
        <v>0</v>
      </c>
      <c r="I212" s="471">
        <v>0</v>
      </c>
      <c r="J212" s="471">
        <v>0</v>
      </c>
      <c r="R212" s="469">
        <v>0.5</v>
      </c>
      <c r="S212" s="310" t="str">
        <v>Ethernet (60Mbps)</v>
      </c>
      <c r="U212" s="471">
        <f t="shared" si="126"/>
        <v>0</v>
      </c>
      <c r="V212" s="471">
        <f t="shared" si="127"/>
        <v>0</v>
      </c>
      <c r="W212" s="471">
        <f t="shared" si="128"/>
        <v>0</v>
      </c>
      <c r="X212" s="471">
        <f t="shared" si="129"/>
        <v>0</v>
      </c>
      <c r="Y212" s="471">
        <f t="shared" si="130"/>
        <v>0</v>
      </c>
      <c r="Z212" s="471">
        <f t="shared" si="131"/>
        <v>0</v>
      </c>
      <c r="AI212" s="310" t="str">
        <v>Ethernet (60Mbps)</v>
      </c>
      <c r="AK212" s="472">
        <v>0</v>
      </c>
      <c r="AL212" s="472">
        <v>0</v>
      </c>
      <c r="AM212" s="472">
        <v>0</v>
      </c>
      <c r="AN212" s="472">
        <v>0</v>
      </c>
      <c r="AO212" s="472">
        <v>0</v>
      </c>
      <c r="AP212" s="472">
        <v>0</v>
      </c>
    </row>
    <row r="213" spans="3:42" s="299" customFormat="1">
      <c r="C213" s="310" t="str">
        <v>Ethernet (70Mbps)</v>
      </c>
      <c r="E213" s="471">
        <v>0</v>
      </c>
      <c r="F213" s="471">
        <v>0</v>
      </c>
      <c r="G213" s="471">
        <v>0</v>
      </c>
      <c r="H213" s="471">
        <v>0</v>
      </c>
      <c r="I213" s="471">
        <v>0</v>
      </c>
      <c r="J213" s="471">
        <v>0</v>
      </c>
      <c r="R213" s="469">
        <v>0.5</v>
      </c>
      <c r="S213" s="310" t="str">
        <v>Ethernet (70Mbps)</v>
      </c>
      <c r="U213" s="471">
        <f t="shared" si="126"/>
        <v>0</v>
      </c>
      <c r="V213" s="471">
        <f t="shared" si="127"/>
        <v>0</v>
      </c>
      <c r="W213" s="471">
        <f t="shared" si="128"/>
        <v>0</v>
      </c>
      <c r="X213" s="471">
        <f t="shared" si="129"/>
        <v>0</v>
      </c>
      <c r="Y213" s="471">
        <f t="shared" si="130"/>
        <v>0</v>
      </c>
      <c r="Z213" s="471">
        <f t="shared" si="131"/>
        <v>0</v>
      </c>
      <c r="AI213" s="310" t="str">
        <v>Ethernet (70Mbps)</v>
      </c>
      <c r="AK213" s="472">
        <v>0</v>
      </c>
      <c r="AL213" s="472">
        <v>0</v>
      </c>
      <c r="AM213" s="472">
        <v>0</v>
      </c>
      <c r="AN213" s="472">
        <v>0</v>
      </c>
      <c r="AO213" s="472">
        <v>0</v>
      </c>
      <c r="AP213" s="472">
        <v>0</v>
      </c>
    </row>
    <row r="214" spans="3:42" s="299" customFormat="1">
      <c r="C214" s="310" t="str">
        <v>Ethernet (80Mbps)</v>
      </c>
      <c r="E214" s="471">
        <v>0</v>
      </c>
      <c r="F214" s="471">
        <v>0</v>
      </c>
      <c r="G214" s="471">
        <v>0</v>
      </c>
      <c r="H214" s="471">
        <v>0</v>
      </c>
      <c r="I214" s="471">
        <v>0</v>
      </c>
      <c r="J214" s="471">
        <v>0</v>
      </c>
      <c r="R214" s="469">
        <v>0.5</v>
      </c>
      <c r="S214" s="310" t="str">
        <v>Ethernet (80Mbps)</v>
      </c>
      <c r="U214" s="471">
        <f t="shared" si="126"/>
        <v>0</v>
      </c>
      <c r="V214" s="471">
        <f t="shared" si="127"/>
        <v>0</v>
      </c>
      <c r="W214" s="471">
        <f t="shared" si="128"/>
        <v>0</v>
      </c>
      <c r="X214" s="471">
        <f t="shared" si="129"/>
        <v>0</v>
      </c>
      <c r="Y214" s="471">
        <f t="shared" si="130"/>
        <v>0</v>
      </c>
      <c r="Z214" s="471">
        <f t="shared" si="131"/>
        <v>0</v>
      </c>
      <c r="AI214" s="310" t="str">
        <v>Ethernet (80Mbps)</v>
      </c>
      <c r="AK214" s="472">
        <v>0</v>
      </c>
      <c r="AL214" s="472">
        <v>0</v>
      </c>
      <c r="AM214" s="472">
        <v>0</v>
      </c>
      <c r="AN214" s="472">
        <v>0</v>
      </c>
      <c r="AO214" s="472">
        <v>0</v>
      </c>
      <c r="AP214" s="472">
        <v>0</v>
      </c>
    </row>
    <row r="215" spans="3:42" s="299" customFormat="1">
      <c r="C215" s="310" t="str">
        <v>Ethernet (90Mbps)</v>
      </c>
      <c r="E215" s="471">
        <v>0</v>
      </c>
      <c r="F215" s="471">
        <v>0</v>
      </c>
      <c r="G215" s="471">
        <v>0</v>
      </c>
      <c r="H215" s="471">
        <v>0</v>
      </c>
      <c r="I215" s="471">
        <v>0</v>
      </c>
      <c r="J215" s="471">
        <v>0</v>
      </c>
      <c r="R215" s="469">
        <v>0.5</v>
      </c>
      <c r="S215" s="310" t="str">
        <v>Ethernet (90Mbps)</v>
      </c>
      <c r="U215" s="471">
        <f t="shared" si="126"/>
        <v>0</v>
      </c>
      <c r="V215" s="471">
        <f t="shared" si="127"/>
        <v>0</v>
      </c>
      <c r="W215" s="471">
        <f t="shared" si="128"/>
        <v>0</v>
      </c>
      <c r="X215" s="471">
        <f t="shared" si="129"/>
        <v>0</v>
      </c>
      <c r="Y215" s="471">
        <f t="shared" si="130"/>
        <v>0</v>
      </c>
      <c r="Z215" s="471">
        <f t="shared" si="131"/>
        <v>0</v>
      </c>
      <c r="AI215" s="310" t="str">
        <v>Ethernet (90Mbps)</v>
      </c>
      <c r="AK215" s="472">
        <v>0</v>
      </c>
      <c r="AL215" s="472">
        <v>0</v>
      </c>
      <c r="AM215" s="472">
        <v>0</v>
      </c>
      <c r="AN215" s="472">
        <v>0</v>
      </c>
      <c r="AO215" s="472">
        <v>0</v>
      </c>
      <c r="AP215" s="472">
        <v>0</v>
      </c>
    </row>
    <row r="216" spans="3:42" s="299" customFormat="1">
      <c r="C216" s="310" t="str">
        <v>GigaEthernet (100Mbps)</v>
      </c>
      <c r="E216" s="471">
        <v>0</v>
      </c>
      <c r="F216" s="471">
        <v>0</v>
      </c>
      <c r="G216" s="471">
        <v>0</v>
      </c>
      <c r="H216" s="471">
        <v>0</v>
      </c>
      <c r="I216" s="471">
        <v>0</v>
      </c>
      <c r="J216" s="471">
        <v>0</v>
      </c>
      <c r="S216" s="310" t="str">
        <v>GigaEthernet (100Mbps)</v>
      </c>
      <c r="U216" s="472">
        <f t="shared" ref="U216:U228" si="132">AK216</f>
        <v>0</v>
      </c>
      <c r="V216" s="472">
        <f t="shared" ref="V216:V228" si="133">AL216</f>
        <v>0</v>
      </c>
      <c r="W216" s="472">
        <f t="shared" ref="W216:W228" si="134">AM216</f>
        <v>0</v>
      </c>
      <c r="X216" s="472">
        <f t="shared" ref="X216:X228" si="135">AN216</f>
        <v>0</v>
      </c>
      <c r="Y216" s="472">
        <f t="shared" ref="Y216:Y228" si="136">AO216</f>
        <v>0</v>
      </c>
      <c r="Z216" s="472">
        <f t="shared" ref="Z216:Z228" si="137">AP216</f>
        <v>0</v>
      </c>
      <c r="AI216" s="310" t="str">
        <v>GigaEthernet (100Mbps)</v>
      </c>
      <c r="AK216" s="472">
        <v>0</v>
      </c>
      <c r="AL216" s="472">
        <v>0</v>
      </c>
      <c r="AM216" s="472">
        <v>0</v>
      </c>
      <c r="AN216" s="472">
        <v>0</v>
      </c>
      <c r="AO216" s="472">
        <v>0</v>
      </c>
      <c r="AP216" s="472">
        <v>0</v>
      </c>
    </row>
    <row r="217" spans="3:42" s="299" customFormat="1">
      <c r="C217" s="310" t="str">
        <v>GigaEthernet (150Mbps)</v>
      </c>
      <c r="E217" s="471">
        <v>0</v>
      </c>
      <c r="F217" s="471">
        <v>0</v>
      </c>
      <c r="G217" s="471">
        <v>0</v>
      </c>
      <c r="H217" s="471">
        <v>0</v>
      </c>
      <c r="I217" s="471">
        <v>0</v>
      </c>
      <c r="J217" s="471">
        <v>0</v>
      </c>
      <c r="S217" s="310" t="str">
        <v>GigaEthernet (150Mbps)</v>
      </c>
      <c r="U217" s="472">
        <f t="shared" si="132"/>
        <v>0</v>
      </c>
      <c r="V217" s="472">
        <f t="shared" si="133"/>
        <v>0</v>
      </c>
      <c r="W217" s="472">
        <f t="shared" si="134"/>
        <v>0</v>
      </c>
      <c r="X217" s="472">
        <f t="shared" si="135"/>
        <v>0</v>
      </c>
      <c r="Y217" s="472">
        <f t="shared" si="136"/>
        <v>0</v>
      </c>
      <c r="Z217" s="472">
        <f t="shared" si="137"/>
        <v>0</v>
      </c>
      <c r="AI217" s="310" t="str">
        <v>GigaEthernet (150Mbps)</v>
      </c>
      <c r="AK217" s="472">
        <v>0</v>
      </c>
      <c r="AL217" s="472">
        <v>0</v>
      </c>
      <c r="AM217" s="472">
        <v>0</v>
      </c>
      <c r="AN217" s="472">
        <v>0</v>
      </c>
      <c r="AO217" s="472">
        <v>0</v>
      </c>
      <c r="AP217" s="472">
        <v>0</v>
      </c>
    </row>
    <row r="218" spans="3:42" s="299" customFormat="1">
      <c r="C218" s="310" t="str">
        <v>GigaEthernet (200Mbps)</v>
      </c>
      <c r="E218" s="471">
        <v>0</v>
      </c>
      <c r="F218" s="471">
        <v>0</v>
      </c>
      <c r="G218" s="471">
        <v>0</v>
      </c>
      <c r="H218" s="471">
        <v>0</v>
      </c>
      <c r="I218" s="471">
        <v>0</v>
      </c>
      <c r="J218" s="471">
        <v>0</v>
      </c>
      <c r="S218" s="310" t="str">
        <v>GigaEthernet (200Mbps)</v>
      </c>
      <c r="U218" s="472">
        <f t="shared" si="132"/>
        <v>0</v>
      </c>
      <c r="V218" s="472">
        <f t="shared" si="133"/>
        <v>0</v>
      </c>
      <c r="W218" s="472">
        <f t="shared" si="134"/>
        <v>0</v>
      </c>
      <c r="X218" s="472">
        <f t="shared" si="135"/>
        <v>0</v>
      </c>
      <c r="Y218" s="472">
        <f t="shared" si="136"/>
        <v>0</v>
      </c>
      <c r="Z218" s="472">
        <f t="shared" si="137"/>
        <v>0</v>
      </c>
      <c r="AI218" s="310" t="str">
        <v>GigaEthernet (200Mbps)</v>
      </c>
      <c r="AK218" s="472">
        <v>0</v>
      </c>
      <c r="AL218" s="472">
        <v>0</v>
      </c>
      <c r="AM218" s="472">
        <v>0</v>
      </c>
      <c r="AN218" s="472">
        <v>0</v>
      </c>
      <c r="AO218" s="472">
        <v>0</v>
      </c>
      <c r="AP218" s="472">
        <v>0</v>
      </c>
    </row>
    <row r="219" spans="3:42" s="299" customFormat="1">
      <c r="C219" s="310" t="str">
        <v>GigaEthernet (250Mbps)</v>
      </c>
      <c r="E219" s="471">
        <v>0</v>
      </c>
      <c r="F219" s="471">
        <v>0</v>
      </c>
      <c r="G219" s="471">
        <v>0</v>
      </c>
      <c r="H219" s="471">
        <v>0</v>
      </c>
      <c r="I219" s="471">
        <v>0</v>
      </c>
      <c r="J219" s="471">
        <v>0</v>
      </c>
      <c r="S219" s="310" t="str">
        <v>GigaEthernet (250Mbps)</v>
      </c>
      <c r="U219" s="472">
        <f t="shared" si="132"/>
        <v>0</v>
      </c>
      <c r="V219" s="472">
        <f t="shared" si="133"/>
        <v>0</v>
      </c>
      <c r="W219" s="472">
        <f t="shared" si="134"/>
        <v>0</v>
      </c>
      <c r="X219" s="472">
        <f t="shared" si="135"/>
        <v>0</v>
      </c>
      <c r="Y219" s="472">
        <f t="shared" si="136"/>
        <v>0</v>
      </c>
      <c r="Z219" s="472">
        <f t="shared" si="137"/>
        <v>0</v>
      </c>
      <c r="AI219" s="310" t="str">
        <v>GigaEthernet (250Mbps)</v>
      </c>
      <c r="AK219" s="472">
        <v>0</v>
      </c>
      <c r="AL219" s="472">
        <v>0</v>
      </c>
      <c r="AM219" s="472">
        <v>0</v>
      </c>
      <c r="AN219" s="472">
        <v>0</v>
      </c>
      <c r="AO219" s="472">
        <v>0</v>
      </c>
      <c r="AP219" s="472">
        <v>0</v>
      </c>
    </row>
    <row r="220" spans="3:42" s="299" customFormat="1">
      <c r="C220" s="310" t="str">
        <v>GigaEthernet (300Mbps)</v>
      </c>
      <c r="E220" s="471">
        <v>0</v>
      </c>
      <c r="F220" s="471">
        <v>0</v>
      </c>
      <c r="G220" s="471">
        <v>0</v>
      </c>
      <c r="H220" s="471">
        <v>0</v>
      </c>
      <c r="I220" s="471">
        <v>0</v>
      </c>
      <c r="J220" s="471">
        <v>0</v>
      </c>
      <c r="S220" s="310" t="str">
        <v>GigaEthernet (300Mbps)</v>
      </c>
      <c r="U220" s="472">
        <f t="shared" si="132"/>
        <v>0</v>
      </c>
      <c r="V220" s="472">
        <f t="shared" si="133"/>
        <v>0</v>
      </c>
      <c r="W220" s="472">
        <f t="shared" si="134"/>
        <v>0</v>
      </c>
      <c r="X220" s="472">
        <f t="shared" si="135"/>
        <v>0</v>
      </c>
      <c r="Y220" s="472">
        <f t="shared" si="136"/>
        <v>0</v>
      </c>
      <c r="Z220" s="472">
        <f t="shared" si="137"/>
        <v>0</v>
      </c>
      <c r="AI220" s="310" t="str">
        <v>GigaEthernet (300Mbps)</v>
      </c>
      <c r="AK220" s="472">
        <v>0</v>
      </c>
      <c r="AL220" s="472">
        <v>0</v>
      </c>
      <c r="AM220" s="472">
        <v>0</v>
      </c>
      <c r="AN220" s="472">
        <v>0</v>
      </c>
      <c r="AO220" s="472">
        <v>0</v>
      </c>
      <c r="AP220" s="472">
        <v>0</v>
      </c>
    </row>
    <row r="221" spans="3:42" s="299" customFormat="1">
      <c r="C221" s="310" t="str">
        <v>GigaEthernet (350Mbps)</v>
      </c>
      <c r="E221" s="471">
        <v>0</v>
      </c>
      <c r="F221" s="471">
        <v>0</v>
      </c>
      <c r="G221" s="471">
        <v>0</v>
      </c>
      <c r="H221" s="471">
        <v>0</v>
      </c>
      <c r="I221" s="471">
        <v>0</v>
      </c>
      <c r="J221" s="471">
        <v>0</v>
      </c>
      <c r="S221" s="310" t="str">
        <v>GigaEthernet (350Mbps)</v>
      </c>
      <c r="U221" s="472">
        <f t="shared" si="132"/>
        <v>0</v>
      </c>
      <c r="V221" s="472">
        <f t="shared" si="133"/>
        <v>0</v>
      </c>
      <c r="W221" s="472">
        <f t="shared" si="134"/>
        <v>0</v>
      </c>
      <c r="X221" s="472">
        <f t="shared" si="135"/>
        <v>0</v>
      </c>
      <c r="Y221" s="472">
        <f t="shared" si="136"/>
        <v>0</v>
      </c>
      <c r="Z221" s="472">
        <f t="shared" si="137"/>
        <v>0</v>
      </c>
      <c r="AI221" s="310" t="str">
        <v>GigaEthernet (350Mbps)</v>
      </c>
      <c r="AK221" s="472">
        <v>0</v>
      </c>
      <c r="AL221" s="472">
        <v>0</v>
      </c>
      <c r="AM221" s="472">
        <v>0</v>
      </c>
      <c r="AN221" s="472">
        <v>0</v>
      </c>
      <c r="AO221" s="472">
        <v>0</v>
      </c>
      <c r="AP221" s="472">
        <v>0</v>
      </c>
    </row>
    <row r="222" spans="3:42" s="299" customFormat="1">
      <c r="C222" s="310" t="str">
        <v>GigaEthernet (400Mbps)</v>
      </c>
      <c r="E222" s="471">
        <v>0</v>
      </c>
      <c r="F222" s="471">
        <v>0</v>
      </c>
      <c r="G222" s="471">
        <v>0</v>
      </c>
      <c r="H222" s="471">
        <v>0</v>
      </c>
      <c r="I222" s="471">
        <v>0</v>
      </c>
      <c r="J222" s="471">
        <v>0</v>
      </c>
      <c r="S222" s="310" t="str">
        <v>GigaEthernet (400Mbps)</v>
      </c>
      <c r="U222" s="472">
        <f t="shared" si="132"/>
        <v>0</v>
      </c>
      <c r="V222" s="472">
        <f t="shared" si="133"/>
        <v>0</v>
      </c>
      <c r="W222" s="472">
        <f t="shared" si="134"/>
        <v>0</v>
      </c>
      <c r="X222" s="472">
        <f t="shared" si="135"/>
        <v>0</v>
      </c>
      <c r="Y222" s="472">
        <f t="shared" si="136"/>
        <v>0</v>
      </c>
      <c r="Z222" s="472">
        <f t="shared" si="137"/>
        <v>0</v>
      </c>
      <c r="AI222" s="310" t="str">
        <v>GigaEthernet (400Mbps)</v>
      </c>
      <c r="AK222" s="472">
        <v>0</v>
      </c>
      <c r="AL222" s="472">
        <v>0</v>
      </c>
      <c r="AM222" s="472">
        <v>0</v>
      </c>
      <c r="AN222" s="472">
        <v>0</v>
      </c>
      <c r="AO222" s="472">
        <v>0</v>
      </c>
      <c r="AP222" s="472">
        <v>0</v>
      </c>
    </row>
    <row r="223" spans="3:42" s="299" customFormat="1">
      <c r="C223" s="310" t="str">
        <v>GigaEthernet (450Mbps)</v>
      </c>
      <c r="E223" s="471">
        <v>0</v>
      </c>
      <c r="F223" s="471">
        <v>0</v>
      </c>
      <c r="G223" s="471">
        <v>0</v>
      </c>
      <c r="H223" s="471">
        <v>0</v>
      </c>
      <c r="I223" s="471">
        <v>0</v>
      </c>
      <c r="J223" s="471">
        <v>0</v>
      </c>
      <c r="S223" s="310" t="str">
        <v>GigaEthernet (450Mbps)</v>
      </c>
      <c r="U223" s="472">
        <f t="shared" si="132"/>
        <v>0</v>
      </c>
      <c r="V223" s="472">
        <f t="shared" si="133"/>
        <v>0</v>
      </c>
      <c r="W223" s="472">
        <f t="shared" si="134"/>
        <v>0</v>
      </c>
      <c r="X223" s="472">
        <f t="shared" si="135"/>
        <v>0</v>
      </c>
      <c r="Y223" s="472">
        <f t="shared" si="136"/>
        <v>0</v>
      </c>
      <c r="Z223" s="472">
        <f t="shared" si="137"/>
        <v>0</v>
      </c>
      <c r="AI223" s="310" t="str">
        <v>GigaEthernet (450Mbps)</v>
      </c>
      <c r="AK223" s="472">
        <v>0</v>
      </c>
      <c r="AL223" s="472">
        <v>0</v>
      </c>
      <c r="AM223" s="472">
        <v>0</v>
      </c>
      <c r="AN223" s="472">
        <v>0</v>
      </c>
      <c r="AO223" s="472">
        <v>0</v>
      </c>
      <c r="AP223" s="472">
        <v>0</v>
      </c>
    </row>
    <row r="224" spans="3:42" s="299" customFormat="1">
      <c r="C224" s="310" t="str">
        <v>GigaEthernet (500Mbps)</v>
      </c>
      <c r="E224" s="471">
        <v>0</v>
      </c>
      <c r="F224" s="471">
        <v>0</v>
      </c>
      <c r="G224" s="471">
        <v>0</v>
      </c>
      <c r="H224" s="471">
        <v>0</v>
      </c>
      <c r="I224" s="471">
        <v>0</v>
      </c>
      <c r="J224" s="471">
        <v>0</v>
      </c>
      <c r="S224" s="310" t="str">
        <v>GigaEthernet (500Mbps)</v>
      </c>
      <c r="U224" s="472">
        <f t="shared" si="132"/>
        <v>0</v>
      </c>
      <c r="V224" s="472">
        <f t="shared" si="133"/>
        <v>0</v>
      </c>
      <c r="W224" s="472">
        <f t="shared" si="134"/>
        <v>0</v>
      </c>
      <c r="X224" s="472">
        <f t="shared" si="135"/>
        <v>0</v>
      </c>
      <c r="Y224" s="472">
        <f t="shared" si="136"/>
        <v>0</v>
      </c>
      <c r="Z224" s="472">
        <f t="shared" si="137"/>
        <v>0</v>
      </c>
      <c r="AI224" s="310" t="str">
        <v>GigaEthernet (500Mbps)</v>
      </c>
      <c r="AK224" s="472">
        <v>0</v>
      </c>
      <c r="AL224" s="472">
        <v>0</v>
      </c>
      <c r="AM224" s="472">
        <v>0</v>
      </c>
      <c r="AN224" s="472">
        <v>0</v>
      </c>
      <c r="AO224" s="472">
        <v>0</v>
      </c>
      <c r="AP224" s="472">
        <v>0</v>
      </c>
    </row>
    <row r="225" spans="2:48" s="299" customFormat="1">
      <c r="C225" s="310" t="str">
        <v>GigaEthernet (550Mbps)</v>
      </c>
      <c r="E225" s="471">
        <v>0</v>
      </c>
      <c r="F225" s="471">
        <v>0</v>
      </c>
      <c r="G225" s="471">
        <v>0</v>
      </c>
      <c r="H225" s="471">
        <v>0</v>
      </c>
      <c r="I225" s="471">
        <v>0</v>
      </c>
      <c r="J225" s="471">
        <v>0</v>
      </c>
      <c r="S225" s="310" t="str">
        <v>GigaEthernet (550Mbps)</v>
      </c>
      <c r="U225" s="472">
        <f t="shared" si="132"/>
        <v>0</v>
      </c>
      <c r="V225" s="472">
        <f t="shared" si="133"/>
        <v>0</v>
      </c>
      <c r="W225" s="472">
        <f t="shared" si="134"/>
        <v>0</v>
      </c>
      <c r="X225" s="472">
        <f t="shared" si="135"/>
        <v>0</v>
      </c>
      <c r="Y225" s="472">
        <f t="shared" si="136"/>
        <v>0</v>
      </c>
      <c r="Z225" s="472">
        <f t="shared" si="137"/>
        <v>0</v>
      </c>
      <c r="AI225" s="310" t="str">
        <v>GigaEthernet (550Mbps)</v>
      </c>
      <c r="AK225" s="472">
        <v>0</v>
      </c>
      <c r="AL225" s="472">
        <v>0</v>
      </c>
      <c r="AM225" s="472">
        <v>0</v>
      </c>
      <c r="AN225" s="472">
        <v>0</v>
      </c>
      <c r="AO225" s="472">
        <v>0</v>
      </c>
      <c r="AP225" s="472">
        <v>0</v>
      </c>
    </row>
    <row r="226" spans="2:48" s="299" customFormat="1">
      <c r="C226" s="310" t="str">
        <v>GigaEthernet (600Mbps)</v>
      </c>
      <c r="E226" s="471">
        <v>0</v>
      </c>
      <c r="F226" s="471">
        <v>0</v>
      </c>
      <c r="G226" s="471">
        <v>0</v>
      </c>
      <c r="H226" s="471">
        <v>0</v>
      </c>
      <c r="I226" s="471">
        <v>0</v>
      </c>
      <c r="J226" s="471">
        <v>0</v>
      </c>
      <c r="S226" s="310" t="str">
        <v>GigaEthernet (600Mbps)</v>
      </c>
      <c r="U226" s="472">
        <f t="shared" si="132"/>
        <v>0</v>
      </c>
      <c r="V226" s="472">
        <f t="shared" si="133"/>
        <v>0</v>
      </c>
      <c r="W226" s="472">
        <f t="shared" si="134"/>
        <v>0</v>
      </c>
      <c r="X226" s="472">
        <f t="shared" si="135"/>
        <v>0</v>
      </c>
      <c r="Y226" s="472">
        <f t="shared" si="136"/>
        <v>0</v>
      </c>
      <c r="Z226" s="472">
        <f t="shared" si="137"/>
        <v>0</v>
      </c>
      <c r="AI226" s="310" t="str">
        <v>GigaEthernet (600Mbps)</v>
      </c>
      <c r="AK226" s="472">
        <v>0</v>
      </c>
      <c r="AL226" s="472">
        <v>0</v>
      </c>
      <c r="AM226" s="472">
        <v>0</v>
      </c>
      <c r="AN226" s="472">
        <v>0</v>
      </c>
      <c r="AO226" s="472">
        <v>0</v>
      </c>
      <c r="AP226" s="472">
        <v>0</v>
      </c>
    </row>
    <row r="227" spans="2:48" s="299" customFormat="1">
      <c r="C227" s="310" t="str">
        <v>GigaEthernet (750Mbps)</v>
      </c>
      <c r="E227" s="471">
        <v>0</v>
      </c>
      <c r="F227" s="471">
        <v>0</v>
      </c>
      <c r="G227" s="471">
        <v>0</v>
      </c>
      <c r="H227" s="471">
        <v>0</v>
      </c>
      <c r="I227" s="471">
        <v>0</v>
      </c>
      <c r="J227" s="471">
        <v>0</v>
      </c>
      <c r="S227" s="310" t="str">
        <v>GigaEthernet (750Mbps)</v>
      </c>
      <c r="U227" s="472">
        <f t="shared" si="132"/>
        <v>0</v>
      </c>
      <c r="V227" s="472">
        <f t="shared" si="133"/>
        <v>0</v>
      </c>
      <c r="W227" s="472">
        <f t="shared" si="134"/>
        <v>0</v>
      </c>
      <c r="X227" s="472">
        <f t="shared" si="135"/>
        <v>0</v>
      </c>
      <c r="Y227" s="472">
        <f t="shared" si="136"/>
        <v>0</v>
      </c>
      <c r="Z227" s="472">
        <f t="shared" si="137"/>
        <v>0</v>
      </c>
      <c r="AI227" s="310" t="str">
        <v>GigaEthernet (750Mbps)</v>
      </c>
      <c r="AK227" s="472">
        <v>0</v>
      </c>
      <c r="AL227" s="472">
        <v>0</v>
      </c>
      <c r="AM227" s="472">
        <v>0</v>
      </c>
      <c r="AN227" s="472">
        <v>0</v>
      </c>
      <c r="AO227" s="472">
        <v>0</v>
      </c>
      <c r="AP227" s="472">
        <v>0</v>
      </c>
    </row>
    <row r="228" spans="2:48" s="299" customFormat="1">
      <c r="C228" s="310" t="str">
        <v>GigaEthernet (1 Gbps)</v>
      </c>
      <c r="E228" s="471">
        <v>0</v>
      </c>
      <c r="F228" s="471">
        <v>0</v>
      </c>
      <c r="G228" s="471">
        <v>0</v>
      </c>
      <c r="H228" s="471">
        <v>0</v>
      </c>
      <c r="I228" s="471">
        <v>0</v>
      </c>
      <c r="J228" s="471">
        <v>0</v>
      </c>
      <c r="S228" s="310" t="str">
        <v>GigaEthernet (1 Gbps)</v>
      </c>
      <c r="U228" s="472">
        <f t="shared" si="132"/>
        <v>0</v>
      </c>
      <c r="V228" s="472">
        <f t="shared" si="133"/>
        <v>0</v>
      </c>
      <c r="W228" s="472">
        <f t="shared" si="134"/>
        <v>0</v>
      </c>
      <c r="X228" s="472">
        <f t="shared" si="135"/>
        <v>0</v>
      </c>
      <c r="Y228" s="472">
        <f t="shared" si="136"/>
        <v>0</v>
      </c>
      <c r="Z228" s="472">
        <f t="shared" si="137"/>
        <v>0</v>
      </c>
      <c r="AI228" s="310" t="str">
        <v>GigaEthernet (1 Gbps)</v>
      </c>
      <c r="AK228" s="472">
        <v>0</v>
      </c>
      <c r="AL228" s="472">
        <v>0</v>
      </c>
      <c r="AM228" s="472">
        <v>0</v>
      </c>
      <c r="AN228" s="472">
        <v>0</v>
      </c>
      <c r="AO228" s="472">
        <v>0</v>
      </c>
      <c r="AP228" s="472">
        <v>0</v>
      </c>
    </row>
    <row r="229" spans="2:48">
      <c r="K229" s="38" t="s">
        <v>579</v>
      </c>
      <c r="AA229" s="38" t="s">
        <v>586</v>
      </c>
      <c r="AH229" s="299"/>
      <c r="AI229" s="299"/>
      <c r="AJ229" s="299"/>
      <c r="AK229" s="299"/>
      <c r="AL229" s="299"/>
      <c r="AM229" s="299"/>
      <c r="AN229" s="299"/>
      <c r="AO229" s="299"/>
      <c r="AP229" s="299"/>
      <c r="AQ229" s="38" t="s">
        <v>593</v>
      </c>
      <c r="AR229" s="299"/>
      <c r="AS229" s="299"/>
      <c r="AT229" s="299"/>
      <c r="AU229" s="299"/>
      <c r="AV229" s="299"/>
    </row>
    <row r="230" spans="2:48">
      <c r="AH230" s="299"/>
      <c r="AI230" s="299"/>
      <c r="AJ230" s="299"/>
      <c r="AK230" s="299"/>
      <c r="AL230" s="299"/>
      <c r="AM230" s="299"/>
      <c r="AN230" s="299"/>
      <c r="AO230" s="299"/>
      <c r="AP230" s="299"/>
      <c r="AQ230" s="299"/>
      <c r="AR230" s="299"/>
      <c r="AS230" s="299"/>
      <c r="AT230" s="299"/>
      <c r="AU230" s="299"/>
      <c r="AV230" s="299"/>
    </row>
    <row r="231" spans="2:48" s="299" customFormat="1"/>
    <row r="232" spans="2:48" s="299" customFormat="1" ht="17.25" thickBot="1">
      <c r="B232" s="308" t="s">
        <v>492</v>
      </c>
      <c r="C232" s="308"/>
      <c r="D232" s="308"/>
      <c r="E232" s="308"/>
      <c r="F232" s="308"/>
      <c r="G232" s="308"/>
      <c r="R232" s="308" t="s">
        <v>561</v>
      </c>
      <c r="S232" s="308"/>
      <c r="T232" s="308"/>
      <c r="U232" s="308"/>
      <c r="V232" s="308"/>
      <c r="W232" s="308"/>
      <c r="X232" s="308"/>
      <c r="AH232" s="308" t="s">
        <v>565</v>
      </c>
      <c r="AI232" s="308"/>
      <c r="AJ232" s="308"/>
      <c r="AK232" s="308"/>
      <c r="AL232" s="308"/>
      <c r="AM232" s="308"/>
      <c r="AN232" s="308"/>
    </row>
    <row r="233" spans="2:48" s="299" customFormat="1" ht="18" thickTop="1" thickBot="1">
      <c r="B233" s="308" t="s">
        <v>493</v>
      </c>
      <c r="C233" s="308"/>
      <c r="D233" s="308"/>
      <c r="E233" s="308"/>
      <c r="F233" s="308"/>
      <c r="G233" s="308"/>
      <c r="H233" s="308"/>
      <c r="I233" s="308"/>
      <c r="J233" s="308"/>
      <c r="K233" s="308"/>
      <c r="L233" s="308"/>
      <c r="M233" s="308"/>
      <c r="N233" s="308"/>
      <c r="O233" s="308"/>
      <c r="P233" s="308"/>
      <c r="R233" s="308" t="s">
        <v>573</v>
      </c>
      <c r="S233" s="308"/>
      <c r="T233" s="308"/>
      <c r="U233" s="308"/>
      <c r="V233" s="308"/>
      <c r="W233" s="308"/>
      <c r="X233" s="308"/>
      <c r="Y233" s="308"/>
      <c r="Z233" s="308"/>
      <c r="AA233" s="308"/>
      <c r="AB233" s="308"/>
      <c r="AC233" s="308"/>
      <c r="AD233" s="308"/>
      <c r="AE233" s="308"/>
      <c r="AF233" s="308"/>
      <c r="AH233" s="308" t="s">
        <v>569</v>
      </c>
      <c r="AI233" s="308"/>
      <c r="AJ233" s="308"/>
      <c r="AK233" s="308"/>
      <c r="AL233" s="308"/>
      <c r="AM233" s="308"/>
      <c r="AN233" s="308"/>
      <c r="AO233" s="308"/>
      <c r="AP233" s="308"/>
      <c r="AQ233" s="308"/>
      <c r="AR233" s="308"/>
      <c r="AS233" s="308"/>
      <c r="AT233" s="308"/>
      <c r="AU233" s="308"/>
      <c r="AV233" s="308"/>
    </row>
    <row r="234" spans="2:48" s="299" customFormat="1" ht="12.75" thickTop="1">
      <c r="S234" s="314" t="str">
        <f>Retail.leased.lines.proporcionados.option</f>
        <v>Supuesto 2</v>
      </c>
    </row>
    <row r="235" spans="2:48" s="299" customFormat="1">
      <c r="C235" s="325" t="s">
        <v>442</v>
      </c>
      <c r="D235" s="325">
        <f t="array" ref="D235:O235">TRANSPOSE(Years)</f>
        <v>2008</v>
      </c>
      <c r="E235" s="325">
        <v>2009</v>
      </c>
      <c r="F235" s="325">
        <v>2010</v>
      </c>
      <c r="G235" s="325">
        <v>2011</v>
      </c>
      <c r="H235" s="325">
        <v>2012</v>
      </c>
      <c r="I235" s="325">
        <v>2013</v>
      </c>
      <c r="J235" s="325">
        <v>2014</v>
      </c>
      <c r="K235" s="325">
        <v>2015</v>
      </c>
      <c r="L235" s="325">
        <v>2016</v>
      </c>
      <c r="M235" s="325">
        <v>2017</v>
      </c>
      <c r="N235" s="325">
        <v>2018</v>
      </c>
      <c r="O235" s="325">
        <v>2019</v>
      </c>
      <c r="S235" s="338" t="s">
        <v>442</v>
      </c>
      <c r="T235" s="338">
        <f t="array" ref="T235:AE235">TRANSPOSE(Years)</f>
        <v>2008</v>
      </c>
      <c r="U235" s="338">
        <v>2009</v>
      </c>
      <c r="V235" s="338">
        <v>2010</v>
      </c>
      <c r="W235" s="338">
        <v>2011</v>
      </c>
      <c r="X235" s="338">
        <v>2012</v>
      </c>
      <c r="Y235" s="338">
        <v>2013</v>
      </c>
      <c r="Z235" s="338">
        <v>2014</v>
      </c>
      <c r="AA235" s="338">
        <v>2015</v>
      </c>
      <c r="AB235" s="338">
        <v>2016</v>
      </c>
      <c r="AC235" s="338">
        <v>2017</v>
      </c>
      <c r="AD235" s="338">
        <v>2018</v>
      </c>
      <c r="AE235" s="338">
        <v>2019</v>
      </c>
      <c r="AI235" s="338" t="s">
        <v>442</v>
      </c>
      <c r="AJ235" s="338">
        <f t="array" ref="AJ235:AU235">TRANSPOSE(Years)</f>
        <v>2008</v>
      </c>
      <c r="AK235" s="338">
        <v>2009</v>
      </c>
      <c r="AL235" s="338">
        <v>2010</v>
      </c>
      <c r="AM235" s="338">
        <v>2011</v>
      </c>
      <c r="AN235" s="338">
        <v>2012</v>
      </c>
      <c r="AO235" s="338">
        <v>2013</v>
      </c>
      <c r="AP235" s="338">
        <v>2014</v>
      </c>
      <c r="AQ235" s="338">
        <v>2015</v>
      </c>
      <c r="AR235" s="338">
        <v>2016</v>
      </c>
      <c r="AS235" s="338">
        <v>2017</v>
      </c>
      <c r="AT235" s="338">
        <v>2018</v>
      </c>
      <c r="AU235" s="338">
        <v>2019</v>
      </c>
    </row>
    <row r="236" spans="2:48" s="299" customFormat="1">
      <c r="C236" s="310" t="str">
        <f t="array" ref="C236:C273">LL.list</f>
        <v>64 kbps</v>
      </c>
      <c r="E236" s="471">
        <f t="array" ref="E236:J273">AK236:AP273-U236:Z273</f>
        <v>19.990000000000002</v>
      </c>
      <c r="F236" s="471">
        <v>18.419999999999995</v>
      </c>
      <c r="G236" s="471">
        <v>19.060000000000002</v>
      </c>
      <c r="H236" s="471">
        <v>7.3299999999999983</v>
      </c>
      <c r="I236" s="471">
        <v>9.1999999999999993</v>
      </c>
      <c r="J236" s="471">
        <v>5.9</v>
      </c>
      <c r="R236" s="469">
        <v>0.5</v>
      </c>
      <c r="S236" s="310" t="str">
        <f t="array" ref="S236:S273">LL.list</f>
        <v>64 kbps</v>
      </c>
      <c r="U236" s="471">
        <f t="shared" ref="U236:U246" si="138">ROUNDUP(AK236*$R236,0)</f>
        <v>20</v>
      </c>
      <c r="V236" s="471">
        <f t="shared" ref="V236:V246" si="139">ROUNDUP(AL236*$R236,0)</f>
        <v>20</v>
      </c>
      <c r="W236" s="471">
        <f t="shared" ref="W236:W246" si="140">ROUNDUP(AM236*$R236,0)</f>
        <v>20</v>
      </c>
      <c r="X236" s="471">
        <f t="shared" ref="X236:X246" si="141">ROUNDUP(AN236*$R236,0)</f>
        <v>9</v>
      </c>
      <c r="Y236" s="471">
        <f t="shared" ref="Y236:Y246" si="142">ROUNDUP(AO236*$R236,0)</f>
        <v>10</v>
      </c>
      <c r="Z236" s="471">
        <f t="shared" ref="Z236:Z246" si="143">ROUNDUP(AP236*$R236,0)</f>
        <v>7</v>
      </c>
      <c r="AI236" s="310" t="str">
        <f t="array" ref="AI236:AI273">LL.list</f>
        <v>64 kbps</v>
      </c>
      <c r="AK236" s="472">
        <f t="array" ref="AK236:AP273">'7'!$BR$453:$BW$490</f>
        <v>39.99</v>
      </c>
      <c r="AL236" s="472">
        <v>38.419999999999995</v>
      </c>
      <c r="AM236" s="472">
        <v>39.06</v>
      </c>
      <c r="AN236" s="472">
        <v>16.329999999999998</v>
      </c>
      <c r="AO236" s="472">
        <v>19.2</v>
      </c>
      <c r="AP236" s="472">
        <v>12.9</v>
      </c>
    </row>
    <row r="237" spans="2:48" s="299" customFormat="1">
      <c r="C237" s="310" t="str">
        <v>128 kbps</v>
      </c>
      <c r="E237" s="471">
        <v>3.24</v>
      </c>
      <c r="F237" s="471">
        <v>3.8400000000000007</v>
      </c>
      <c r="G237" s="471">
        <v>3.1400000000000006</v>
      </c>
      <c r="H237" s="471">
        <v>0.60999999999999988</v>
      </c>
      <c r="I237" s="471">
        <v>0</v>
      </c>
      <c r="J237" s="471">
        <v>0</v>
      </c>
      <c r="R237" s="469">
        <v>0.5</v>
      </c>
      <c r="S237" s="310" t="str">
        <v>128 kbps</v>
      </c>
      <c r="U237" s="471">
        <f t="shared" si="138"/>
        <v>5</v>
      </c>
      <c r="V237" s="471">
        <f t="shared" si="139"/>
        <v>4</v>
      </c>
      <c r="W237" s="471">
        <f t="shared" si="140"/>
        <v>4</v>
      </c>
      <c r="X237" s="471">
        <f t="shared" si="141"/>
        <v>2</v>
      </c>
      <c r="Y237" s="471">
        <f t="shared" si="142"/>
        <v>0</v>
      </c>
      <c r="Z237" s="471">
        <f t="shared" si="143"/>
        <v>0</v>
      </c>
      <c r="AI237" s="310" t="str">
        <v>128 kbps</v>
      </c>
      <c r="AK237" s="472">
        <v>8.24</v>
      </c>
      <c r="AL237" s="472">
        <v>7.8400000000000007</v>
      </c>
      <c r="AM237" s="472">
        <v>7.1400000000000006</v>
      </c>
      <c r="AN237" s="472">
        <v>2.61</v>
      </c>
      <c r="AO237" s="472">
        <v>0</v>
      </c>
      <c r="AP237" s="472">
        <v>0</v>
      </c>
    </row>
    <row r="238" spans="2:48" s="299" customFormat="1">
      <c r="C238" s="310" t="str">
        <v>192 kbps</v>
      </c>
      <c r="E238" s="471">
        <v>-0.14000000000000001</v>
      </c>
      <c r="F238" s="471">
        <v>0</v>
      </c>
      <c r="G238" s="471">
        <v>0</v>
      </c>
      <c r="H238" s="471">
        <v>0</v>
      </c>
      <c r="I238" s="471">
        <v>0</v>
      </c>
      <c r="J238" s="471">
        <v>0</v>
      </c>
      <c r="R238" s="469">
        <v>0.5</v>
      </c>
      <c r="S238" s="310" t="str">
        <v>192 kbps</v>
      </c>
      <c r="U238" s="471">
        <f t="shared" si="138"/>
        <v>1</v>
      </c>
      <c r="V238" s="471">
        <f t="shared" si="139"/>
        <v>0</v>
      </c>
      <c r="W238" s="471">
        <f t="shared" si="140"/>
        <v>0</v>
      </c>
      <c r="X238" s="471">
        <f t="shared" si="141"/>
        <v>0</v>
      </c>
      <c r="Y238" s="471">
        <f t="shared" si="142"/>
        <v>0</v>
      </c>
      <c r="Z238" s="471">
        <f t="shared" si="143"/>
        <v>0</v>
      </c>
      <c r="AI238" s="310" t="str">
        <v>192 kbps</v>
      </c>
      <c r="AK238" s="472">
        <v>0.86</v>
      </c>
      <c r="AL238" s="472">
        <v>0</v>
      </c>
      <c r="AM238" s="472">
        <v>0</v>
      </c>
      <c r="AN238" s="472">
        <v>0</v>
      </c>
      <c r="AO238" s="472">
        <v>0</v>
      </c>
      <c r="AP238" s="472">
        <v>0</v>
      </c>
    </row>
    <row r="239" spans="2:48" s="299" customFormat="1">
      <c r="C239" s="310" t="str">
        <v>256 kbps</v>
      </c>
      <c r="E239" s="471">
        <v>7.66</v>
      </c>
      <c r="F239" s="471">
        <v>3.3999999999999986</v>
      </c>
      <c r="G239" s="471">
        <v>2.0600000000000005</v>
      </c>
      <c r="H239" s="471">
        <v>3.4399999999999995</v>
      </c>
      <c r="I239" s="471">
        <v>1.7200000000000002</v>
      </c>
      <c r="J239" s="471">
        <v>1.2799999999999998</v>
      </c>
      <c r="R239" s="469">
        <v>0.5</v>
      </c>
      <c r="S239" s="310" t="str">
        <v>256 kbps</v>
      </c>
      <c r="U239" s="471">
        <f t="shared" si="138"/>
        <v>9</v>
      </c>
      <c r="V239" s="471">
        <f t="shared" si="139"/>
        <v>5</v>
      </c>
      <c r="W239" s="471">
        <f t="shared" si="140"/>
        <v>4</v>
      </c>
      <c r="X239" s="471">
        <f t="shared" si="141"/>
        <v>4</v>
      </c>
      <c r="Y239" s="471">
        <f t="shared" si="142"/>
        <v>2</v>
      </c>
      <c r="Z239" s="471">
        <f t="shared" si="143"/>
        <v>2</v>
      </c>
      <c r="AI239" s="310" t="str">
        <v>256 kbps</v>
      </c>
      <c r="AK239" s="472">
        <v>16.66</v>
      </c>
      <c r="AL239" s="472">
        <v>8.3999999999999986</v>
      </c>
      <c r="AM239" s="472">
        <v>6.0600000000000005</v>
      </c>
      <c r="AN239" s="472">
        <v>7.4399999999999995</v>
      </c>
      <c r="AO239" s="472">
        <v>3.72</v>
      </c>
      <c r="AP239" s="472">
        <v>3.28</v>
      </c>
    </row>
    <row r="240" spans="2:48" s="299" customFormat="1">
      <c r="C240" s="310" t="str">
        <v>384 kbps</v>
      </c>
      <c r="E240" s="471">
        <v>6.32</v>
      </c>
      <c r="F240" s="471">
        <v>2.4799999999999995</v>
      </c>
      <c r="G240" s="471">
        <v>5.7000000000000011</v>
      </c>
      <c r="H240" s="471">
        <v>4.8900000000000006</v>
      </c>
      <c r="I240" s="471">
        <v>0</v>
      </c>
      <c r="J240" s="471">
        <v>0</v>
      </c>
      <c r="R240" s="469">
        <v>0.5</v>
      </c>
      <c r="S240" s="310" t="str">
        <v>384 kbps</v>
      </c>
      <c r="U240" s="471">
        <f t="shared" si="138"/>
        <v>7</v>
      </c>
      <c r="V240" s="471">
        <f t="shared" si="139"/>
        <v>4</v>
      </c>
      <c r="W240" s="471">
        <f t="shared" si="140"/>
        <v>6</v>
      </c>
      <c r="X240" s="471">
        <f t="shared" si="141"/>
        <v>6</v>
      </c>
      <c r="Y240" s="471">
        <f t="shared" si="142"/>
        <v>0</v>
      </c>
      <c r="Z240" s="471">
        <f t="shared" si="143"/>
        <v>0</v>
      </c>
      <c r="AI240" s="310" t="str">
        <v>384 kbps</v>
      </c>
      <c r="AK240" s="472">
        <v>13.32</v>
      </c>
      <c r="AL240" s="472">
        <v>6.4799999999999995</v>
      </c>
      <c r="AM240" s="472">
        <v>11.700000000000001</v>
      </c>
      <c r="AN240" s="472">
        <v>10.89</v>
      </c>
      <c r="AO240" s="472">
        <v>0</v>
      </c>
      <c r="AP240" s="472">
        <v>0</v>
      </c>
    </row>
    <row r="241" spans="3:42" s="299" customFormat="1">
      <c r="C241" s="310" t="str">
        <v>512 kbps</v>
      </c>
      <c r="E241" s="471">
        <v>5.52</v>
      </c>
      <c r="F241" s="471">
        <v>4.3599999999999994</v>
      </c>
      <c r="G241" s="471">
        <v>3.8000000000000007</v>
      </c>
      <c r="H241" s="471">
        <v>4.7200000000000006</v>
      </c>
      <c r="I241" s="471">
        <v>3.4000000000000004</v>
      </c>
      <c r="J241" s="471">
        <v>1.5</v>
      </c>
      <c r="R241" s="469">
        <v>0.5</v>
      </c>
      <c r="S241" s="310" t="str">
        <v>512 kbps</v>
      </c>
      <c r="U241" s="471">
        <f t="shared" si="138"/>
        <v>6</v>
      </c>
      <c r="V241" s="471">
        <f t="shared" si="139"/>
        <v>5</v>
      </c>
      <c r="W241" s="471">
        <f t="shared" si="140"/>
        <v>5</v>
      </c>
      <c r="X241" s="471">
        <f t="shared" si="141"/>
        <v>5</v>
      </c>
      <c r="Y241" s="471">
        <f t="shared" si="142"/>
        <v>5</v>
      </c>
      <c r="Z241" s="471">
        <f t="shared" si="143"/>
        <v>3</v>
      </c>
      <c r="AI241" s="310" t="str">
        <v>512 kbps</v>
      </c>
      <c r="AK241" s="472">
        <v>11.52</v>
      </c>
      <c r="AL241" s="472">
        <v>9.36</v>
      </c>
      <c r="AM241" s="472">
        <v>8.8000000000000007</v>
      </c>
      <c r="AN241" s="472">
        <v>9.7200000000000006</v>
      </c>
      <c r="AO241" s="472">
        <v>8.4</v>
      </c>
      <c r="AP241" s="472">
        <v>4.5</v>
      </c>
    </row>
    <row r="242" spans="3:42" s="299" customFormat="1">
      <c r="C242" s="310" t="str">
        <v>768 kbps</v>
      </c>
      <c r="E242" s="471">
        <v>2.25</v>
      </c>
      <c r="F242" s="471">
        <v>2.6000000000000005</v>
      </c>
      <c r="G242" s="471">
        <v>2.6999999999999993</v>
      </c>
      <c r="H242" s="471">
        <v>0.14000000000000012</v>
      </c>
      <c r="I242" s="471">
        <v>0</v>
      </c>
      <c r="J242" s="471">
        <v>0</v>
      </c>
      <c r="R242" s="469">
        <v>0.5</v>
      </c>
      <c r="S242" s="310" t="str">
        <v>768 kbps</v>
      </c>
      <c r="U242" s="471">
        <f t="shared" si="138"/>
        <v>4</v>
      </c>
      <c r="V242" s="471">
        <f t="shared" si="139"/>
        <v>3</v>
      </c>
      <c r="W242" s="471">
        <f t="shared" si="140"/>
        <v>3</v>
      </c>
      <c r="X242" s="471">
        <f t="shared" si="141"/>
        <v>2</v>
      </c>
      <c r="Y242" s="471">
        <f t="shared" si="142"/>
        <v>0</v>
      </c>
      <c r="Z242" s="471">
        <f t="shared" si="143"/>
        <v>0</v>
      </c>
      <c r="AI242" s="310" t="str">
        <v>768 kbps</v>
      </c>
      <c r="AK242" s="472">
        <v>6.25</v>
      </c>
      <c r="AL242" s="472">
        <v>5.6000000000000005</v>
      </c>
      <c r="AM242" s="472">
        <v>5.6999999999999993</v>
      </c>
      <c r="AN242" s="472">
        <v>2.14</v>
      </c>
      <c r="AO242" s="472">
        <v>0</v>
      </c>
      <c r="AP242" s="472">
        <v>0</v>
      </c>
    </row>
    <row r="243" spans="3:42" s="299" customFormat="1">
      <c r="C243" s="310" t="str">
        <v>1024 kbps</v>
      </c>
      <c r="E243" s="471">
        <v>3.21</v>
      </c>
      <c r="F243" s="471">
        <v>3.3200000000000003</v>
      </c>
      <c r="G243" s="471">
        <v>3.2800000000000002</v>
      </c>
      <c r="H243" s="471">
        <v>1.3600000000000003</v>
      </c>
      <c r="I243" s="471">
        <v>4.5999999999999996</v>
      </c>
      <c r="J243" s="471">
        <v>3.2800000000000002</v>
      </c>
      <c r="R243" s="469">
        <v>0.5</v>
      </c>
      <c r="S243" s="310" t="str">
        <v>1024 kbps</v>
      </c>
      <c r="U243" s="471">
        <f t="shared" si="138"/>
        <v>4</v>
      </c>
      <c r="V243" s="471">
        <f t="shared" si="139"/>
        <v>4</v>
      </c>
      <c r="W243" s="471">
        <f t="shared" si="140"/>
        <v>4</v>
      </c>
      <c r="X243" s="471">
        <f t="shared" si="141"/>
        <v>3</v>
      </c>
      <c r="Y243" s="471">
        <f t="shared" si="142"/>
        <v>5</v>
      </c>
      <c r="Z243" s="471">
        <f t="shared" si="143"/>
        <v>4</v>
      </c>
      <c r="AI243" s="310" t="str">
        <v>1024 kbps</v>
      </c>
      <c r="AK243" s="472">
        <v>7.21</v>
      </c>
      <c r="AL243" s="472">
        <v>7.32</v>
      </c>
      <c r="AM243" s="472">
        <v>7.28</v>
      </c>
      <c r="AN243" s="472">
        <v>4.3600000000000003</v>
      </c>
      <c r="AO243" s="472">
        <v>9.6</v>
      </c>
      <c r="AP243" s="472">
        <v>7.28</v>
      </c>
    </row>
    <row r="244" spans="3:42" s="299" customFormat="1">
      <c r="C244" s="331" t="str">
        <v>E1 (2.04 Mbps)</v>
      </c>
      <c r="E244" s="471">
        <v>58.260000000000005</v>
      </c>
      <c r="F244" s="471">
        <v>56.97999999999999</v>
      </c>
      <c r="G244" s="471">
        <v>76.920000000000016</v>
      </c>
      <c r="H244" s="471">
        <v>68.5</v>
      </c>
      <c r="I244" s="471">
        <v>63.33</v>
      </c>
      <c r="J244" s="471">
        <v>53.780000000000015</v>
      </c>
      <c r="R244" s="469">
        <v>0.5</v>
      </c>
      <c r="S244" s="331" t="str">
        <v>E1 (2.04 Mbps)</v>
      </c>
      <c r="U244" s="471">
        <f t="shared" si="138"/>
        <v>60</v>
      </c>
      <c r="V244" s="471">
        <f t="shared" si="139"/>
        <v>57</v>
      </c>
      <c r="W244" s="471">
        <f t="shared" si="140"/>
        <v>77</v>
      </c>
      <c r="X244" s="471">
        <f t="shared" si="141"/>
        <v>69</v>
      </c>
      <c r="Y244" s="471">
        <f t="shared" si="142"/>
        <v>64</v>
      </c>
      <c r="Z244" s="471">
        <f t="shared" si="143"/>
        <v>55</v>
      </c>
      <c r="AI244" s="331" t="str">
        <v>E1 (2.04 Mbps)</v>
      </c>
      <c r="AK244" s="472">
        <v>118.26</v>
      </c>
      <c r="AL244" s="472">
        <v>113.97999999999999</v>
      </c>
      <c r="AM244" s="472">
        <v>153.92000000000002</v>
      </c>
      <c r="AN244" s="472">
        <v>137.5</v>
      </c>
      <c r="AO244" s="472">
        <v>127.33</v>
      </c>
      <c r="AP244" s="472">
        <v>108.78000000000002</v>
      </c>
    </row>
    <row r="245" spans="3:42" s="299" customFormat="1">
      <c r="C245" s="331" t="str">
        <v>E2 *</v>
      </c>
      <c r="E245" s="471">
        <v>0</v>
      </c>
      <c r="F245" s="471">
        <v>0</v>
      </c>
      <c r="G245" s="471">
        <v>0</v>
      </c>
      <c r="H245" s="471">
        <v>0</v>
      </c>
      <c r="I245" s="471">
        <v>0</v>
      </c>
      <c r="J245" s="471">
        <v>0</v>
      </c>
      <c r="R245" s="469">
        <v>0.5</v>
      </c>
      <c r="S245" s="331" t="str">
        <v>E2 *</v>
      </c>
      <c r="U245" s="471">
        <f t="shared" si="138"/>
        <v>0</v>
      </c>
      <c r="V245" s="471">
        <f t="shared" si="139"/>
        <v>0</v>
      </c>
      <c r="W245" s="471">
        <f t="shared" si="140"/>
        <v>0</v>
      </c>
      <c r="X245" s="471">
        <f t="shared" si="141"/>
        <v>0</v>
      </c>
      <c r="Y245" s="471">
        <f t="shared" si="142"/>
        <v>0</v>
      </c>
      <c r="Z245" s="471">
        <f t="shared" si="143"/>
        <v>0</v>
      </c>
      <c r="AI245" s="331" t="str">
        <v>E2 *</v>
      </c>
      <c r="AK245" s="472">
        <v>0</v>
      </c>
      <c r="AL245" s="472">
        <v>0</v>
      </c>
      <c r="AM245" s="472">
        <v>0</v>
      </c>
      <c r="AN245" s="472">
        <v>0</v>
      </c>
      <c r="AO245" s="472">
        <v>0</v>
      </c>
      <c r="AP245" s="472">
        <v>0</v>
      </c>
    </row>
    <row r="246" spans="3:42" s="299" customFormat="1">
      <c r="C246" s="331" t="str">
        <v>E3 (34 Mbps)</v>
      </c>
      <c r="E246" s="471">
        <v>0</v>
      </c>
      <c r="F246" s="471">
        <v>0</v>
      </c>
      <c r="G246" s="471">
        <v>0</v>
      </c>
      <c r="H246" s="471">
        <v>0</v>
      </c>
      <c r="I246" s="471">
        <v>0</v>
      </c>
      <c r="J246" s="471">
        <v>0</v>
      </c>
      <c r="R246" s="469">
        <v>0.5</v>
      </c>
      <c r="S246" s="331" t="str">
        <v>E3 (34 Mbps)</v>
      </c>
      <c r="U246" s="471">
        <f t="shared" si="138"/>
        <v>0</v>
      </c>
      <c r="V246" s="471">
        <f t="shared" si="139"/>
        <v>0</v>
      </c>
      <c r="W246" s="471">
        <f t="shared" si="140"/>
        <v>0</v>
      </c>
      <c r="X246" s="471">
        <f t="shared" si="141"/>
        <v>0</v>
      </c>
      <c r="Y246" s="471">
        <f t="shared" si="142"/>
        <v>0</v>
      </c>
      <c r="Z246" s="471">
        <f t="shared" si="143"/>
        <v>0</v>
      </c>
      <c r="AI246" s="331" t="str">
        <v>E3 (34 Mbps)</v>
      </c>
      <c r="AK246" s="472">
        <v>0</v>
      </c>
      <c r="AL246" s="472">
        <v>0</v>
      </c>
      <c r="AM246" s="472">
        <v>0</v>
      </c>
      <c r="AN246" s="472">
        <v>0</v>
      </c>
      <c r="AO246" s="472">
        <v>0</v>
      </c>
      <c r="AP246" s="472">
        <v>0</v>
      </c>
    </row>
    <row r="247" spans="3:42" s="299" customFormat="1">
      <c r="C247" s="331" t="str">
        <v>STM-1 (155 Mbps)</v>
      </c>
      <c r="E247" s="471">
        <v>0</v>
      </c>
      <c r="F247" s="471">
        <v>0</v>
      </c>
      <c r="G247" s="471">
        <v>0</v>
      </c>
      <c r="H247" s="471">
        <v>0</v>
      </c>
      <c r="I247" s="471">
        <v>0</v>
      </c>
      <c r="J247" s="471">
        <v>0</v>
      </c>
      <c r="S247" s="331" t="str">
        <v>STM-1 (155 Mbps)</v>
      </c>
      <c r="U247" s="472">
        <f t="shared" ref="U247:U251" si="144">AK247</f>
        <v>3.72</v>
      </c>
      <c r="V247" s="472">
        <f t="shared" ref="V247:V251" si="145">AL247</f>
        <v>5.6999999999999993</v>
      </c>
      <c r="W247" s="472">
        <f t="shared" ref="W247:W251" si="146">AM247</f>
        <v>6.35</v>
      </c>
      <c r="X247" s="472">
        <f t="shared" ref="X247:X251" si="147">AN247</f>
        <v>2.0999999999999996</v>
      </c>
      <c r="Y247" s="472">
        <f t="shared" ref="Y247:Y251" si="148">AO247</f>
        <v>2.4899999999999998</v>
      </c>
      <c r="Z247" s="472">
        <f t="shared" ref="Z247:Z251" si="149">AP247</f>
        <v>2.8499999999999996</v>
      </c>
      <c r="AI247" s="331" t="str">
        <v>STM-1 (155 Mbps)</v>
      </c>
      <c r="AK247" s="472">
        <v>3.72</v>
      </c>
      <c r="AL247" s="472">
        <v>5.6999999999999993</v>
      </c>
      <c r="AM247" s="472">
        <v>6.35</v>
      </c>
      <c r="AN247" s="472">
        <v>2.0999999999999996</v>
      </c>
      <c r="AO247" s="472">
        <v>2.4899999999999998</v>
      </c>
      <c r="AP247" s="472">
        <v>2.8499999999999996</v>
      </c>
    </row>
    <row r="248" spans="3:42" s="299" customFormat="1">
      <c r="C248" s="310" t="str">
        <v>STM-4 (622.08 Mbps)</v>
      </c>
      <c r="E248" s="471">
        <v>0</v>
      </c>
      <c r="F248" s="471">
        <v>0</v>
      </c>
      <c r="G248" s="471">
        <v>0</v>
      </c>
      <c r="H248" s="471">
        <v>0</v>
      </c>
      <c r="I248" s="471">
        <v>0</v>
      </c>
      <c r="J248" s="471">
        <v>0</v>
      </c>
      <c r="S248" s="310" t="str">
        <v>STM-4 (622.08 Mbps)</v>
      </c>
      <c r="U248" s="472">
        <f t="shared" si="144"/>
        <v>0</v>
      </c>
      <c r="V248" s="472">
        <f t="shared" si="145"/>
        <v>0</v>
      </c>
      <c r="W248" s="472">
        <f t="shared" si="146"/>
        <v>0.77</v>
      </c>
      <c r="X248" s="472">
        <f t="shared" si="147"/>
        <v>0.78</v>
      </c>
      <c r="Y248" s="472">
        <f t="shared" si="148"/>
        <v>1.02</v>
      </c>
      <c r="Z248" s="472">
        <f t="shared" si="149"/>
        <v>1.03</v>
      </c>
      <c r="AI248" s="310" t="str">
        <v>STM-4 (622.08 Mbps)</v>
      </c>
      <c r="AK248" s="472">
        <v>0</v>
      </c>
      <c r="AL248" s="472">
        <v>0</v>
      </c>
      <c r="AM248" s="472">
        <v>0.77</v>
      </c>
      <c r="AN248" s="472">
        <v>0.78</v>
      </c>
      <c r="AO248" s="472">
        <v>1.02</v>
      </c>
      <c r="AP248" s="472">
        <v>1.03</v>
      </c>
    </row>
    <row r="249" spans="3:42" s="299" customFormat="1">
      <c r="C249" s="310" t="str">
        <v>STM-16 (2488.32Mbps)</v>
      </c>
      <c r="E249" s="471">
        <v>0</v>
      </c>
      <c r="F249" s="471">
        <v>0</v>
      </c>
      <c r="G249" s="471">
        <v>0</v>
      </c>
      <c r="H249" s="471">
        <v>0</v>
      </c>
      <c r="I249" s="471">
        <v>0</v>
      </c>
      <c r="J249" s="471">
        <v>0</v>
      </c>
      <c r="S249" s="310" t="str">
        <v>STM-16 (2488.32Mbps)</v>
      </c>
      <c r="U249" s="472">
        <f t="shared" si="144"/>
        <v>3.76</v>
      </c>
      <c r="V249" s="472">
        <f t="shared" si="145"/>
        <v>4.04</v>
      </c>
      <c r="W249" s="472">
        <f t="shared" si="146"/>
        <v>4.76</v>
      </c>
      <c r="X249" s="472">
        <f t="shared" si="147"/>
        <v>2.92</v>
      </c>
      <c r="Y249" s="472">
        <f t="shared" si="148"/>
        <v>3.44</v>
      </c>
      <c r="Z249" s="472">
        <f t="shared" si="149"/>
        <v>4.5199999999999996</v>
      </c>
      <c r="AI249" s="310" t="str">
        <v>STM-16 (2488.32Mbps)</v>
      </c>
      <c r="AK249" s="472">
        <v>3.76</v>
      </c>
      <c r="AL249" s="472">
        <v>4.04</v>
      </c>
      <c r="AM249" s="472">
        <v>4.76</v>
      </c>
      <c r="AN249" s="472">
        <v>2.92</v>
      </c>
      <c r="AO249" s="472">
        <v>3.44</v>
      </c>
      <c r="AP249" s="472">
        <v>4.5199999999999996</v>
      </c>
    </row>
    <row r="250" spans="3:42" s="299" customFormat="1">
      <c r="C250" s="310" t="str">
        <v>STM-64 (9953.28Mbps)</v>
      </c>
      <c r="E250" s="471">
        <v>0</v>
      </c>
      <c r="F250" s="471">
        <v>0</v>
      </c>
      <c r="G250" s="471">
        <v>0</v>
      </c>
      <c r="H250" s="471">
        <v>0</v>
      </c>
      <c r="I250" s="471">
        <v>0</v>
      </c>
      <c r="J250" s="471">
        <v>0</v>
      </c>
      <c r="S250" s="310" t="str">
        <v>STM-64 (9953.28Mbps)</v>
      </c>
      <c r="U250" s="472">
        <f t="shared" si="144"/>
        <v>0</v>
      </c>
      <c r="V250" s="472">
        <f t="shared" si="145"/>
        <v>0</v>
      </c>
      <c r="W250" s="472">
        <f t="shared" si="146"/>
        <v>0</v>
      </c>
      <c r="X250" s="472">
        <f t="shared" si="147"/>
        <v>0</v>
      </c>
      <c r="Y250" s="472">
        <f t="shared" si="148"/>
        <v>0</v>
      </c>
      <c r="Z250" s="472">
        <f t="shared" si="149"/>
        <v>0</v>
      </c>
      <c r="AI250" s="310" t="str">
        <v>STM-64 (9953.28Mbps)</v>
      </c>
      <c r="AK250" s="472">
        <v>0</v>
      </c>
      <c r="AL250" s="472">
        <v>0</v>
      </c>
      <c r="AM250" s="472">
        <v>0</v>
      </c>
      <c r="AN250" s="472">
        <v>0</v>
      </c>
      <c r="AO250" s="472">
        <v>0</v>
      </c>
      <c r="AP250" s="472">
        <v>0</v>
      </c>
    </row>
    <row r="251" spans="3:42" s="299" customFormat="1">
      <c r="C251" s="310" t="str">
        <v>STM-256 (39813.12 Mbps)*</v>
      </c>
      <c r="E251" s="471">
        <v>0</v>
      </c>
      <c r="F251" s="471">
        <v>0</v>
      </c>
      <c r="G251" s="471">
        <v>0</v>
      </c>
      <c r="H251" s="471">
        <v>0</v>
      </c>
      <c r="I251" s="471">
        <v>0</v>
      </c>
      <c r="J251" s="471">
        <v>0</v>
      </c>
      <c r="S251" s="310" t="str">
        <v>STM-256 (39813.12 Mbps)*</v>
      </c>
      <c r="U251" s="472">
        <f t="shared" si="144"/>
        <v>0</v>
      </c>
      <c r="V251" s="472">
        <f t="shared" si="145"/>
        <v>0</v>
      </c>
      <c r="W251" s="472">
        <f t="shared" si="146"/>
        <v>0</v>
      </c>
      <c r="X251" s="472">
        <f t="shared" si="147"/>
        <v>0</v>
      </c>
      <c r="Y251" s="472">
        <f t="shared" si="148"/>
        <v>0</v>
      </c>
      <c r="Z251" s="472">
        <f t="shared" si="149"/>
        <v>0</v>
      </c>
      <c r="AI251" s="310" t="str">
        <v>STM-256 (39813.12 Mbps)*</v>
      </c>
      <c r="AK251" s="472">
        <v>0</v>
      </c>
      <c r="AL251" s="472">
        <v>0</v>
      </c>
      <c r="AM251" s="472">
        <v>0</v>
      </c>
      <c r="AN251" s="472">
        <v>0</v>
      </c>
      <c r="AO251" s="472">
        <v>0</v>
      </c>
      <c r="AP251" s="472">
        <v>0</v>
      </c>
    </row>
    <row r="252" spans="3:42" s="299" customFormat="1">
      <c r="C252" s="310" t="str">
        <v>Ethernet (10Mbps)</v>
      </c>
      <c r="E252" s="471">
        <v>0</v>
      </c>
      <c r="F252" s="471">
        <v>0</v>
      </c>
      <c r="G252" s="471">
        <v>0</v>
      </c>
      <c r="H252" s="471">
        <v>0</v>
      </c>
      <c r="I252" s="471">
        <v>0</v>
      </c>
      <c r="J252" s="471">
        <v>0</v>
      </c>
      <c r="R252" s="469">
        <v>0.5</v>
      </c>
      <c r="S252" s="310" t="str">
        <v>Ethernet (10Mbps)</v>
      </c>
      <c r="U252" s="471">
        <f t="shared" ref="U252:U260" si="150">ROUNDUP(AK252*$R252,0)</f>
        <v>0</v>
      </c>
      <c r="V252" s="471">
        <f t="shared" ref="V252:V260" si="151">ROUNDUP(AL252*$R252,0)</f>
        <v>0</v>
      </c>
      <c r="W252" s="471">
        <f t="shared" ref="W252:W260" si="152">ROUNDUP(AM252*$R252,0)</f>
        <v>0</v>
      </c>
      <c r="X252" s="471">
        <f t="shared" ref="X252:X260" si="153">ROUNDUP(AN252*$R252,0)</f>
        <v>0</v>
      </c>
      <c r="Y252" s="471">
        <f t="shared" ref="Y252:Y260" si="154">ROUNDUP(AO252*$R252,0)</f>
        <v>0</v>
      </c>
      <c r="Z252" s="471">
        <f t="shared" ref="Z252:Z260" si="155">ROUNDUP(AP252*$R252,0)</f>
        <v>0</v>
      </c>
      <c r="AI252" s="310" t="str">
        <v>Ethernet (10Mbps)</v>
      </c>
      <c r="AK252" s="472">
        <v>0</v>
      </c>
      <c r="AL252" s="472">
        <v>0</v>
      </c>
      <c r="AM252" s="472">
        <v>0</v>
      </c>
      <c r="AN252" s="472">
        <v>0</v>
      </c>
      <c r="AO252" s="472">
        <v>0</v>
      </c>
      <c r="AP252" s="472">
        <v>0</v>
      </c>
    </row>
    <row r="253" spans="3:42" s="299" customFormat="1">
      <c r="C253" s="310" t="str">
        <v>Ethernet (20Mbps)</v>
      </c>
      <c r="E253" s="471">
        <v>0</v>
      </c>
      <c r="F253" s="471">
        <v>0</v>
      </c>
      <c r="G253" s="471">
        <v>0</v>
      </c>
      <c r="H253" s="471">
        <v>0</v>
      </c>
      <c r="I253" s="471">
        <v>0</v>
      </c>
      <c r="J253" s="471">
        <v>0</v>
      </c>
      <c r="R253" s="469">
        <v>0.5</v>
      </c>
      <c r="S253" s="310" t="str">
        <v>Ethernet (20Mbps)</v>
      </c>
      <c r="U253" s="471">
        <f t="shared" si="150"/>
        <v>0</v>
      </c>
      <c r="V253" s="471">
        <f t="shared" si="151"/>
        <v>0</v>
      </c>
      <c r="W253" s="471">
        <f t="shared" si="152"/>
        <v>0</v>
      </c>
      <c r="X253" s="471">
        <f t="shared" si="153"/>
        <v>0</v>
      </c>
      <c r="Y253" s="471">
        <f t="shared" si="154"/>
        <v>0</v>
      </c>
      <c r="Z253" s="471">
        <f t="shared" si="155"/>
        <v>0</v>
      </c>
      <c r="AI253" s="310" t="str">
        <v>Ethernet (20Mbps)</v>
      </c>
      <c r="AK253" s="472">
        <v>0</v>
      </c>
      <c r="AL253" s="472">
        <v>0</v>
      </c>
      <c r="AM253" s="472">
        <v>0</v>
      </c>
      <c r="AN253" s="472">
        <v>0</v>
      </c>
      <c r="AO253" s="472">
        <v>0</v>
      </c>
      <c r="AP253" s="472">
        <v>0</v>
      </c>
    </row>
    <row r="254" spans="3:42" s="299" customFormat="1">
      <c r="C254" s="310" t="str">
        <v>Ethernet (30Mbps)</v>
      </c>
      <c r="E254" s="471">
        <v>0</v>
      </c>
      <c r="F254" s="471">
        <v>0</v>
      </c>
      <c r="G254" s="471">
        <v>0</v>
      </c>
      <c r="H254" s="471">
        <v>0</v>
      </c>
      <c r="I254" s="471">
        <v>0</v>
      </c>
      <c r="J254" s="471">
        <v>0</v>
      </c>
      <c r="R254" s="469">
        <v>0.5</v>
      </c>
      <c r="S254" s="310" t="str">
        <v>Ethernet (30Mbps)</v>
      </c>
      <c r="U254" s="471">
        <f t="shared" si="150"/>
        <v>0</v>
      </c>
      <c r="V254" s="471">
        <f t="shared" si="151"/>
        <v>0</v>
      </c>
      <c r="W254" s="471">
        <f t="shared" si="152"/>
        <v>0</v>
      </c>
      <c r="X254" s="471">
        <f t="shared" si="153"/>
        <v>0</v>
      </c>
      <c r="Y254" s="471">
        <f t="shared" si="154"/>
        <v>0</v>
      </c>
      <c r="Z254" s="471">
        <f t="shared" si="155"/>
        <v>0</v>
      </c>
      <c r="AI254" s="310" t="str">
        <v>Ethernet (30Mbps)</v>
      </c>
      <c r="AK254" s="472">
        <v>0</v>
      </c>
      <c r="AL254" s="472">
        <v>0</v>
      </c>
      <c r="AM254" s="472">
        <v>0</v>
      </c>
      <c r="AN254" s="472">
        <v>0</v>
      </c>
      <c r="AO254" s="472">
        <v>0</v>
      </c>
      <c r="AP254" s="472">
        <v>0</v>
      </c>
    </row>
    <row r="255" spans="3:42" s="299" customFormat="1">
      <c r="C255" s="310" t="str">
        <v>Ethernet (40Mbps)</v>
      </c>
      <c r="E255" s="471">
        <v>0</v>
      </c>
      <c r="F255" s="471">
        <v>0</v>
      </c>
      <c r="G255" s="471">
        <v>0</v>
      </c>
      <c r="H255" s="471">
        <v>0</v>
      </c>
      <c r="I255" s="471">
        <v>0</v>
      </c>
      <c r="J255" s="471">
        <v>0</v>
      </c>
      <c r="R255" s="469">
        <v>0.5</v>
      </c>
      <c r="S255" s="310" t="str">
        <v>Ethernet (40Mbps)</v>
      </c>
      <c r="U255" s="471">
        <f t="shared" si="150"/>
        <v>0</v>
      </c>
      <c r="V255" s="471">
        <f t="shared" si="151"/>
        <v>0</v>
      </c>
      <c r="W255" s="471">
        <f t="shared" si="152"/>
        <v>0</v>
      </c>
      <c r="X255" s="471">
        <f t="shared" si="153"/>
        <v>0</v>
      </c>
      <c r="Y255" s="471">
        <f t="shared" si="154"/>
        <v>0</v>
      </c>
      <c r="Z255" s="471">
        <f t="shared" si="155"/>
        <v>0</v>
      </c>
      <c r="AI255" s="310" t="str">
        <v>Ethernet (40Mbps)</v>
      </c>
      <c r="AK255" s="472">
        <v>0</v>
      </c>
      <c r="AL255" s="472">
        <v>0</v>
      </c>
      <c r="AM255" s="472">
        <v>0</v>
      </c>
      <c r="AN255" s="472">
        <v>0</v>
      </c>
      <c r="AO255" s="472">
        <v>0</v>
      </c>
      <c r="AP255" s="472">
        <v>0</v>
      </c>
    </row>
    <row r="256" spans="3:42" s="299" customFormat="1">
      <c r="C256" s="310" t="str">
        <v>Ethernet (50Mbps)</v>
      </c>
      <c r="E256" s="471">
        <v>0</v>
      </c>
      <c r="F256" s="471">
        <v>0</v>
      </c>
      <c r="G256" s="471">
        <v>0</v>
      </c>
      <c r="H256" s="471">
        <v>0</v>
      </c>
      <c r="I256" s="471">
        <v>0</v>
      </c>
      <c r="J256" s="471">
        <v>0</v>
      </c>
      <c r="R256" s="469">
        <v>0.5</v>
      </c>
      <c r="S256" s="310" t="str">
        <v>Ethernet (50Mbps)</v>
      </c>
      <c r="U256" s="471">
        <f t="shared" si="150"/>
        <v>0</v>
      </c>
      <c r="V256" s="471">
        <f t="shared" si="151"/>
        <v>0</v>
      </c>
      <c r="W256" s="471">
        <f t="shared" si="152"/>
        <v>0</v>
      </c>
      <c r="X256" s="471">
        <f t="shared" si="153"/>
        <v>0</v>
      </c>
      <c r="Y256" s="471">
        <f t="shared" si="154"/>
        <v>0</v>
      </c>
      <c r="Z256" s="471">
        <f t="shared" si="155"/>
        <v>0</v>
      </c>
      <c r="AI256" s="310" t="str">
        <v>Ethernet (50Mbps)</v>
      </c>
      <c r="AK256" s="472">
        <v>0</v>
      </c>
      <c r="AL256" s="472">
        <v>0</v>
      </c>
      <c r="AM256" s="472">
        <v>0</v>
      </c>
      <c r="AN256" s="472">
        <v>0</v>
      </c>
      <c r="AO256" s="472">
        <v>0</v>
      </c>
      <c r="AP256" s="472">
        <v>0</v>
      </c>
    </row>
    <row r="257" spans="3:42" s="299" customFormat="1">
      <c r="C257" s="310" t="str">
        <v>Ethernet (60Mbps)</v>
      </c>
      <c r="E257" s="471">
        <v>0</v>
      </c>
      <c r="F257" s="471">
        <v>0</v>
      </c>
      <c r="G257" s="471">
        <v>0</v>
      </c>
      <c r="H257" s="471">
        <v>0</v>
      </c>
      <c r="I257" s="471">
        <v>0</v>
      </c>
      <c r="J257" s="471">
        <v>0</v>
      </c>
      <c r="R257" s="469">
        <v>0.5</v>
      </c>
      <c r="S257" s="310" t="str">
        <v>Ethernet (60Mbps)</v>
      </c>
      <c r="U257" s="471">
        <f t="shared" si="150"/>
        <v>0</v>
      </c>
      <c r="V257" s="471">
        <f t="shared" si="151"/>
        <v>0</v>
      </c>
      <c r="W257" s="471">
        <f t="shared" si="152"/>
        <v>0</v>
      </c>
      <c r="X257" s="471">
        <f t="shared" si="153"/>
        <v>0</v>
      </c>
      <c r="Y257" s="471">
        <f t="shared" si="154"/>
        <v>0</v>
      </c>
      <c r="Z257" s="471">
        <f t="shared" si="155"/>
        <v>0</v>
      </c>
      <c r="AI257" s="310" t="str">
        <v>Ethernet (60Mbps)</v>
      </c>
      <c r="AK257" s="472">
        <v>0</v>
      </c>
      <c r="AL257" s="472">
        <v>0</v>
      </c>
      <c r="AM257" s="472">
        <v>0</v>
      </c>
      <c r="AN257" s="472">
        <v>0</v>
      </c>
      <c r="AO257" s="472">
        <v>0</v>
      </c>
      <c r="AP257" s="472">
        <v>0</v>
      </c>
    </row>
    <row r="258" spans="3:42" s="299" customFormat="1">
      <c r="C258" s="310" t="str">
        <v>Ethernet (70Mbps)</v>
      </c>
      <c r="E258" s="471">
        <v>0</v>
      </c>
      <c r="F258" s="471">
        <v>0</v>
      </c>
      <c r="G258" s="471">
        <v>0</v>
      </c>
      <c r="H258" s="471">
        <v>0</v>
      </c>
      <c r="I258" s="471">
        <v>0</v>
      </c>
      <c r="J258" s="471">
        <v>0</v>
      </c>
      <c r="R258" s="469">
        <v>0.5</v>
      </c>
      <c r="S258" s="310" t="str">
        <v>Ethernet (70Mbps)</v>
      </c>
      <c r="U258" s="471">
        <f t="shared" si="150"/>
        <v>0</v>
      </c>
      <c r="V258" s="471">
        <f t="shared" si="151"/>
        <v>0</v>
      </c>
      <c r="W258" s="471">
        <f t="shared" si="152"/>
        <v>0</v>
      </c>
      <c r="X258" s="471">
        <f t="shared" si="153"/>
        <v>0</v>
      </c>
      <c r="Y258" s="471">
        <f t="shared" si="154"/>
        <v>0</v>
      </c>
      <c r="Z258" s="471">
        <f t="shared" si="155"/>
        <v>0</v>
      </c>
      <c r="AI258" s="310" t="str">
        <v>Ethernet (70Mbps)</v>
      </c>
      <c r="AK258" s="472">
        <v>0</v>
      </c>
      <c r="AL258" s="472">
        <v>0</v>
      </c>
      <c r="AM258" s="472">
        <v>0</v>
      </c>
      <c r="AN258" s="472">
        <v>0</v>
      </c>
      <c r="AO258" s="472">
        <v>0</v>
      </c>
      <c r="AP258" s="472">
        <v>0</v>
      </c>
    </row>
    <row r="259" spans="3:42" s="299" customFormat="1">
      <c r="C259" s="310" t="str">
        <v>Ethernet (80Mbps)</v>
      </c>
      <c r="E259" s="471">
        <v>0</v>
      </c>
      <c r="F259" s="471">
        <v>0</v>
      </c>
      <c r="G259" s="471">
        <v>0</v>
      </c>
      <c r="H259" s="471">
        <v>0</v>
      </c>
      <c r="I259" s="471">
        <v>0</v>
      </c>
      <c r="J259" s="471">
        <v>0</v>
      </c>
      <c r="R259" s="469">
        <v>0.5</v>
      </c>
      <c r="S259" s="310" t="str">
        <v>Ethernet (80Mbps)</v>
      </c>
      <c r="U259" s="471">
        <f t="shared" si="150"/>
        <v>0</v>
      </c>
      <c r="V259" s="471">
        <f t="shared" si="151"/>
        <v>0</v>
      </c>
      <c r="W259" s="471">
        <f t="shared" si="152"/>
        <v>0</v>
      </c>
      <c r="X259" s="471">
        <f t="shared" si="153"/>
        <v>0</v>
      </c>
      <c r="Y259" s="471">
        <f t="shared" si="154"/>
        <v>0</v>
      </c>
      <c r="Z259" s="471">
        <f t="shared" si="155"/>
        <v>0</v>
      </c>
      <c r="AI259" s="310" t="str">
        <v>Ethernet (80Mbps)</v>
      </c>
      <c r="AK259" s="472">
        <v>0</v>
      </c>
      <c r="AL259" s="472">
        <v>0</v>
      </c>
      <c r="AM259" s="472">
        <v>0</v>
      </c>
      <c r="AN259" s="472">
        <v>0</v>
      </c>
      <c r="AO259" s="472">
        <v>0</v>
      </c>
      <c r="AP259" s="472">
        <v>0</v>
      </c>
    </row>
    <row r="260" spans="3:42" s="299" customFormat="1">
      <c r="C260" s="310" t="str">
        <v>Ethernet (90Mbps)</v>
      </c>
      <c r="E260" s="471">
        <v>0</v>
      </c>
      <c r="F260" s="471">
        <v>0</v>
      </c>
      <c r="G260" s="471">
        <v>0</v>
      </c>
      <c r="H260" s="471">
        <v>0</v>
      </c>
      <c r="I260" s="471">
        <v>0</v>
      </c>
      <c r="J260" s="471">
        <v>0</v>
      </c>
      <c r="R260" s="469">
        <v>0.5</v>
      </c>
      <c r="S260" s="310" t="str">
        <v>Ethernet (90Mbps)</v>
      </c>
      <c r="U260" s="471">
        <f t="shared" si="150"/>
        <v>0</v>
      </c>
      <c r="V260" s="471">
        <f t="shared" si="151"/>
        <v>0</v>
      </c>
      <c r="W260" s="471">
        <f t="shared" si="152"/>
        <v>0</v>
      </c>
      <c r="X260" s="471">
        <f t="shared" si="153"/>
        <v>0</v>
      </c>
      <c r="Y260" s="471">
        <f t="shared" si="154"/>
        <v>0</v>
      </c>
      <c r="Z260" s="471">
        <f t="shared" si="155"/>
        <v>0</v>
      </c>
      <c r="AI260" s="310" t="str">
        <v>Ethernet (90Mbps)</v>
      </c>
      <c r="AK260" s="472">
        <v>0</v>
      </c>
      <c r="AL260" s="472">
        <v>0</v>
      </c>
      <c r="AM260" s="472">
        <v>0</v>
      </c>
      <c r="AN260" s="472">
        <v>0</v>
      </c>
      <c r="AO260" s="472">
        <v>0</v>
      </c>
      <c r="AP260" s="472">
        <v>0</v>
      </c>
    </row>
    <row r="261" spans="3:42" s="299" customFormat="1">
      <c r="C261" s="310" t="str">
        <v>GigaEthernet (100Mbps)</v>
      </c>
      <c r="E261" s="471">
        <v>0</v>
      </c>
      <c r="F261" s="471">
        <v>0</v>
      </c>
      <c r="G261" s="471">
        <v>0</v>
      </c>
      <c r="H261" s="471">
        <v>0</v>
      </c>
      <c r="I261" s="471">
        <v>0</v>
      </c>
      <c r="J261" s="471">
        <v>0</v>
      </c>
      <c r="S261" s="310" t="str">
        <v>GigaEthernet (100Mbps)</v>
      </c>
      <c r="U261" s="472">
        <f t="shared" ref="U261:U273" si="156">AK261</f>
        <v>0</v>
      </c>
      <c r="V261" s="472">
        <f t="shared" ref="V261:V273" si="157">AL261</f>
        <v>0</v>
      </c>
      <c r="W261" s="472">
        <f t="shared" ref="W261:W273" si="158">AM261</f>
        <v>0</v>
      </c>
      <c r="X261" s="472">
        <f t="shared" ref="X261:X273" si="159">AN261</f>
        <v>0</v>
      </c>
      <c r="Y261" s="472">
        <f t="shared" ref="Y261:Y273" si="160">AO261</f>
        <v>0</v>
      </c>
      <c r="Z261" s="472">
        <f t="shared" ref="Z261:Z273" si="161">AP261</f>
        <v>0</v>
      </c>
      <c r="AI261" s="310" t="str">
        <v>GigaEthernet (100Mbps)</v>
      </c>
      <c r="AK261" s="472">
        <v>0</v>
      </c>
      <c r="AL261" s="472">
        <v>0</v>
      </c>
      <c r="AM261" s="472">
        <v>0</v>
      </c>
      <c r="AN261" s="472">
        <v>0</v>
      </c>
      <c r="AO261" s="472">
        <v>0</v>
      </c>
      <c r="AP261" s="472">
        <v>0</v>
      </c>
    </row>
    <row r="262" spans="3:42" s="299" customFormat="1">
      <c r="C262" s="310" t="str">
        <v>GigaEthernet (150Mbps)</v>
      </c>
      <c r="E262" s="471">
        <v>0</v>
      </c>
      <c r="F262" s="471">
        <v>0</v>
      </c>
      <c r="G262" s="471">
        <v>0</v>
      </c>
      <c r="H262" s="471">
        <v>0</v>
      </c>
      <c r="I262" s="471">
        <v>0</v>
      </c>
      <c r="J262" s="471">
        <v>0</v>
      </c>
      <c r="S262" s="310" t="str">
        <v>GigaEthernet (150Mbps)</v>
      </c>
      <c r="U262" s="472">
        <f t="shared" si="156"/>
        <v>0</v>
      </c>
      <c r="V262" s="472">
        <f t="shared" si="157"/>
        <v>0</v>
      </c>
      <c r="W262" s="472">
        <f t="shared" si="158"/>
        <v>0</v>
      </c>
      <c r="X262" s="472">
        <f t="shared" si="159"/>
        <v>0</v>
      </c>
      <c r="Y262" s="472">
        <f t="shared" si="160"/>
        <v>0</v>
      </c>
      <c r="Z262" s="472">
        <f t="shared" si="161"/>
        <v>0</v>
      </c>
      <c r="AI262" s="310" t="str">
        <v>GigaEthernet (150Mbps)</v>
      </c>
      <c r="AK262" s="472">
        <v>0</v>
      </c>
      <c r="AL262" s="472">
        <v>0</v>
      </c>
      <c r="AM262" s="472">
        <v>0</v>
      </c>
      <c r="AN262" s="472">
        <v>0</v>
      </c>
      <c r="AO262" s="472">
        <v>0</v>
      </c>
      <c r="AP262" s="472">
        <v>0</v>
      </c>
    </row>
    <row r="263" spans="3:42" s="299" customFormat="1">
      <c r="C263" s="310" t="str">
        <v>GigaEthernet (200Mbps)</v>
      </c>
      <c r="E263" s="471">
        <v>0</v>
      </c>
      <c r="F263" s="471">
        <v>0</v>
      </c>
      <c r="G263" s="471">
        <v>0</v>
      </c>
      <c r="H263" s="471">
        <v>0</v>
      </c>
      <c r="I263" s="471">
        <v>0</v>
      </c>
      <c r="J263" s="471">
        <v>0</v>
      </c>
      <c r="S263" s="310" t="str">
        <v>GigaEthernet (200Mbps)</v>
      </c>
      <c r="U263" s="472">
        <f t="shared" si="156"/>
        <v>0</v>
      </c>
      <c r="V263" s="472">
        <f t="shared" si="157"/>
        <v>0</v>
      </c>
      <c r="W263" s="472">
        <f t="shared" si="158"/>
        <v>0</v>
      </c>
      <c r="X263" s="472">
        <f t="shared" si="159"/>
        <v>0</v>
      </c>
      <c r="Y263" s="472">
        <f t="shared" si="160"/>
        <v>0</v>
      </c>
      <c r="Z263" s="472">
        <f t="shared" si="161"/>
        <v>0</v>
      </c>
      <c r="AI263" s="310" t="str">
        <v>GigaEthernet (200Mbps)</v>
      </c>
      <c r="AK263" s="472">
        <v>0</v>
      </c>
      <c r="AL263" s="472">
        <v>0</v>
      </c>
      <c r="AM263" s="472">
        <v>0</v>
      </c>
      <c r="AN263" s="472">
        <v>0</v>
      </c>
      <c r="AO263" s="472">
        <v>0</v>
      </c>
      <c r="AP263" s="472">
        <v>0</v>
      </c>
    </row>
    <row r="264" spans="3:42" s="299" customFormat="1">
      <c r="C264" s="310" t="str">
        <v>GigaEthernet (250Mbps)</v>
      </c>
      <c r="E264" s="471">
        <v>0</v>
      </c>
      <c r="F264" s="471">
        <v>0</v>
      </c>
      <c r="G264" s="471">
        <v>0</v>
      </c>
      <c r="H264" s="471">
        <v>0</v>
      </c>
      <c r="I264" s="471">
        <v>0</v>
      </c>
      <c r="J264" s="471">
        <v>0</v>
      </c>
      <c r="S264" s="310" t="str">
        <v>GigaEthernet (250Mbps)</v>
      </c>
      <c r="U264" s="472">
        <f t="shared" si="156"/>
        <v>0</v>
      </c>
      <c r="V264" s="472">
        <f t="shared" si="157"/>
        <v>0</v>
      </c>
      <c r="W264" s="472">
        <f t="shared" si="158"/>
        <v>0</v>
      </c>
      <c r="X264" s="472">
        <f t="shared" si="159"/>
        <v>0</v>
      </c>
      <c r="Y264" s="472">
        <f t="shared" si="160"/>
        <v>0</v>
      </c>
      <c r="Z264" s="472">
        <f t="shared" si="161"/>
        <v>0</v>
      </c>
      <c r="AI264" s="310" t="str">
        <v>GigaEthernet (250Mbps)</v>
      </c>
      <c r="AK264" s="472">
        <v>0</v>
      </c>
      <c r="AL264" s="472">
        <v>0</v>
      </c>
      <c r="AM264" s="472">
        <v>0</v>
      </c>
      <c r="AN264" s="472">
        <v>0</v>
      </c>
      <c r="AO264" s="472">
        <v>0</v>
      </c>
      <c r="AP264" s="472">
        <v>0</v>
      </c>
    </row>
    <row r="265" spans="3:42" s="299" customFormat="1">
      <c r="C265" s="310" t="str">
        <v>GigaEthernet (300Mbps)</v>
      </c>
      <c r="E265" s="471">
        <v>0</v>
      </c>
      <c r="F265" s="471">
        <v>0</v>
      </c>
      <c r="G265" s="471">
        <v>0</v>
      </c>
      <c r="H265" s="471">
        <v>0</v>
      </c>
      <c r="I265" s="471">
        <v>0</v>
      </c>
      <c r="J265" s="471">
        <v>0</v>
      </c>
      <c r="S265" s="310" t="str">
        <v>GigaEthernet (300Mbps)</v>
      </c>
      <c r="U265" s="472">
        <f t="shared" si="156"/>
        <v>0</v>
      </c>
      <c r="V265" s="472">
        <f t="shared" si="157"/>
        <v>0</v>
      </c>
      <c r="W265" s="472">
        <f t="shared" si="158"/>
        <v>0</v>
      </c>
      <c r="X265" s="472">
        <f t="shared" si="159"/>
        <v>0</v>
      </c>
      <c r="Y265" s="472">
        <f t="shared" si="160"/>
        <v>0</v>
      </c>
      <c r="Z265" s="472">
        <f t="shared" si="161"/>
        <v>0</v>
      </c>
      <c r="AI265" s="310" t="str">
        <v>GigaEthernet (300Mbps)</v>
      </c>
      <c r="AK265" s="472">
        <v>0</v>
      </c>
      <c r="AL265" s="472">
        <v>0</v>
      </c>
      <c r="AM265" s="472">
        <v>0</v>
      </c>
      <c r="AN265" s="472">
        <v>0</v>
      </c>
      <c r="AO265" s="472">
        <v>0</v>
      </c>
      <c r="AP265" s="472">
        <v>0</v>
      </c>
    </row>
    <row r="266" spans="3:42" s="299" customFormat="1">
      <c r="C266" s="310" t="str">
        <v>GigaEthernet (350Mbps)</v>
      </c>
      <c r="E266" s="471">
        <v>0</v>
      </c>
      <c r="F266" s="471">
        <v>0</v>
      </c>
      <c r="G266" s="471">
        <v>0</v>
      </c>
      <c r="H266" s="471">
        <v>0</v>
      </c>
      <c r="I266" s="471">
        <v>0</v>
      </c>
      <c r="J266" s="471">
        <v>0</v>
      </c>
      <c r="S266" s="310" t="str">
        <v>GigaEthernet (350Mbps)</v>
      </c>
      <c r="U266" s="472">
        <f t="shared" si="156"/>
        <v>0</v>
      </c>
      <c r="V266" s="472">
        <f t="shared" si="157"/>
        <v>0</v>
      </c>
      <c r="W266" s="472">
        <f t="shared" si="158"/>
        <v>0</v>
      </c>
      <c r="X266" s="472">
        <f t="shared" si="159"/>
        <v>0</v>
      </c>
      <c r="Y266" s="472">
        <f t="shared" si="160"/>
        <v>0</v>
      </c>
      <c r="Z266" s="472">
        <f t="shared" si="161"/>
        <v>0</v>
      </c>
      <c r="AI266" s="310" t="str">
        <v>GigaEthernet (350Mbps)</v>
      </c>
      <c r="AK266" s="472">
        <v>0</v>
      </c>
      <c r="AL266" s="472">
        <v>0</v>
      </c>
      <c r="AM266" s="472">
        <v>0</v>
      </c>
      <c r="AN266" s="472">
        <v>0</v>
      </c>
      <c r="AO266" s="472">
        <v>0</v>
      </c>
      <c r="AP266" s="472">
        <v>0</v>
      </c>
    </row>
    <row r="267" spans="3:42" s="299" customFormat="1">
      <c r="C267" s="310" t="str">
        <v>GigaEthernet (400Mbps)</v>
      </c>
      <c r="E267" s="471">
        <v>0</v>
      </c>
      <c r="F267" s="471">
        <v>0</v>
      </c>
      <c r="G267" s="471">
        <v>0</v>
      </c>
      <c r="H267" s="471">
        <v>0</v>
      </c>
      <c r="I267" s="471">
        <v>0</v>
      </c>
      <c r="J267" s="471">
        <v>0</v>
      </c>
      <c r="S267" s="310" t="str">
        <v>GigaEthernet (400Mbps)</v>
      </c>
      <c r="U267" s="472">
        <f t="shared" si="156"/>
        <v>0</v>
      </c>
      <c r="V267" s="472">
        <f t="shared" si="157"/>
        <v>0</v>
      </c>
      <c r="W267" s="472">
        <f t="shared" si="158"/>
        <v>0</v>
      </c>
      <c r="X267" s="472">
        <f t="shared" si="159"/>
        <v>0</v>
      </c>
      <c r="Y267" s="472">
        <f t="shared" si="160"/>
        <v>0</v>
      </c>
      <c r="Z267" s="472">
        <f t="shared" si="161"/>
        <v>0</v>
      </c>
      <c r="AI267" s="310" t="str">
        <v>GigaEthernet (400Mbps)</v>
      </c>
      <c r="AK267" s="472">
        <v>0</v>
      </c>
      <c r="AL267" s="472">
        <v>0</v>
      </c>
      <c r="AM267" s="472">
        <v>0</v>
      </c>
      <c r="AN267" s="472">
        <v>0</v>
      </c>
      <c r="AO267" s="472">
        <v>0</v>
      </c>
      <c r="AP267" s="472">
        <v>0</v>
      </c>
    </row>
    <row r="268" spans="3:42" s="299" customFormat="1">
      <c r="C268" s="310" t="str">
        <v>GigaEthernet (450Mbps)</v>
      </c>
      <c r="E268" s="471">
        <v>0</v>
      </c>
      <c r="F268" s="471">
        <v>0</v>
      </c>
      <c r="G268" s="471">
        <v>0</v>
      </c>
      <c r="H268" s="471">
        <v>0</v>
      </c>
      <c r="I268" s="471">
        <v>0</v>
      </c>
      <c r="J268" s="471">
        <v>0</v>
      </c>
      <c r="S268" s="310" t="str">
        <v>GigaEthernet (450Mbps)</v>
      </c>
      <c r="U268" s="472">
        <f t="shared" si="156"/>
        <v>0</v>
      </c>
      <c r="V268" s="472">
        <f t="shared" si="157"/>
        <v>0</v>
      </c>
      <c r="W268" s="472">
        <f t="shared" si="158"/>
        <v>0</v>
      </c>
      <c r="X268" s="472">
        <f t="shared" si="159"/>
        <v>0</v>
      </c>
      <c r="Y268" s="472">
        <f t="shared" si="160"/>
        <v>0</v>
      </c>
      <c r="Z268" s="472">
        <f t="shared" si="161"/>
        <v>0</v>
      </c>
      <c r="AI268" s="310" t="str">
        <v>GigaEthernet (450Mbps)</v>
      </c>
      <c r="AK268" s="472">
        <v>0</v>
      </c>
      <c r="AL268" s="472">
        <v>0</v>
      </c>
      <c r="AM268" s="472">
        <v>0</v>
      </c>
      <c r="AN268" s="472">
        <v>0</v>
      </c>
      <c r="AO268" s="472">
        <v>0</v>
      </c>
      <c r="AP268" s="472">
        <v>0</v>
      </c>
    </row>
    <row r="269" spans="3:42" s="299" customFormat="1">
      <c r="C269" s="310" t="str">
        <v>GigaEthernet (500Mbps)</v>
      </c>
      <c r="E269" s="471">
        <v>0</v>
      </c>
      <c r="F269" s="471">
        <v>0</v>
      </c>
      <c r="G269" s="471">
        <v>0</v>
      </c>
      <c r="H269" s="471">
        <v>0</v>
      </c>
      <c r="I269" s="471">
        <v>0</v>
      </c>
      <c r="J269" s="471">
        <v>0</v>
      </c>
      <c r="S269" s="310" t="str">
        <v>GigaEthernet (500Mbps)</v>
      </c>
      <c r="U269" s="472">
        <f t="shared" si="156"/>
        <v>0</v>
      </c>
      <c r="V269" s="472">
        <f t="shared" si="157"/>
        <v>0</v>
      </c>
      <c r="W269" s="472">
        <f t="shared" si="158"/>
        <v>0</v>
      </c>
      <c r="X269" s="472">
        <f t="shared" si="159"/>
        <v>0</v>
      </c>
      <c r="Y269" s="472">
        <f t="shared" si="160"/>
        <v>0</v>
      </c>
      <c r="Z269" s="472">
        <f t="shared" si="161"/>
        <v>0</v>
      </c>
      <c r="AI269" s="310" t="str">
        <v>GigaEthernet (500Mbps)</v>
      </c>
      <c r="AK269" s="472">
        <v>0</v>
      </c>
      <c r="AL269" s="472">
        <v>0</v>
      </c>
      <c r="AM269" s="472">
        <v>0</v>
      </c>
      <c r="AN269" s="472">
        <v>0</v>
      </c>
      <c r="AO269" s="472">
        <v>0</v>
      </c>
      <c r="AP269" s="472">
        <v>0</v>
      </c>
    </row>
    <row r="270" spans="3:42" s="299" customFormat="1">
      <c r="C270" s="310" t="str">
        <v>GigaEthernet (550Mbps)</v>
      </c>
      <c r="E270" s="471">
        <v>0</v>
      </c>
      <c r="F270" s="471">
        <v>0</v>
      </c>
      <c r="G270" s="471">
        <v>0</v>
      </c>
      <c r="H270" s="471">
        <v>0</v>
      </c>
      <c r="I270" s="471">
        <v>0</v>
      </c>
      <c r="J270" s="471">
        <v>0</v>
      </c>
      <c r="S270" s="310" t="str">
        <v>GigaEthernet (550Mbps)</v>
      </c>
      <c r="U270" s="472">
        <f t="shared" si="156"/>
        <v>0</v>
      </c>
      <c r="V270" s="472">
        <f t="shared" si="157"/>
        <v>0</v>
      </c>
      <c r="W270" s="472">
        <f t="shared" si="158"/>
        <v>0</v>
      </c>
      <c r="X270" s="472">
        <f t="shared" si="159"/>
        <v>0</v>
      </c>
      <c r="Y270" s="472">
        <f t="shared" si="160"/>
        <v>0</v>
      </c>
      <c r="Z270" s="472">
        <f t="shared" si="161"/>
        <v>0</v>
      </c>
      <c r="AI270" s="310" t="str">
        <v>GigaEthernet (550Mbps)</v>
      </c>
      <c r="AK270" s="472">
        <v>0</v>
      </c>
      <c r="AL270" s="472">
        <v>0</v>
      </c>
      <c r="AM270" s="472">
        <v>0</v>
      </c>
      <c r="AN270" s="472">
        <v>0</v>
      </c>
      <c r="AO270" s="472">
        <v>0</v>
      </c>
      <c r="AP270" s="472">
        <v>0</v>
      </c>
    </row>
    <row r="271" spans="3:42" s="299" customFormat="1">
      <c r="C271" s="310" t="str">
        <v>GigaEthernet (600Mbps)</v>
      </c>
      <c r="E271" s="471">
        <v>0</v>
      </c>
      <c r="F271" s="471">
        <v>0</v>
      </c>
      <c r="G271" s="471">
        <v>0</v>
      </c>
      <c r="H271" s="471">
        <v>0</v>
      </c>
      <c r="I271" s="471">
        <v>0</v>
      </c>
      <c r="J271" s="471">
        <v>0</v>
      </c>
      <c r="S271" s="310" t="str">
        <v>GigaEthernet (600Mbps)</v>
      </c>
      <c r="U271" s="472">
        <f t="shared" si="156"/>
        <v>0</v>
      </c>
      <c r="V271" s="472">
        <f t="shared" si="157"/>
        <v>0</v>
      </c>
      <c r="W271" s="472">
        <f t="shared" si="158"/>
        <v>0</v>
      </c>
      <c r="X271" s="472">
        <f t="shared" si="159"/>
        <v>0</v>
      </c>
      <c r="Y271" s="472">
        <f t="shared" si="160"/>
        <v>0</v>
      </c>
      <c r="Z271" s="472">
        <f t="shared" si="161"/>
        <v>0</v>
      </c>
      <c r="AI271" s="310" t="str">
        <v>GigaEthernet (600Mbps)</v>
      </c>
      <c r="AK271" s="472">
        <v>0</v>
      </c>
      <c r="AL271" s="472">
        <v>0</v>
      </c>
      <c r="AM271" s="472">
        <v>0</v>
      </c>
      <c r="AN271" s="472">
        <v>0</v>
      </c>
      <c r="AO271" s="472">
        <v>0</v>
      </c>
      <c r="AP271" s="472">
        <v>0</v>
      </c>
    </row>
    <row r="272" spans="3:42" s="299" customFormat="1">
      <c r="C272" s="310" t="str">
        <v>GigaEthernet (750Mbps)</v>
      </c>
      <c r="E272" s="471">
        <v>0</v>
      </c>
      <c r="F272" s="471">
        <v>0</v>
      </c>
      <c r="G272" s="471">
        <v>0</v>
      </c>
      <c r="H272" s="471">
        <v>0</v>
      </c>
      <c r="I272" s="471">
        <v>0</v>
      </c>
      <c r="J272" s="471">
        <v>0</v>
      </c>
      <c r="S272" s="310" t="str">
        <v>GigaEthernet (750Mbps)</v>
      </c>
      <c r="U272" s="472">
        <f t="shared" si="156"/>
        <v>0</v>
      </c>
      <c r="V272" s="472">
        <f t="shared" si="157"/>
        <v>0</v>
      </c>
      <c r="W272" s="472">
        <f t="shared" si="158"/>
        <v>0</v>
      </c>
      <c r="X272" s="472">
        <f t="shared" si="159"/>
        <v>0</v>
      </c>
      <c r="Y272" s="472">
        <f t="shared" si="160"/>
        <v>0</v>
      </c>
      <c r="Z272" s="472">
        <f t="shared" si="161"/>
        <v>0</v>
      </c>
      <c r="AI272" s="310" t="str">
        <v>GigaEthernet (750Mbps)</v>
      </c>
      <c r="AK272" s="472">
        <v>0</v>
      </c>
      <c r="AL272" s="472">
        <v>0</v>
      </c>
      <c r="AM272" s="472">
        <v>0</v>
      </c>
      <c r="AN272" s="472">
        <v>0</v>
      </c>
      <c r="AO272" s="472">
        <v>0</v>
      </c>
      <c r="AP272" s="472">
        <v>0</v>
      </c>
    </row>
    <row r="273" spans="2:48" s="299" customFormat="1">
      <c r="C273" s="310" t="str">
        <v>GigaEthernet (1 Gbps)</v>
      </c>
      <c r="E273" s="471">
        <v>0</v>
      </c>
      <c r="F273" s="471">
        <v>0</v>
      </c>
      <c r="G273" s="471">
        <v>0</v>
      </c>
      <c r="H273" s="471">
        <v>0</v>
      </c>
      <c r="I273" s="471">
        <v>0</v>
      </c>
      <c r="J273" s="471">
        <v>0</v>
      </c>
      <c r="S273" s="310" t="str">
        <v>GigaEthernet (1 Gbps)</v>
      </c>
      <c r="U273" s="472">
        <f t="shared" si="156"/>
        <v>0</v>
      </c>
      <c r="V273" s="472">
        <f t="shared" si="157"/>
        <v>0</v>
      </c>
      <c r="W273" s="472">
        <f t="shared" si="158"/>
        <v>0</v>
      </c>
      <c r="X273" s="472">
        <f t="shared" si="159"/>
        <v>0</v>
      </c>
      <c r="Y273" s="472">
        <f t="shared" si="160"/>
        <v>0</v>
      </c>
      <c r="Z273" s="472">
        <f t="shared" si="161"/>
        <v>0</v>
      </c>
      <c r="AI273" s="310" t="str">
        <v>GigaEthernet (1 Gbps)</v>
      </c>
      <c r="AK273" s="472">
        <v>0</v>
      </c>
      <c r="AL273" s="472">
        <v>0</v>
      </c>
      <c r="AM273" s="472">
        <v>0</v>
      </c>
      <c r="AN273" s="472">
        <v>0</v>
      </c>
      <c r="AO273" s="472">
        <v>0</v>
      </c>
      <c r="AP273" s="472">
        <v>0</v>
      </c>
    </row>
    <row r="274" spans="2:48" s="299" customFormat="1">
      <c r="K274" s="38" t="s">
        <v>580</v>
      </c>
      <c r="AA274" s="38" t="s">
        <v>587</v>
      </c>
      <c r="AQ274" s="38" t="s">
        <v>594</v>
      </c>
    </row>
    <row r="275" spans="2:48">
      <c r="AH275" s="299"/>
      <c r="AI275" s="299"/>
      <c r="AJ275" s="299"/>
      <c r="AK275" s="299"/>
      <c r="AL275" s="299"/>
      <c r="AM275" s="299"/>
      <c r="AN275" s="299"/>
      <c r="AO275" s="299"/>
      <c r="AP275" s="299"/>
      <c r="AQ275" s="299"/>
      <c r="AR275" s="299"/>
      <c r="AS275" s="299"/>
      <c r="AT275" s="299"/>
      <c r="AU275" s="299"/>
      <c r="AV275" s="299"/>
    </row>
    <row r="276" spans="2:48" s="299" customFormat="1" ht="17.25" thickBot="1">
      <c r="B276" s="308" t="s">
        <v>494</v>
      </c>
      <c r="C276" s="308"/>
      <c r="D276" s="308"/>
      <c r="E276" s="308"/>
      <c r="F276" s="308"/>
      <c r="G276" s="308"/>
      <c r="R276" s="308" t="s">
        <v>562</v>
      </c>
      <c r="S276" s="308"/>
      <c r="T276" s="308"/>
      <c r="U276" s="308"/>
      <c r="V276" s="308"/>
      <c r="W276" s="308"/>
      <c r="X276" s="308"/>
      <c r="AH276" s="308" t="s">
        <v>566</v>
      </c>
      <c r="AI276" s="308"/>
      <c r="AJ276" s="308"/>
      <c r="AK276" s="308"/>
      <c r="AL276" s="308"/>
      <c r="AM276" s="308"/>
      <c r="AN276" s="308"/>
    </row>
    <row r="277" spans="2:48" s="299" customFormat="1" ht="18" thickTop="1" thickBot="1">
      <c r="B277" s="308" t="s">
        <v>495</v>
      </c>
      <c r="C277" s="308"/>
      <c r="D277" s="308"/>
      <c r="E277" s="308"/>
      <c r="F277" s="308"/>
      <c r="G277" s="308"/>
      <c r="H277" s="308"/>
      <c r="I277" s="308"/>
      <c r="J277" s="308"/>
      <c r="K277" s="308"/>
      <c r="L277" s="308"/>
      <c r="M277" s="308"/>
      <c r="N277" s="308"/>
      <c r="O277" s="308"/>
      <c r="P277" s="308"/>
      <c r="R277" s="308" t="s">
        <v>574</v>
      </c>
      <c r="S277" s="308"/>
      <c r="T277" s="308"/>
      <c r="U277" s="308"/>
      <c r="V277" s="308"/>
      <c r="W277" s="308"/>
      <c r="X277" s="308"/>
      <c r="Y277" s="308"/>
      <c r="Z277" s="308"/>
      <c r="AA277" s="308"/>
      <c r="AB277" s="308"/>
      <c r="AC277" s="308"/>
      <c r="AD277" s="308"/>
      <c r="AE277" s="308"/>
      <c r="AF277" s="308"/>
      <c r="AH277" s="308" t="s">
        <v>570</v>
      </c>
      <c r="AI277" s="308"/>
      <c r="AJ277" s="308"/>
      <c r="AK277" s="308"/>
      <c r="AL277" s="308"/>
      <c r="AM277" s="308"/>
      <c r="AN277" s="308"/>
      <c r="AO277" s="308"/>
      <c r="AP277" s="308"/>
      <c r="AQ277" s="308"/>
      <c r="AR277" s="308"/>
      <c r="AS277" s="308"/>
      <c r="AT277" s="308"/>
      <c r="AU277" s="308"/>
      <c r="AV277" s="308"/>
    </row>
    <row r="278" spans="2:48" s="299" customFormat="1" ht="12.75" thickTop="1">
      <c r="S278" s="314" t="str">
        <f>Retail.leased.lines.proporcionados.option</f>
        <v>Supuesto 2</v>
      </c>
    </row>
    <row r="279" spans="2:48" s="299" customFormat="1">
      <c r="C279" s="325" t="s">
        <v>442</v>
      </c>
      <c r="D279" s="325">
        <f t="array" ref="D279:O279">TRANSPOSE(Years)</f>
        <v>2008</v>
      </c>
      <c r="E279" s="325">
        <v>2009</v>
      </c>
      <c r="F279" s="325">
        <v>2010</v>
      </c>
      <c r="G279" s="325">
        <v>2011</v>
      </c>
      <c r="H279" s="325">
        <v>2012</v>
      </c>
      <c r="I279" s="325">
        <v>2013</v>
      </c>
      <c r="J279" s="325">
        <v>2014</v>
      </c>
      <c r="K279" s="325">
        <v>2015</v>
      </c>
      <c r="L279" s="325">
        <v>2016</v>
      </c>
      <c r="M279" s="325">
        <v>2017</v>
      </c>
      <c r="N279" s="325">
        <v>2018</v>
      </c>
      <c r="O279" s="325">
        <v>2019</v>
      </c>
      <c r="S279" s="338" t="s">
        <v>442</v>
      </c>
      <c r="T279" s="338">
        <f t="array" ref="T279:AE279">TRANSPOSE(Years)</f>
        <v>2008</v>
      </c>
      <c r="U279" s="338">
        <v>2009</v>
      </c>
      <c r="V279" s="338">
        <v>2010</v>
      </c>
      <c r="W279" s="338">
        <v>2011</v>
      </c>
      <c r="X279" s="338">
        <v>2012</v>
      </c>
      <c r="Y279" s="338">
        <v>2013</v>
      </c>
      <c r="Z279" s="338">
        <v>2014</v>
      </c>
      <c r="AA279" s="338">
        <v>2015</v>
      </c>
      <c r="AB279" s="338">
        <v>2016</v>
      </c>
      <c r="AC279" s="338">
        <v>2017</v>
      </c>
      <c r="AD279" s="338">
        <v>2018</v>
      </c>
      <c r="AE279" s="338">
        <v>2019</v>
      </c>
      <c r="AI279" s="338" t="s">
        <v>442</v>
      </c>
      <c r="AJ279" s="338">
        <f t="array" ref="AJ279:AU279">TRANSPOSE(Years)</f>
        <v>2008</v>
      </c>
      <c r="AK279" s="338">
        <v>2009</v>
      </c>
      <c r="AL279" s="338">
        <v>2010</v>
      </c>
      <c r="AM279" s="338">
        <v>2011</v>
      </c>
      <c r="AN279" s="338">
        <v>2012</v>
      </c>
      <c r="AO279" s="338">
        <v>2013</v>
      </c>
      <c r="AP279" s="338">
        <v>2014</v>
      </c>
      <c r="AQ279" s="338">
        <v>2015</v>
      </c>
      <c r="AR279" s="338">
        <v>2016</v>
      </c>
      <c r="AS279" s="338">
        <v>2017</v>
      </c>
      <c r="AT279" s="338">
        <v>2018</v>
      </c>
      <c r="AU279" s="338">
        <v>2019</v>
      </c>
    </row>
    <row r="280" spans="2:48" s="299" customFormat="1">
      <c r="C280" s="310" t="str">
        <f t="array" ref="C280:C317">LL.list</f>
        <v>64 kbps</v>
      </c>
      <c r="E280" s="471">
        <f t="array" ref="E280:J317">AK280:AP317-U280:Z317</f>
        <v>13.599999999999998</v>
      </c>
      <c r="F280" s="471">
        <v>11</v>
      </c>
      <c r="G280" s="471">
        <v>8.7199999999999989</v>
      </c>
      <c r="H280" s="471">
        <v>3.5199999999999996</v>
      </c>
      <c r="I280" s="471">
        <v>3.9600000000000009</v>
      </c>
      <c r="J280" s="471">
        <v>3.08</v>
      </c>
      <c r="R280" s="469">
        <v>0.5</v>
      </c>
      <c r="S280" s="310" t="str">
        <f t="array" ref="S280:S317">LL.list</f>
        <v>64 kbps</v>
      </c>
      <c r="U280" s="471">
        <f t="shared" ref="U280:U290" si="162">ROUNDUP(AK280*$R280,0)</f>
        <v>14</v>
      </c>
      <c r="V280" s="471">
        <f t="shared" ref="V280:V290" si="163">ROUNDUP(AL280*$R280,0)</f>
        <v>11</v>
      </c>
      <c r="W280" s="471">
        <f t="shared" ref="W280:W290" si="164">ROUNDUP(AM280*$R280,0)</f>
        <v>10</v>
      </c>
      <c r="X280" s="471">
        <f t="shared" ref="X280:X290" si="165">ROUNDUP(AN280*$R280,0)</f>
        <v>5</v>
      </c>
      <c r="Y280" s="471">
        <f t="shared" ref="Y280:Y290" si="166">ROUNDUP(AO280*$R280,0)</f>
        <v>5</v>
      </c>
      <c r="Z280" s="471">
        <f t="shared" ref="Z280:Z290" si="167">ROUNDUP(AP280*$R280,0)</f>
        <v>5</v>
      </c>
      <c r="AI280" s="310" t="str">
        <f t="array" ref="AI280:AI317">LL.list</f>
        <v>64 kbps</v>
      </c>
      <c r="AK280" s="472">
        <f t="array" ref="AK280:AP317">'7'!$CF$453:$CK$490</f>
        <v>27.599999999999998</v>
      </c>
      <c r="AL280" s="472">
        <v>22</v>
      </c>
      <c r="AM280" s="472">
        <v>18.72</v>
      </c>
      <c r="AN280" s="472">
        <v>8.52</v>
      </c>
      <c r="AO280" s="472">
        <v>8.9600000000000009</v>
      </c>
      <c r="AP280" s="472">
        <v>8.08</v>
      </c>
    </row>
    <row r="281" spans="2:48" s="299" customFormat="1">
      <c r="C281" s="310" t="str">
        <v>128 kbps</v>
      </c>
      <c r="E281" s="471">
        <v>4.5400000000000009</v>
      </c>
      <c r="F281" s="471">
        <v>1.5</v>
      </c>
      <c r="G281" s="471">
        <v>1.08</v>
      </c>
      <c r="H281" s="471">
        <v>0.58000000000000007</v>
      </c>
      <c r="I281" s="471">
        <v>0.2799999999999998</v>
      </c>
      <c r="J281" s="471">
        <v>0.60000000000000009</v>
      </c>
      <c r="R281" s="469">
        <v>0.5</v>
      </c>
      <c r="S281" s="310" t="str">
        <v>128 kbps</v>
      </c>
      <c r="U281" s="471">
        <f t="shared" si="162"/>
        <v>5</v>
      </c>
      <c r="V281" s="471">
        <f t="shared" si="163"/>
        <v>3</v>
      </c>
      <c r="W281" s="471">
        <f t="shared" si="164"/>
        <v>3</v>
      </c>
      <c r="X281" s="471">
        <f t="shared" si="165"/>
        <v>1</v>
      </c>
      <c r="Y281" s="471">
        <f t="shared" si="166"/>
        <v>2</v>
      </c>
      <c r="Z281" s="471">
        <f t="shared" si="167"/>
        <v>1</v>
      </c>
      <c r="AI281" s="310" t="str">
        <v>128 kbps</v>
      </c>
      <c r="AK281" s="472">
        <v>9.5400000000000009</v>
      </c>
      <c r="AL281" s="472">
        <v>4.5</v>
      </c>
      <c r="AM281" s="472">
        <v>4.08</v>
      </c>
      <c r="AN281" s="472">
        <v>1.58</v>
      </c>
      <c r="AO281" s="472">
        <v>2.2799999999999998</v>
      </c>
      <c r="AP281" s="472">
        <v>1.6</v>
      </c>
    </row>
    <row r="282" spans="2:48" s="299" customFormat="1">
      <c r="C282" s="310" t="str">
        <v>192 kbps</v>
      </c>
      <c r="E282" s="471">
        <v>0</v>
      </c>
      <c r="F282" s="471">
        <v>0</v>
      </c>
      <c r="G282" s="471">
        <v>0</v>
      </c>
      <c r="H282" s="471">
        <v>0</v>
      </c>
      <c r="I282" s="471">
        <v>0</v>
      </c>
      <c r="J282" s="471">
        <v>0</v>
      </c>
      <c r="R282" s="469">
        <v>0.5</v>
      </c>
      <c r="S282" s="310" t="str">
        <v>192 kbps</v>
      </c>
      <c r="U282" s="471">
        <f t="shared" si="162"/>
        <v>0</v>
      </c>
      <c r="V282" s="471">
        <f t="shared" si="163"/>
        <v>0</v>
      </c>
      <c r="W282" s="471">
        <f t="shared" si="164"/>
        <v>0</v>
      </c>
      <c r="X282" s="471">
        <f t="shared" si="165"/>
        <v>0</v>
      </c>
      <c r="Y282" s="471">
        <f t="shared" si="166"/>
        <v>0</v>
      </c>
      <c r="Z282" s="471">
        <f t="shared" si="167"/>
        <v>0</v>
      </c>
      <c r="AI282" s="310" t="str">
        <v>192 kbps</v>
      </c>
      <c r="AK282" s="472">
        <v>0</v>
      </c>
      <c r="AL282" s="472">
        <v>0</v>
      </c>
      <c r="AM282" s="472">
        <v>0</v>
      </c>
      <c r="AN282" s="472">
        <v>0</v>
      </c>
      <c r="AO282" s="472">
        <v>0</v>
      </c>
      <c r="AP282" s="472">
        <v>0</v>
      </c>
    </row>
    <row r="283" spans="2:48" s="299" customFormat="1">
      <c r="C283" s="310" t="str">
        <v>256 kbps</v>
      </c>
      <c r="E283" s="471">
        <v>2.08</v>
      </c>
      <c r="F283" s="471">
        <v>2.34</v>
      </c>
      <c r="G283" s="471">
        <v>2.0499999999999998</v>
      </c>
      <c r="H283" s="471">
        <v>2.75</v>
      </c>
      <c r="I283" s="471">
        <v>1.9000000000000004</v>
      </c>
      <c r="J283" s="471">
        <v>0.29999999999999982</v>
      </c>
      <c r="R283" s="469">
        <v>0.5</v>
      </c>
      <c r="S283" s="310" t="str">
        <v>256 kbps</v>
      </c>
      <c r="U283" s="471">
        <f t="shared" si="162"/>
        <v>4</v>
      </c>
      <c r="V283" s="471">
        <f t="shared" si="163"/>
        <v>3</v>
      </c>
      <c r="W283" s="471">
        <f t="shared" si="164"/>
        <v>4</v>
      </c>
      <c r="X283" s="471">
        <f t="shared" si="165"/>
        <v>3</v>
      </c>
      <c r="Y283" s="471">
        <f t="shared" si="166"/>
        <v>2</v>
      </c>
      <c r="Z283" s="471">
        <f t="shared" si="167"/>
        <v>2</v>
      </c>
      <c r="AI283" s="310" t="str">
        <v>256 kbps</v>
      </c>
      <c r="AK283" s="472">
        <v>6.08</v>
      </c>
      <c r="AL283" s="472">
        <v>5.34</v>
      </c>
      <c r="AM283" s="472">
        <v>6.05</v>
      </c>
      <c r="AN283" s="472">
        <v>5.75</v>
      </c>
      <c r="AO283" s="472">
        <v>3.9000000000000004</v>
      </c>
      <c r="AP283" s="472">
        <v>2.2999999999999998</v>
      </c>
    </row>
    <row r="284" spans="2:48" s="299" customFormat="1">
      <c r="C284" s="310" t="str">
        <v>384 kbps</v>
      </c>
      <c r="E284" s="471">
        <v>0</v>
      </c>
      <c r="F284" s="471">
        <v>0</v>
      </c>
      <c r="G284" s="471">
        <v>0</v>
      </c>
      <c r="H284" s="471">
        <v>0</v>
      </c>
      <c r="I284" s="471">
        <v>0</v>
      </c>
      <c r="J284" s="471">
        <v>0</v>
      </c>
      <c r="R284" s="469">
        <v>0.5</v>
      </c>
      <c r="S284" s="310" t="str">
        <v>384 kbps</v>
      </c>
      <c r="U284" s="471">
        <f t="shared" si="162"/>
        <v>0</v>
      </c>
      <c r="V284" s="471">
        <f t="shared" si="163"/>
        <v>0</v>
      </c>
      <c r="W284" s="471">
        <f t="shared" si="164"/>
        <v>0</v>
      </c>
      <c r="X284" s="471">
        <f t="shared" si="165"/>
        <v>0</v>
      </c>
      <c r="Y284" s="471">
        <f t="shared" si="166"/>
        <v>0</v>
      </c>
      <c r="Z284" s="471">
        <f t="shared" si="167"/>
        <v>0</v>
      </c>
      <c r="AI284" s="310" t="str">
        <v>384 kbps</v>
      </c>
      <c r="AK284" s="472">
        <v>0</v>
      </c>
      <c r="AL284" s="472">
        <v>0</v>
      </c>
      <c r="AM284" s="472">
        <v>0</v>
      </c>
      <c r="AN284" s="472">
        <v>0</v>
      </c>
      <c r="AO284" s="472">
        <v>0</v>
      </c>
      <c r="AP284" s="472">
        <v>0</v>
      </c>
    </row>
    <row r="285" spans="2:48" s="299" customFormat="1">
      <c r="C285" s="310" t="str">
        <v>512 kbps</v>
      </c>
      <c r="E285" s="471">
        <v>3.9799999999999995</v>
      </c>
      <c r="F285" s="471">
        <v>2.16</v>
      </c>
      <c r="G285" s="471">
        <v>1.9500000000000002</v>
      </c>
      <c r="H285" s="471">
        <v>1.3899999999999997</v>
      </c>
      <c r="I285" s="471">
        <v>0.67999999999999994</v>
      </c>
      <c r="J285" s="471">
        <v>0.43999999999999995</v>
      </c>
      <c r="R285" s="469">
        <v>0.5</v>
      </c>
      <c r="S285" s="310" t="str">
        <v>512 kbps</v>
      </c>
      <c r="U285" s="471">
        <f t="shared" si="162"/>
        <v>4</v>
      </c>
      <c r="V285" s="471">
        <f t="shared" si="163"/>
        <v>3</v>
      </c>
      <c r="W285" s="471">
        <f t="shared" si="164"/>
        <v>2</v>
      </c>
      <c r="X285" s="471">
        <f t="shared" si="165"/>
        <v>2</v>
      </c>
      <c r="Y285" s="471">
        <f t="shared" si="166"/>
        <v>1</v>
      </c>
      <c r="Z285" s="471">
        <f t="shared" si="167"/>
        <v>1</v>
      </c>
      <c r="AI285" s="310" t="str">
        <v>512 kbps</v>
      </c>
      <c r="AK285" s="472">
        <v>7.9799999999999995</v>
      </c>
      <c r="AL285" s="472">
        <v>5.16</v>
      </c>
      <c r="AM285" s="472">
        <v>3.95</v>
      </c>
      <c r="AN285" s="472">
        <v>3.3899999999999997</v>
      </c>
      <c r="AO285" s="472">
        <v>1.68</v>
      </c>
      <c r="AP285" s="472">
        <v>1.44</v>
      </c>
    </row>
    <row r="286" spans="2:48" s="299" customFormat="1">
      <c r="C286" s="310" t="str">
        <v>768 kbps</v>
      </c>
      <c r="E286" s="471">
        <v>0.17999999999999994</v>
      </c>
      <c r="F286" s="471">
        <v>-7.999999999999996E-2</v>
      </c>
      <c r="G286" s="471">
        <v>0.1399999999999999</v>
      </c>
      <c r="H286" s="471">
        <v>-0.18000000000000005</v>
      </c>
      <c r="I286" s="471">
        <v>0</v>
      </c>
      <c r="J286" s="471">
        <v>0</v>
      </c>
      <c r="R286" s="469">
        <v>0.5</v>
      </c>
      <c r="S286" s="310" t="str">
        <v>768 kbps</v>
      </c>
      <c r="U286" s="471">
        <f t="shared" si="162"/>
        <v>1</v>
      </c>
      <c r="V286" s="471">
        <f t="shared" si="163"/>
        <v>1</v>
      </c>
      <c r="W286" s="471">
        <f t="shared" si="164"/>
        <v>1</v>
      </c>
      <c r="X286" s="471">
        <f t="shared" si="165"/>
        <v>1</v>
      </c>
      <c r="Y286" s="471">
        <f t="shared" si="166"/>
        <v>0</v>
      </c>
      <c r="Z286" s="471">
        <f t="shared" si="167"/>
        <v>0</v>
      </c>
      <c r="AI286" s="310" t="str">
        <v>768 kbps</v>
      </c>
      <c r="AK286" s="472">
        <v>1.18</v>
      </c>
      <c r="AL286" s="472">
        <v>0.92</v>
      </c>
      <c r="AM286" s="472">
        <v>1.1399999999999999</v>
      </c>
      <c r="AN286" s="472">
        <v>0.82</v>
      </c>
      <c r="AO286" s="472">
        <v>0</v>
      </c>
      <c r="AP286" s="472">
        <v>0</v>
      </c>
    </row>
    <row r="287" spans="2:48" s="299" customFormat="1">
      <c r="C287" s="310" t="str">
        <v>1024 kbps</v>
      </c>
      <c r="E287" s="471">
        <v>1.75</v>
      </c>
      <c r="F287" s="471">
        <v>0.35999999999999988</v>
      </c>
      <c r="G287" s="471">
        <v>0</v>
      </c>
      <c r="H287" s="471">
        <v>0</v>
      </c>
      <c r="I287" s="471">
        <v>0</v>
      </c>
      <c r="J287" s="471">
        <v>0</v>
      </c>
      <c r="R287" s="469">
        <v>0.5</v>
      </c>
      <c r="S287" s="310" t="str">
        <v>1024 kbps</v>
      </c>
      <c r="U287" s="471">
        <f t="shared" si="162"/>
        <v>3</v>
      </c>
      <c r="V287" s="471">
        <f t="shared" si="163"/>
        <v>2</v>
      </c>
      <c r="W287" s="471">
        <f t="shared" si="164"/>
        <v>0</v>
      </c>
      <c r="X287" s="471">
        <f t="shared" si="165"/>
        <v>0</v>
      </c>
      <c r="Y287" s="471">
        <f t="shared" si="166"/>
        <v>0</v>
      </c>
      <c r="Z287" s="471">
        <f t="shared" si="167"/>
        <v>0</v>
      </c>
      <c r="AI287" s="310" t="str">
        <v>1024 kbps</v>
      </c>
      <c r="AK287" s="472">
        <v>4.75</v>
      </c>
      <c r="AL287" s="472">
        <v>2.36</v>
      </c>
      <c r="AM287" s="472">
        <v>0</v>
      </c>
      <c r="AN287" s="472">
        <v>0</v>
      </c>
      <c r="AO287" s="472">
        <v>0</v>
      </c>
      <c r="AP287" s="472">
        <v>0</v>
      </c>
    </row>
    <row r="288" spans="2:48" s="299" customFormat="1">
      <c r="C288" s="331" t="str">
        <v>E1 (2.04 Mbps)</v>
      </c>
      <c r="E288" s="471">
        <v>147.39000000000004</v>
      </c>
      <c r="F288" s="471">
        <v>123.5</v>
      </c>
      <c r="G288" s="471">
        <v>96.359999999999985</v>
      </c>
      <c r="H288" s="471">
        <v>96.97</v>
      </c>
      <c r="I288" s="471">
        <v>54.959999999999994</v>
      </c>
      <c r="J288" s="471">
        <v>48.2</v>
      </c>
      <c r="R288" s="469">
        <v>0.5</v>
      </c>
      <c r="S288" s="331" t="str">
        <v>E1 (2.04 Mbps)</v>
      </c>
      <c r="U288" s="471">
        <f t="shared" si="162"/>
        <v>148</v>
      </c>
      <c r="V288" s="471">
        <f t="shared" si="163"/>
        <v>124</v>
      </c>
      <c r="W288" s="471">
        <f t="shared" si="164"/>
        <v>98</v>
      </c>
      <c r="X288" s="471">
        <f t="shared" si="165"/>
        <v>98</v>
      </c>
      <c r="Y288" s="471">
        <f t="shared" si="166"/>
        <v>56</v>
      </c>
      <c r="Z288" s="471">
        <f t="shared" si="167"/>
        <v>49</v>
      </c>
      <c r="AI288" s="331" t="str">
        <v>E1 (2.04 Mbps)</v>
      </c>
      <c r="AK288" s="472">
        <v>295.39000000000004</v>
      </c>
      <c r="AL288" s="472">
        <v>247.5</v>
      </c>
      <c r="AM288" s="472">
        <v>194.35999999999999</v>
      </c>
      <c r="AN288" s="472">
        <v>194.97</v>
      </c>
      <c r="AO288" s="472">
        <v>110.96</v>
      </c>
      <c r="AP288" s="472">
        <v>97.2</v>
      </c>
    </row>
    <row r="289" spans="3:42" s="299" customFormat="1">
      <c r="C289" s="331" t="str">
        <v>E2 *</v>
      </c>
      <c r="E289" s="471">
        <v>0</v>
      </c>
      <c r="F289" s="471">
        <v>0</v>
      </c>
      <c r="G289" s="471">
        <v>0</v>
      </c>
      <c r="H289" s="471">
        <v>0</v>
      </c>
      <c r="I289" s="471">
        <v>0</v>
      </c>
      <c r="J289" s="471">
        <v>0</v>
      </c>
      <c r="R289" s="469">
        <v>0.5</v>
      </c>
      <c r="S289" s="331" t="str">
        <v>E2 *</v>
      </c>
      <c r="U289" s="471">
        <f t="shared" si="162"/>
        <v>0</v>
      </c>
      <c r="V289" s="471">
        <f t="shared" si="163"/>
        <v>0</v>
      </c>
      <c r="W289" s="471">
        <f t="shared" si="164"/>
        <v>0</v>
      </c>
      <c r="X289" s="471">
        <f t="shared" si="165"/>
        <v>0</v>
      </c>
      <c r="Y289" s="471">
        <f t="shared" si="166"/>
        <v>0</v>
      </c>
      <c r="Z289" s="471">
        <f t="shared" si="167"/>
        <v>0</v>
      </c>
      <c r="AI289" s="331" t="str">
        <v>E2 *</v>
      </c>
      <c r="AK289" s="472">
        <v>0</v>
      </c>
      <c r="AL289" s="472">
        <v>0</v>
      </c>
      <c r="AM289" s="472">
        <v>0</v>
      </c>
      <c r="AN289" s="472">
        <v>0</v>
      </c>
      <c r="AO289" s="472">
        <v>0</v>
      </c>
      <c r="AP289" s="472">
        <v>0</v>
      </c>
    </row>
    <row r="290" spans="3:42" s="299" customFormat="1">
      <c r="C290" s="331" t="str">
        <v>E3 (34 Mbps)</v>
      </c>
      <c r="E290" s="471">
        <v>0</v>
      </c>
      <c r="F290" s="471">
        <v>0</v>
      </c>
      <c r="G290" s="471">
        <v>0</v>
      </c>
      <c r="H290" s="471">
        <v>0</v>
      </c>
      <c r="I290" s="471">
        <v>0</v>
      </c>
      <c r="J290" s="471">
        <v>0</v>
      </c>
      <c r="R290" s="469">
        <v>0.5</v>
      </c>
      <c r="S290" s="331" t="str">
        <v>E3 (34 Mbps)</v>
      </c>
      <c r="U290" s="471">
        <f t="shared" si="162"/>
        <v>0</v>
      </c>
      <c r="V290" s="471">
        <f t="shared" si="163"/>
        <v>0</v>
      </c>
      <c r="W290" s="471">
        <f t="shared" si="164"/>
        <v>0</v>
      </c>
      <c r="X290" s="471">
        <f t="shared" si="165"/>
        <v>0</v>
      </c>
      <c r="Y290" s="471">
        <f t="shared" si="166"/>
        <v>0</v>
      </c>
      <c r="Z290" s="471">
        <f t="shared" si="167"/>
        <v>0</v>
      </c>
      <c r="AI290" s="331" t="str">
        <v>E3 (34 Mbps)</v>
      </c>
      <c r="AK290" s="472">
        <v>0</v>
      </c>
      <c r="AL290" s="472">
        <v>0</v>
      </c>
      <c r="AM290" s="472">
        <v>0</v>
      </c>
      <c r="AN290" s="472">
        <v>0</v>
      </c>
      <c r="AO290" s="472">
        <v>0</v>
      </c>
      <c r="AP290" s="472">
        <v>0</v>
      </c>
    </row>
    <row r="291" spans="3:42" s="299" customFormat="1">
      <c r="C291" s="331" t="str">
        <v>STM-1 (155 Mbps)</v>
      </c>
      <c r="E291" s="471">
        <v>0</v>
      </c>
      <c r="F291" s="471">
        <v>0</v>
      </c>
      <c r="G291" s="471">
        <v>0</v>
      </c>
      <c r="H291" s="471">
        <v>0</v>
      </c>
      <c r="I291" s="471">
        <v>0</v>
      </c>
      <c r="J291" s="471">
        <v>0</v>
      </c>
      <c r="S291" s="331" t="str">
        <v>STM-1 (155 Mbps)</v>
      </c>
      <c r="U291" s="472">
        <f t="shared" ref="U291:U295" si="168">AK291</f>
        <v>0</v>
      </c>
      <c r="V291" s="472">
        <f t="shared" ref="V291:V295" si="169">AL291</f>
        <v>0</v>
      </c>
      <c r="W291" s="472">
        <f t="shared" ref="W291:W295" si="170">AM291</f>
        <v>0</v>
      </c>
      <c r="X291" s="472">
        <f t="shared" ref="X291:X295" si="171">AN291</f>
        <v>0</v>
      </c>
      <c r="Y291" s="472">
        <f t="shared" ref="Y291:Y295" si="172">AO291</f>
        <v>0</v>
      </c>
      <c r="Z291" s="472">
        <f t="shared" ref="Z291:Z295" si="173">AP291</f>
        <v>0</v>
      </c>
      <c r="AI291" s="331" t="str">
        <v>STM-1 (155 Mbps)</v>
      </c>
      <c r="AK291" s="472">
        <v>0</v>
      </c>
      <c r="AL291" s="472">
        <v>0</v>
      </c>
      <c r="AM291" s="472">
        <v>0</v>
      </c>
      <c r="AN291" s="472">
        <v>0</v>
      </c>
      <c r="AO291" s="472">
        <v>0</v>
      </c>
      <c r="AP291" s="472">
        <v>0</v>
      </c>
    </row>
    <row r="292" spans="3:42" s="299" customFormat="1">
      <c r="C292" s="310" t="str">
        <v>STM-4 (622.08 Mbps)</v>
      </c>
      <c r="E292" s="471">
        <v>0</v>
      </c>
      <c r="F292" s="471">
        <v>0</v>
      </c>
      <c r="G292" s="471">
        <v>0</v>
      </c>
      <c r="H292" s="471">
        <v>0</v>
      </c>
      <c r="I292" s="471">
        <v>0</v>
      </c>
      <c r="J292" s="471">
        <v>0</v>
      </c>
      <c r="S292" s="310" t="str">
        <v>STM-4 (622.08 Mbps)</v>
      </c>
      <c r="U292" s="472">
        <f t="shared" si="168"/>
        <v>0</v>
      </c>
      <c r="V292" s="472">
        <f t="shared" si="169"/>
        <v>0</v>
      </c>
      <c r="W292" s="472">
        <f t="shared" si="170"/>
        <v>0</v>
      </c>
      <c r="X292" s="472">
        <f t="shared" si="171"/>
        <v>0</v>
      </c>
      <c r="Y292" s="472">
        <f t="shared" si="172"/>
        <v>0</v>
      </c>
      <c r="Z292" s="472">
        <f t="shared" si="173"/>
        <v>0</v>
      </c>
      <c r="AI292" s="310" t="str">
        <v>STM-4 (622.08 Mbps)</v>
      </c>
      <c r="AK292" s="472">
        <v>0</v>
      </c>
      <c r="AL292" s="472">
        <v>0</v>
      </c>
      <c r="AM292" s="472">
        <v>0</v>
      </c>
      <c r="AN292" s="472">
        <v>0</v>
      </c>
      <c r="AO292" s="472">
        <v>0</v>
      </c>
      <c r="AP292" s="472">
        <v>0</v>
      </c>
    </row>
    <row r="293" spans="3:42" s="299" customFormat="1">
      <c r="C293" s="310" t="str">
        <v>STM-16 (2488.32Mbps)</v>
      </c>
      <c r="E293" s="471">
        <v>0</v>
      </c>
      <c r="F293" s="471">
        <v>0</v>
      </c>
      <c r="G293" s="471">
        <v>0</v>
      </c>
      <c r="H293" s="471">
        <v>0</v>
      </c>
      <c r="I293" s="471">
        <v>0</v>
      </c>
      <c r="J293" s="471">
        <v>0</v>
      </c>
      <c r="S293" s="310" t="str">
        <v>STM-16 (2488.32Mbps)</v>
      </c>
      <c r="U293" s="472">
        <f t="shared" si="168"/>
        <v>0</v>
      </c>
      <c r="V293" s="472">
        <f t="shared" si="169"/>
        <v>0</v>
      </c>
      <c r="W293" s="472">
        <f t="shared" si="170"/>
        <v>0</v>
      </c>
      <c r="X293" s="472">
        <f t="shared" si="171"/>
        <v>0</v>
      </c>
      <c r="Y293" s="472">
        <f t="shared" si="172"/>
        <v>0</v>
      </c>
      <c r="Z293" s="472">
        <f t="shared" si="173"/>
        <v>0</v>
      </c>
      <c r="AI293" s="310" t="str">
        <v>STM-16 (2488.32Mbps)</v>
      </c>
      <c r="AK293" s="472">
        <v>0</v>
      </c>
      <c r="AL293" s="472">
        <v>0</v>
      </c>
      <c r="AM293" s="472">
        <v>0</v>
      </c>
      <c r="AN293" s="472">
        <v>0</v>
      </c>
      <c r="AO293" s="472">
        <v>0</v>
      </c>
      <c r="AP293" s="472">
        <v>0</v>
      </c>
    </row>
    <row r="294" spans="3:42" s="299" customFormat="1">
      <c r="C294" s="310" t="str">
        <v>STM-64 (9953.28Mbps)</v>
      </c>
      <c r="E294" s="471">
        <v>0</v>
      </c>
      <c r="F294" s="471">
        <v>0</v>
      </c>
      <c r="G294" s="471">
        <v>0</v>
      </c>
      <c r="H294" s="471">
        <v>0</v>
      </c>
      <c r="I294" s="471">
        <v>0</v>
      </c>
      <c r="J294" s="471">
        <v>0</v>
      </c>
      <c r="S294" s="310" t="str">
        <v>STM-64 (9953.28Mbps)</v>
      </c>
      <c r="U294" s="472">
        <f t="shared" si="168"/>
        <v>0</v>
      </c>
      <c r="V294" s="472">
        <f t="shared" si="169"/>
        <v>0</v>
      </c>
      <c r="W294" s="472">
        <f t="shared" si="170"/>
        <v>0</v>
      </c>
      <c r="X294" s="472">
        <f t="shared" si="171"/>
        <v>0</v>
      </c>
      <c r="Y294" s="472">
        <f t="shared" si="172"/>
        <v>0</v>
      </c>
      <c r="Z294" s="472">
        <f t="shared" si="173"/>
        <v>0</v>
      </c>
      <c r="AI294" s="310" t="str">
        <v>STM-64 (9953.28Mbps)</v>
      </c>
      <c r="AK294" s="472">
        <v>0</v>
      </c>
      <c r="AL294" s="472">
        <v>0</v>
      </c>
      <c r="AM294" s="472">
        <v>0</v>
      </c>
      <c r="AN294" s="472">
        <v>0</v>
      </c>
      <c r="AO294" s="472">
        <v>0</v>
      </c>
      <c r="AP294" s="472">
        <v>0</v>
      </c>
    </row>
    <row r="295" spans="3:42" s="299" customFormat="1">
      <c r="C295" s="310" t="str">
        <v>STM-256 (39813.12 Mbps)*</v>
      </c>
      <c r="E295" s="471">
        <v>0</v>
      </c>
      <c r="F295" s="471">
        <v>0</v>
      </c>
      <c r="G295" s="471">
        <v>0</v>
      </c>
      <c r="H295" s="471">
        <v>0</v>
      </c>
      <c r="I295" s="471">
        <v>0</v>
      </c>
      <c r="J295" s="471">
        <v>0</v>
      </c>
      <c r="S295" s="310" t="str">
        <v>STM-256 (39813.12 Mbps)*</v>
      </c>
      <c r="U295" s="472">
        <f t="shared" si="168"/>
        <v>0</v>
      </c>
      <c r="V295" s="472">
        <f t="shared" si="169"/>
        <v>0</v>
      </c>
      <c r="W295" s="472">
        <f t="shared" si="170"/>
        <v>0</v>
      </c>
      <c r="X295" s="472">
        <f t="shared" si="171"/>
        <v>0</v>
      </c>
      <c r="Y295" s="472">
        <f t="shared" si="172"/>
        <v>0</v>
      </c>
      <c r="Z295" s="472">
        <f t="shared" si="173"/>
        <v>0</v>
      </c>
      <c r="AI295" s="310" t="str">
        <v>STM-256 (39813.12 Mbps)*</v>
      </c>
      <c r="AK295" s="472">
        <v>0</v>
      </c>
      <c r="AL295" s="472">
        <v>0</v>
      </c>
      <c r="AM295" s="472">
        <v>0</v>
      </c>
      <c r="AN295" s="472">
        <v>0</v>
      </c>
      <c r="AO295" s="472">
        <v>0</v>
      </c>
      <c r="AP295" s="472">
        <v>0</v>
      </c>
    </row>
    <row r="296" spans="3:42" s="299" customFormat="1">
      <c r="C296" s="310" t="str">
        <v>Ethernet (10Mbps)</v>
      </c>
      <c r="E296" s="471">
        <v>0</v>
      </c>
      <c r="F296" s="471">
        <v>0</v>
      </c>
      <c r="G296" s="471">
        <v>0</v>
      </c>
      <c r="H296" s="471">
        <v>0</v>
      </c>
      <c r="I296" s="471">
        <v>0</v>
      </c>
      <c r="J296" s="471">
        <v>0</v>
      </c>
      <c r="R296" s="469">
        <v>0.5</v>
      </c>
      <c r="S296" s="310" t="str">
        <v>Ethernet (10Mbps)</v>
      </c>
      <c r="U296" s="471">
        <f t="shared" ref="U296:U304" si="174">ROUNDUP(AK296*$R296,0)</f>
        <v>0</v>
      </c>
      <c r="V296" s="471">
        <f t="shared" ref="V296:V304" si="175">ROUNDUP(AL296*$R296,0)</f>
        <v>0</v>
      </c>
      <c r="W296" s="471">
        <f t="shared" ref="W296:W304" si="176">ROUNDUP(AM296*$R296,0)</f>
        <v>0</v>
      </c>
      <c r="X296" s="471">
        <f t="shared" ref="X296:X304" si="177">ROUNDUP(AN296*$R296,0)</f>
        <v>0</v>
      </c>
      <c r="Y296" s="471">
        <f t="shared" ref="Y296:Y304" si="178">ROUNDUP(AO296*$R296,0)</f>
        <v>0</v>
      </c>
      <c r="Z296" s="471">
        <f t="shared" ref="Z296:Z304" si="179">ROUNDUP(AP296*$R296,0)</f>
        <v>0</v>
      </c>
      <c r="AI296" s="310" t="str">
        <v>Ethernet (10Mbps)</v>
      </c>
      <c r="AK296" s="472">
        <v>0</v>
      </c>
      <c r="AL296" s="472">
        <v>0</v>
      </c>
      <c r="AM296" s="472">
        <v>0</v>
      </c>
      <c r="AN296" s="472">
        <v>0</v>
      </c>
      <c r="AO296" s="472">
        <v>0</v>
      </c>
      <c r="AP296" s="472">
        <v>0</v>
      </c>
    </row>
    <row r="297" spans="3:42" s="299" customFormat="1">
      <c r="C297" s="310" t="str">
        <v>Ethernet (20Mbps)</v>
      </c>
      <c r="E297" s="471">
        <v>0</v>
      </c>
      <c r="F297" s="471">
        <v>0</v>
      </c>
      <c r="G297" s="471">
        <v>0</v>
      </c>
      <c r="H297" s="471">
        <v>0</v>
      </c>
      <c r="I297" s="471">
        <v>0</v>
      </c>
      <c r="J297" s="471">
        <v>0</v>
      </c>
      <c r="R297" s="469">
        <v>0.5</v>
      </c>
      <c r="S297" s="310" t="str">
        <v>Ethernet (20Mbps)</v>
      </c>
      <c r="U297" s="471">
        <f t="shared" si="174"/>
        <v>0</v>
      </c>
      <c r="V297" s="471">
        <f t="shared" si="175"/>
        <v>0</v>
      </c>
      <c r="W297" s="471">
        <f t="shared" si="176"/>
        <v>0</v>
      </c>
      <c r="X297" s="471">
        <f t="shared" si="177"/>
        <v>0</v>
      </c>
      <c r="Y297" s="471">
        <f t="shared" si="178"/>
        <v>0</v>
      </c>
      <c r="Z297" s="471">
        <f t="shared" si="179"/>
        <v>0</v>
      </c>
      <c r="AI297" s="310" t="str">
        <v>Ethernet (20Mbps)</v>
      </c>
      <c r="AK297" s="472">
        <v>0</v>
      </c>
      <c r="AL297" s="472">
        <v>0</v>
      </c>
      <c r="AM297" s="472">
        <v>0</v>
      </c>
      <c r="AN297" s="472">
        <v>0</v>
      </c>
      <c r="AO297" s="472">
        <v>0</v>
      </c>
      <c r="AP297" s="472">
        <v>0</v>
      </c>
    </row>
    <row r="298" spans="3:42" s="299" customFormat="1">
      <c r="C298" s="310" t="str">
        <v>Ethernet (30Mbps)</v>
      </c>
      <c r="E298" s="471">
        <v>0</v>
      </c>
      <c r="F298" s="471">
        <v>0</v>
      </c>
      <c r="G298" s="471">
        <v>0</v>
      </c>
      <c r="H298" s="471">
        <v>0</v>
      </c>
      <c r="I298" s="471">
        <v>0</v>
      </c>
      <c r="J298" s="471">
        <v>0</v>
      </c>
      <c r="R298" s="469">
        <v>0.5</v>
      </c>
      <c r="S298" s="310" t="str">
        <v>Ethernet (30Mbps)</v>
      </c>
      <c r="U298" s="471">
        <f t="shared" si="174"/>
        <v>0</v>
      </c>
      <c r="V298" s="471">
        <f t="shared" si="175"/>
        <v>0</v>
      </c>
      <c r="W298" s="471">
        <f t="shared" si="176"/>
        <v>0</v>
      </c>
      <c r="X298" s="471">
        <f t="shared" si="177"/>
        <v>0</v>
      </c>
      <c r="Y298" s="471">
        <f t="shared" si="178"/>
        <v>0</v>
      </c>
      <c r="Z298" s="471">
        <f t="shared" si="179"/>
        <v>0</v>
      </c>
      <c r="AI298" s="310" t="str">
        <v>Ethernet (30Mbps)</v>
      </c>
      <c r="AK298" s="472">
        <v>0</v>
      </c>
      <c r="AL298" s="472">
        <v>0</v>
      </c>
      <c r="AM298" s="472">
        <v>0</v>
      </c>
      <c r="AN298" s="472">
        <v>0</v>
      </c>
      <c r="AO298" s="472">
        <v>0</v>
      </c>
      <c r="AP298" s="472">
        <v>0</v>
      </c>
    </row>
    <row r="299" spans="3:42" s="299" customFormat="1">
      <c r="C299" s="310" t="str">
        <v>Ethernet (40Mbps)</v>
      </c>
      <c r="E299" s="471">
        <v>0</v>
      </c>
      <c r="F299" s="471">
        <v>0</v>
      </c>
      <c r="G299" s="471">
        <v>0</v>
      </c>
      <c r="H299" s="471">
        <v>0</v>
      </c>
      <c r="I299" s="471">
        <v>0</v>
      </c>
      <c r="J299" s="471">
        <v>0</v>
      </c>
      <c r="R299" s="469">
        <v>0.5</v>
      </c>
      <c r="S299" s="310" t="str">
        <v>Ethernet (40Mbps)</v>
      </c>
      <c r="U299" s="471">
        <f t="shared" si="174"/>
        <v>0</v>
      </c>
      <c r="V299" s="471">
        <f t="shared" si="175"/>
        <v>0</v>
      </c>
      <c r="W299" s="471">
        <f t="shared" si="176"/>
        <v>0</v>
      </c>
      <c r="X299" s="471">
        <f t="shared" si="177"/>
        <v>0</v>
      </c>
      <c r="Y299" s="471">
        <f t="shared" si="178"/>
        <v>0</v>
      </c>
      <c r="Z299" s="471">
        <f t="shared" si="179"/>
        <v>0</v>
      </c>
      <c r="AI299" s="310" t="str">
        <v>Ethernet (40Mbps)</v>
      </c>
      <c r="AK299" s="472">
        <v>0</v>
      </c>
      <c r="AL299" s="472">
        <v>0</v>
      </c>
      <c r="AM299" s="472">
        <v>0</v>
      </c>
      <c r="AN299" s="472">
        <v>0</v>
      </c>
      <c r="AO299" s="472">
        <v>0</v>
      </c>
      <c r="AP299" s="472">
        <v>0</v>
      </c>
    </row>
    <row r="300" spans="3:42" s="299" customFormat="1">
      <c r="C300" s="310" t="str">
        <v>Ethernet (50Mbps)</v>
      </c>
      <c r="E300" s="471">
        <v>0</v>
      </c>
      <c r="F300" s="471">
        <v>0</v>
      </c>
      <c r="G300" s="471">
        <v>0</v>
      </c>
      <c r="H300" s="471">
        <v>0</v>
      </c>
      <c r="I300" s="471">
        <v>0</v>
      </c>
      <c r="J300" s="471">
        <v>0</v>
      </c>
      <c r="R300" s="469">
        <v>0.5</v>
      </c>
      <c r="S300" s="310" t="str">
        <v>Ethernet (50Mbps)</v>
      </c>
      <c r="U300" s="471">
        <f t="shared" si="174"/>
        <v>0</v>
      </c>
      <c r="V300" s="471">
        <f t="shared" si="175"/>
        <v>0</v>
      </c>
      <c r="W300" s="471">
        <f t="shared" si="176"/>
        <v>0</v>
      </c>
      <c r="X300" s="471">
        <f t="shared" si="177"/>
        <v>0</v>
      </c>
      <c r="Y300" s="471">
        <f t="shared" si="178"/>
        <v>0</v>
      </c>
      <c r="Z300" s="471">
        <f t="shared" si="179"/>
        <v>0</v>
      </c>
      <c r="AI300" s="310" t="str">
        <v>Ethernet (50Mbps)</v>
      </c>
      <c r="AK300" s="472">
        <v>0</v>
      </c>
      <c r="AL300" s="472">
        <v>0</v>
      </c>
      <c r="AM300" s="472">
        <v>0</v>
      </c>
      <c r="AN300" s="472">
        <v>0</v>
      </c>
      <c r="AO300" s="472">
        <v>0</v>
      </c>
      <c r="AP300" s="472">
        <v>0</v>
      </c>
    </row>
    <row r="301" spans="3:42" s="299" customFormat="1">
      <c r="C301" s="310" t="str">
        <v>Ethernet (60Mbps)</v>
      </c>
      <c r="E301" s="471">
        <v>0</v>
      </c>
      <c r="F301" s="471">
        <v>0</v>
      </c>
      <c r="G301" s="471">
        <v>0</v>
      </c>
      <c r="H301" s="471">
        <v>0</v>
      </c>
      <c r="I301" s="471">
        <v>0</v>
      </c>
      <c r="J301" s="471">
        <v>0</v>
      </c>
      <c r="R301" s="469">
        <v>0.5</v>
      </c>
      <c r="S301" s="310" t="str">
        <v>Ethernet (60Mbps)</v>
      </c>
      <c r="U301" s="471">
        <f t="shared" si="174"/>
        <v>0</v>
      </c>
      <c r="V301" s="471">
        <f t="shared" si="175"/>
        <v>0</v>
      </c>
      <c r="W301" s="471">
        <f t="shared" si="176"/>
        <v>0</v>
      </c>
      <c r="X301" s="471">
        <f t="shared" si="177"/>
        <v>0</v>
      </c>
      <c r="Y301" s="471">
        <f t="shared" si="178"/>
        <v>0</v>
      </c>
      <c r="Z301" s="471">
        <f t="shared" si="179"/>
        <v>0</v>
      </c>
      <c r="AI301" s="310" t="str">
        <v>Ethernet (60Mbps)</v>
      </c>
      <c r="AK301" s="472">
        <v>0</v>
      </c>
      <c r="AL301" s="472">
        <v>0</v>
      </c>
      <c r="AM301" s="472">
        <v>0</v>
      </c>
      <c r="AN301" s="472">
        <v>0</v>
      </c>
      <c r="AO301" s="472">
        <v>0</v>
      </c>
      <c r="AP301" s="472">
        <v>0</v>
      </c>
    </row>
    <row r="302" spans="3:42" s="299" customFormat="1">
      <c r="C302" s="310" t="str">
        <v>Ethernet (70Mbps)</v>
      </c>
      <c r="E302" s="471">
        <v>0</v>
      </c>
      <c r="F302" s="471">
        <v>0</v>
      </c>
      <c r="G302" s="471">
        <v>0</v>
      </c>
      <c r="H302" s="471">
        <v>0</v>
      </c>
      <c r="I302" s="471">
        <v>0</v>
      </c>
      <c r="J302" s="471">
        <v>0</v>
      </c>
      <c r="R302" s="469">
        <v>0.5</v>
      </c>
      <c r="S302" s="310" t="str">
        <v>Ethernet (70Mbps)</v>
      </c>
      <c r="U302" s="471">
        <f t="shared" si="174"/>
        <v>0</v>
      </c>
      <c r="V302" s="471">
        <f t="shared" si="175"/>
        <v>0</v>
      </c>
      <c r="W302" s="471">
        <f t="shared" si="176"/>
        <v>0</v>
      </c>
      <c r="X302" s="471">
        <f t="shared" si="177"/>
        <v>0</v>
      </c>
      <c r="Y302" s="471">
        <f t="shared" si="178"/>
        <v>0</v>
      </c>
      <c r="Z302" s="471">
        <f t="shared" si="179"/>
        <v>0</v>
      </c>
      <c r="AI302" s="310" t="str">
        <v>Ethernet (70Mbps)</v>
      </c>
      <c r="AK302" s="472">
        <v>0</v>
      </c>
      <c r="AL302" s="472">
        <v>0</v>
      </c>
      <c r="AM302" s="472">
        <v>0</v>
      </c>
      <c r="AN302" s="472">
        <v>0</v>
      </c>
      <c r="AO302" s="472">
        <v>0</v>
      </c>
      <c r="AP302" s="472">
        <v>0</v>
      </c>
    </row>
    <row r="303" spans="3:42" s="299" customFormat="1">
      <c r="C303" s="310" t="str">
        <v>Ethernet (80Mbps)</v>
      </c>
      <c r="E303" s="471">
        <v>0</v>
      </c>
      <c r="F303" s="471">
        <v>0</v>
      </c>
      <c r="G303" s="471">
        <v>0</v>
      </c>
      <c r="H303" s="471">
        <v>0</v>
      </c>
      <c r="I303" s="471">
        <v>0</v>
      </c>
      <c r="J303" s="471">
        <v>0</v>
      </c>
      <c r="R303" s="469">
        <v>0.5</v>
      </c>
      <c r="S303" s="310" t="str">
        <v>Ethernet (80Mbps)</v>
      </c>
      <c r="U303" s="471">
        <f t="shared" si="174"/>
        <v>0</v>
      </c>
      <c r="V303" s="471">
        <f t="shared" si="175"/>
        <v>0</v>
      </c>
      <c r="W303" s="471">
        <f t="shared" si="176"/>
        <v>0</v>
      </c>
      <c r="X303" s="471">
        <f t="shared" si="177"/>
        <v>0</v>
      </c>
      <c r="Y303" s="471">
        <f t="shared" si="178"/>
        <v>0</v>
      </c>
      <c r="Z303" s="471">
        <f t="shared" si="179"/>
        <v>0</v>
      </c>
      <c r="AI303" s="310" t="str">
        <v>Ethernet (80Mbps)</v>
      </c>
      <c r="AK303" s="472">
        <v>0</v>
      </c>
      <c r="AL303" s="472">
        <v>0</v>
      </c>
      <c r="AM303" s="472">
        <v>0</v>
      </c>
      <c r="AN303" s="472">
        <v>0</v>
      </c>
      <c r="AO303" s="472">
        <v>0</v>
      </c>
      <c r="AP303" s="472">
        <v>0</v>
      </c>
    </row>
    <row r="304" spans="3:42" s="299" customFormat="1">
      <c r="C304" s="310" t="str">
        <v>Ethernet (90Mbps)</v>
      </c>
      <c r="E304" s="471">
        <v>0</v>
      </c>
      <c r="F304" s="471">
        <v>0</v>
      </c>
      <c r="G304" s="471">
        <v>0</v>
      </c>
      <c r="H304" s="471">
        <v>0</v>
      </c>
      <c r="I304" s="471">
        <v>0</v>
      </c>
      <c r="J304" s="471">
        <v>0</v>
      </c>
      <c r="R304" s="469">
        <v>0.5</v>
      </c>
      <c r="S304" s="310" t="str">
        <v>Ethernet (90Mbps)</v>
      </c>
      <c r="U304" s="471">
        <f t="shared" si="174"/>
        <v>0</v>
      </c>
      <c r="V304" s="471">
        <f t="shared" si="175"/>
        <v>0</v>
      </c>
      <c r="W304" s="471">
        <f t="shared" si="176"/>
        <v>0</v>
      </c>
      <c r="X304" s="471">
        <f t="shared" si="177"/>
        <v>0</v>
      </c>
      <c r="Y304" s="471">
        <f t="shared" si="178"/>
        <v>0</v>
      </c>
      <c r="Z304" s="471">
        <f t="shared" si="179"/>
        <v>0</v>
      </c>
      <c r="AI304" s="310" t="str">
        <v>Ethernet (90Mbps)</v>
      </c>
      <c r="AK304" s="472">
        <v>0</v>
      </c>
      <c r="AL304" s="472">
        <v>0</v>
      </c>
      <c r="AM304" s="472">
        <v>0</v>
      </c>
      <c r="AN304" s="472">
        <v>0</v>
      </c>
      <c r="AO304" s="472">
        <v>0</v>
      </c>
      <c r="AP304" s="472">
        <v>0</v>
      </c>
    </row>
    <row r="305" spans="3:48" s="299" customFormat="1">
      <c r="C305" s="310" t="str">
        <v>GigaEthernet (100Mbps)</v>
      </c>
      <c r="E305" s="471">
        <v>0</v>
      </c>
      <c r="F305" s="471">
        <v>0</v>
      </c>
      <c r="G305" s="471">
        <v>0</v>
      </c>
      <c r="H305" s="471">
        <v>0</v>
      </c>
      <c r="I305" s="471">
        <v>0</v>
      </c>
      <c r="J305" s="471">
        <v>0</v>
      </c>
      <c r="S305" s="310" t="str">
        <v>GigaEthernet (100Mbps)</v>
      </c>
      <c r="U305" s="472">
        <f t="shared" ref="U305:U317" si="180">AK305</f>
        <v>0</v>
      </c>
      <c r="V305" s="472">
        <f t="shared" ref="V305:V317" si="181">AL305</f>
        <v>0</v>
      </c>
      <c r="W305" s="472">
        <f t="shared" ref="W305:W317" si="182">AM305</f>
        <v>0</v>
      </c>
      <c r="X305" s="472">
        <f t="shared" ref="X305:X317" si="183">AN305</f>
        <v>0</v>
      </c>
      <c r="Y305" s="472">
        <f t="shared" ref="Y305:Y317" si="184">AO305</f>
        <v>0</v>
      </c>
      <c r="Z305" s="472">
        <f t="shared" ref="Z305:Z317" si="185">AP305</f>
        <v>0</v>
      </c>
      <c r="AI305" s="310" t="str">
        <v>GigaEthernet (100Mbps)</v>
      </c>
      <c r="AK305" s="472">
        <v>0</v>
      </c>
      <c r="AL305" s="472">
        <v>0</v>
      </c>
      <c r="AM305" s="472">
        <v>0</v>
      </c>
      <c r="AN305" s="472">
        <v>0</v>
      </c>
      <c r="AO305" s="472">
        <v>0</v>
      </c>
      <c r="AP305" s="472">
        <v>0</v>
      </c>
    </row>
    <row r="306" spans="3:48" s="299" customFormat="1">
      <c r="C306" s="310" t="str">
        <v>GigaEthernet (150Mbps)</v>
      </c>
      <c r="E306" s="471">
        <v>0</v>
      </c>
      <c r="F306" s="471">
        <v>0</v>
      </c>
      <c r="G306" s="471">
        <v>0</v>
      </c>
      <c r="H306" s="471">
        <v>0</v>
      </c>
      <c r="I306" s="471">
        <v>0</v>
      </c>
      <c r="J306" s="471">
        <v>0</v>
      </c>
      <c r="S306" s="310" t="str">
        <v>GigaEthernet (150Mbps)</v>
      </c>
      <c r="U306" s="472">
        <f t="shared" si="180"/>
        <v>0</v>
      </c>
      <c r="V306" s="472">
        <f t="shared" si="181"/>
        <v>0</v>
      </c>
      <c r="W306" s="472">
        <f t="shared" si="182"/>
        <v>0</v>
      </c>
      <c r="X306" s="472">
        <f t="shared" si="183"/>
        <v>0</v>
      </c>
      <c r="Y306" s="472">
        <f t="shared" si="184"/>
        <v>0</v>
      </c>
      <c r="Z306" s="472">
        <f t="shared" si="185"/>
        <v>0</v>
      </c>
      <c r="AI306" s="310" t="str">
        <v>GigaEthernet (150Mbps)</v>
      </c>
      <c r="AK306" s="472">
        <v>0</v>
      </c>
      <c r="AL306" s="472">
        <v>0</v>
      </c>
      <c r="AM306" s="472">
        <v>0</v>
      </c>
      <c r="AN306" s="472">
        <v>0</v>
      </c>
      <c r="AO306" s="472">
        <v>0</v>
      </c>
      <c r="AP306" s="472">
        <v>0</v>
      </c>
    </row>
    <row r="307" spans="3:48" s="299" customFormat="1">
      <c r="C307" s="310" t="str">
        <v>GigaEthernet (200Mbps)</v>
      </c>
      <c r="E307" s="471">
        <v>0</v>
      </c>
      <c r="F307" s="471">
        <v>0</v>
      </c>
      <c r="G307" s="471">
        <v>0</v>
      </c>
      <c r="H307" s="471">
        <v>0</v>
      </c>
      <c r="I307" s="471">
        <v>0</v>
      </c>
      <c r="J307" s="471">
        <v>0</v>
      </c>
      <c r="S307" s="310" t="str">
        <v>GigaEthernet (200Mbps)</v>
      </c>
      <c r="U307" s="472">
        <f t="shared" si="180"/>
        <v>0</v>
      </c>
      <c r="V307" s="472">
        <f t="shared" si="181"/>
        <v>0</v>
      </c>
      <c r="W307" s="472">
        <f t="shared" si="182"/>
        <v>0</v>
      </c>
      <c r="X307" s="472">
        <f t="shared" si="183"/>
        <v>0</v>
      </c>
      <c r="Y307" s="472">
        <f t="shared" si="184"/>
        <v>0</v>
      </c>
      <c r="Z307" s="472">
        <f t="shared" si="185"/>
        <v>0</v>
      </c>
      <c r="AI307" s="310" t="str">
        <v>GigaEthernet (200Mbps)</v>
      </c>
      <c r="AK307" s="472">
        <v>0</v>
      </c>
      <c r="AL307" s="472">
        <v>0</v>
      </c>
      <c r="AM307" s="472">
        <v>0</v>
      </c>
      <c r="AN307" s="472">
        <v>0</v>
      </c>
      <c r="AO307" s="472">
        <v>0</v>
      </c>
      <c r="AP307" s="472">
        <v>0</v>
      </c>
    </row>
    <row r="308" spans="3:48" s="299" customFormat="1">
      <c r="C308" s="310" t="str">
        <v>GigaEthernet (250Mbps)</v>
      </c>
      <c r="E308" s="471">
        <v>0</v>
      </c>
      <c r="F308" s="471">
        <v>0</v>
      </c>
      <c r="G308" s="471">
        <v>0</v>
      </c>
      <c r="H308" s="471">
        <v>0</v>
      </c>
      <c r="I308" s="471">
        <v>0</v>
      </c>
      <c r="J308" s="471">
        <v>0</v>
      </c>
      <c r="S308" s="310" t="str">
        <v>GigaEthernet (250Mbps)</v>
      </c>
      <c r="U308" s="472">
        <f t="shared" si="180"/>
        <v>0</v>
      </c>
      <c r="V308" s="472">
        <f t="shared" si="181"/>
        <v>0</v>
      </c>
      <c r="W308" s="472">
        <f t="shared" si="182"/>
        <v>0</v>
      </c>
      <c r="X308" s="472">
        <f t="shared" si="183"/>
        <v>0</v>
      </c>
      <c r="Y308" s="472">
        <f t="shared" si="184"/>
        <v>0</v>
      </c>
      <c r="Z308" s="472">
        <f t="shared" si="185"/>
        <v>0</v>
      </c>
      <c r="AI308" s="310" t="str">
        <v>GigaEthernet (250Mbps)</v>
      </c>
      <c r="AK308" s="472">
        <v>0</v>
      </c>
      <c r="AL308" s="472">
        <v>0</v>
      </c>
      <c r="AM308" s="472">
        <v>0</v>
      </c>
      <c r="AN308" s="472">
        <v>0</v>
      </c>
      <c r="AO308" s="472">
        <v>0</v>
      </c>
      <c r="AP308" s="472">
        <v>0</v>
      </c>
    </row>
    <row r="309" spans="3:48" s="299" customFormat="1">
      <c r="C309" s="310" t="str">
        <v>GigaEthernet (300Mbps)</v>
      </c>
      <c r="E309" s="471">
        <v>0</v>
      </c>
      <c r="F309" s="471">
        <v>0</v>
      </c>
      <c r="G309" s="471">
        <v>0</v>
      </c>
      <c r="H309" s="471">
        <v>0</v>
      </c>
      <c r="I309" s="471">
        <v>0</v>
      </c>
      <c r="J309" s="471">
        <v>0</v>
      </c>
      <c r="S309" s="310" t="str">
        <v>GigaEthernet (300Mbps)</v>
      </c>
      <c r="U309" s="472">
        <f t="shared" si="180"/>
        <v>0</v>
      </c>
      <c r="V309" s="472">
        <f t="shared" si="181"/>
        <v>0</v>
      </c>
      <c r="W309" s="472">
        <f t="shared" si="182"/>
        <v>0</v>
      </c>
      <c r="X309" s="472">
        <f t="shared" si="183"/>
        <v>0</v>
      </c>
      <c r="Y309" s="472">
        <f t="shared" si="184"/>
        <v>0</v>
      </c>
      <c r="Z309" s="472">
        <f t="shared" si="185"/>
        <v>0</v>
      </c>
      <c r="AI309" s="310" t="str">
        <v>GigaEthernet (300Mbps)</v>
      </c>
      <c r="AK309" s="472">
        <v>0</v>
      </c>
      <c r="AL309" s="472">
        <v>0</v>
      </c>
      <c r="AM309" s="472">
        <v>0</v>
      </c>
      <c r="AN309" s="472">
        <v>0</v>
      </c>
      <c r="AO309" s="472">
        <v>0</v>
      </c>
      <c r="AP309" s="472">
        <v>0</v>
      </c>
    </row>
    <row r="310" spans="3:48" s="299" customFormat="1">
      <c r="C310" s="310" t="str">
        <v>GigaEthernet (350Mbps)</v>
      </c>
      <c r="E310" s="471">
        <v>0</v>
      </c>
      <c r="F310" s="471">
        <v>0</v>
      </c>
      <c r="G310" s="471">
        <v>0</v>
      </c>
      <c r="H310" s="471">
        <v>0</v>
      </c>
      <c r="I310" s="471">
        <v>0</v>
      </c>
      <c r="J310" s="471">
        <v>0</v>
      </c>
      <c r="S310" s="310" t="str">
        <v>GigaEthernet (350Mbps)</v>
      </c>
      <c r="U310" s="472">
        <f t="shared" si="180"/>
        <v>0</v>
      </c>
      <c r="V310" s="472">
        <f t="shared" si="181"/>
        <v>0</v>
      </c>
      <c r="W310" s="472">
        <f t="shared" si="182"/>
        <v>0</v>
      </c>
      <c r="X310" s="472">
        <f t="shared" si="183"/>
        <v>0</v>
      </c>
      <c r="Y310" s="472">
        <f t="shared" si="184"/>
        <v>0</v>
      </c>
      <c r="Z310" s="472">
        <f t="shared" si="185"/>
        <v>0</v>
      </c>
      <c r="AI310" s="310" t="str">
        <v>GigaEthernet (350Mbps)</v>
      </c>
      <c r="AK310" s="472">
        <v>0</v>
      </c>
      <c r="AL310" s="472">
        <v>0</v>
      </c>
      <c r="AM310" s="472">
        <v>0</v>
      </c>
      <c r="AN310" s="472">
        <v>0</v>
      </c>
      <c r="AO310" s="472">
        <v>0</v>
      </c>
      <c r="AP310" s="472">
        <v>0</v>
      </c>
    </row>
    <row r="311" spans="3:48" s="299" customFormat="1">
      <c r="C311" s="310" t="str">
        <v>GigaEthernet (400Mbps)</v>
      </c>
      <c r="E311" s="471">
        <v>0</v>
      </c>
      <c r="F311" s="471">
        <v>0</v>
      </c>
      <c r="G311" s="471">
        <v>0</v>
      </c>
      <c r="H311" s="471">
        <v>0</v>
      </c>
      <c r="I311" s="471">
        <v>0</v>
      </c>
      <c r="J311" s="471">
        <v>0</v>
      </c>
      <c r="S311" s="310" t="str">
        <v>GigaEthernet (400Mbps)</v>
      </c>
      <c r="U311" s="472">
        <f t="shared" si="180"/>
        <v>0</v>
      </c>
      <c r="V311" s="472">
        <f t="shared" si="181"/>
        <v>0</v>
      </c>
      <c r="W311" s="472">
        <f t="shared" si="182"/>
        <v>0</v>
      </c>
      <c r="X311" s="472">
        <f t="shared" si="183"/>
        <v>0</v>
      </c>
      <c r="Y311" s="472">
        <f t="shared" si="184"/>
        <v>0</v>
      </c>
      <c r="Z311" s="472">
        <f t="shared" si="185"/>
        <v>0</v>
      </c>
      <c r="AI311" s="310" t="str">
        <v>GigaEthernet (400Mbps)</v>
      </c>
      <c r="AK311" s="472">
        <v>0</v>
      </c>
      <c r="AL311" s="472">
        <v>0</v>
      </c>
      <c r="AM311" s="472">
        <v>0</v>
      </c>
      <c r="AN311" s="472">
        <v>0</v>
      </c>
      <c r="AO311" s="472">
        <v>0</v>
      </c>
      <c r="AP311" s="472">
        <v>0</v>
      </c>
    </row>
    <row r="312" spans="3:48" s="299" customFormat="1">
      <c r="C312" s="310" t="str">
        <v>GigaEthernet (450Mbps)</v>
      </c>
      <c r="E312" s="471">
        <v>0</v>
      </c>
      <c r="F312" s="471">
        <v>0</v>
      </c>
      <c r="G312" s="471">
        <v>0</v>
      </c>
      <c r="H312" s="471">
        <v>0</v>
      </c>
      <c r="I312" s="471">
        <v>0</v>
      </c>
      <c r="J312" s="471">
        <v>0</v>
      </c>
      <c r="S312" s="310" t="str">
        <v>GigaEthernet (450Mbps)</v>
      </c>
      <c r="U312" s="472">
        <f t="shared" si="180"/>
        <v>0</v>
      </c>
      <c r="V312" s="472">
        <f t="shared" si="181"/>
        <v>0</v>
      </c>
      <c r="W312" s="472">
        <f t="shared" si="182"/>
        <v>0</v>
      </c>
      <c r="X312" s="472">
        <f t="shared" si="183"/>
        <v>0</v>
      </c>
      <c r="Y312" s="472">
        <f t="shared" si="184"/>
        <v>0</v>
      </c>
      <c r="Z312" s="472">
        <f t="shared" si="185"/>
        <v>0</v>
      </c>
      <c r="AI312" s="310" t="str">
        <v>GigaEthernet (450Mbps)</v>
      </c>
      <c r="AK312" s="472">
        <v>0</v>
      </c>
      <c r="AL312" s="472">
        <v>0</v>
      </c>
      <c r="AM312" s="472">
        <v>0</v>
      </c>
      <c r="AN312" s="472">
        <v>0</v>
      </c>
      <c r="AO312" s="472">
        <v>0</v>
      </c>
      <c r="AP312" s="472">
        <v>0</v>
      </c>
    </row>
    <row r="313" spans="3:48" s="299" customFormat="1">
      <c r="C313" s="310" t="str">
        <v>GigaEthernet (500Mbps)</v>
      </c>
      <c r="E313" s="471">
        <v>0</v>
      </c>
      <c r="F313" s="471">
        <v>0</v>
      </c>
      <c r="G313" s="471">
        <v>0</v>
      </c>
      <c r="H313" s="471">
        <v>0</v>
      </c>
      <c r="I313" s="471">
        <v>0</v>
      </c>
      <c r="J313" s="471">
        <v>0</v>
      </c>
      <c r="S313" s="310" t="str">
        <v>GigaEthernet (500Mbps)</v>
      </c>
      <c r="U313" s="472">
        <f t="shared" si="180"/>
        <v>0</v>
      </c>
      <c r="V313" s="472">
        <f t="shared" si="181"/>
        <v>0</v>
      </c>
      <c r="W313" s="472">
        <f t="shared" si="182"/>
        <v>0</v>
      </c>
      <c r="X313" s="472">
        <f t="shared" si="183"/>
        <v>0</v>
      </c>
      <c r="Y313" s="472">
        <f t="shared" si="184"/>
        <v>0</v>
      </c>
      <c r="Z313" s="472">
        <f t="shared" si="185"/>
        <v>0</v>
      </c>
      <c r="AI313" s="310" t="str">
        <v>GigaEthernet (500Mbps)</v>
      </c>
      <c r="AK313" s="472">
        <v>0</v>
      </c>
      <c r="AL313" s="472">
        <v>0</v>
      </c>
      <c r="AM313" s="472">
        <v>0</v>
      </c>
      <c r="AN313" s="472">
        <v>0</v>
      </c>
      <c r="AO313" s="472">
        <v>0</v>
      </c>
      <c r="AP313" s="472">
        <v>0</v>
      </c>
    </row>
    <row r="314" spans="3:48" s="299" customFormat="1">
      <c r="C314" s="310" t="str">
        <v>GigaEthernet (550Mbps)</v>
      </c>
      <c r="E314" s="471">
        <v>0</v>
      </c>
      <c r="F314" s="471">
        <v>0</v>
      </c>
      <c r="G314" s="471">
        <v>0</v>
      </c>
      <c r="H314" s="471">
        <v>0</v>
      </c>
      <c r="I314" s="471">
        <v>0</v>
      </c>
      <c r="J314" s="471">
        <v>0</v>
      </c>
      <c r="S314" s="310" t="str">
        <v>GigaEthernet (550Mbps)</v>
      </c>
      <c r="U314" s="472">
        <f t="shared" si="180"/>
        <v>0</v>
      </c>
      <c r="V314" s="472">
        <f t="shared" si="181"/>
        <v>0</v>
      </c>
      <c r="W314" s="472">
        <f t="shared" si="182"/>
        <v>0</v>
      </c>
      <c r="X314" s="472">
        <f t="shared" si="183"/>
        <v>0</v>
      </c>
      <c r="Y314" s="472">
        <f t="shared" si="184"/>
        <v>0</v>
      </c>
      <c r="Z314" s="472">
        <f t="shared" si="185"/>
        <v>0</v>
      </c>
      <c r="AI314" s="310" t="str">
        <v>GigaEthernet (550Mbps)</v>
      </c>
      <c r="AK314" s="472">
        <v>0</v>
      </c>
      <c r="AL314" s="472">
        <v>0</v>
      </c>
      <c r="AM314" s="472">
        <v>0</v>
      </c>
      <c r="AN314" s="472">
        <v>0</v>
      </c>
      <c r="AO314" s="472">
        <v>0</v>
      </c>
      <c r="AP314" s="472">
        <v>0</v>
      </c>
    </row>
    <row r="315" spans="3:48" s="299" customFormat="1">
      <c r="C315" s="310" t="str">
        <v>GigaEthernet (600Mbps)</v>
      </c>
      <c r="E315" s="471">
        <v>0</v>
      </c>
      <c r="F315" s="471">
        <v>0</v>
      </c>
      <c r="G315" s="471">
        <v>0</v>
      </c>
      <c r="H315" s="471">
        <v>0</v>
      </c>
      <c r="I315" s="471">
        <v>0</v>
      </c>
      <c r="J315" s="471">
        <v>0</v>
      </c>
      <c r="S315" s="310" t="str">
        <v>GigaEthernet (600Mbps)</v>
      </c>
      <c r="U315" s="472">
        <f t="shared" si="180"/>
        <v>0</v>
      </c>
      <c r="V315" s="472">
        <f t="shared" si="181"/>
        <v>0</v>
      </c>
      <c r="W315" s="472">
        <f t="shared" si="182"/>
        <v>0</v>
      </c>
      <c r="X315" s="472">
        <f t="shared" si="183"/>
        <v>0</v>
      </c>
      <c r="Y315" s="472">
        <f t="shared" si="184"/>
        <v>0</v>
      </c>
      <c r="Z315" s="472">
        <f t="shared" si="185"/>
        <v>0</v>
      </c>
      <c r="AI315" s="310" t="str">
        <v>GigaEthernet (600Mbps)</v>
      </c>
      <c r="AK315" s="472">
        <v>0</v>
      </c>
      <c r="AL315" s="472">
        <v>0</v>
      </c>
      <c r="AM315" s="472">
        <v>0</v>
      </c>
      <c r="AN315" s="472">
        <v>0</v>
      </c>
      <c r="AO315" s="472">
        <v>0</v>
      </c>
      <c r="AP315" s="472">
        <v>0</v>
      </c>
    </row>
    <row r="316" spans="3:48" s="299" customFormat="1">
      <c r="C316" s="310" t="str">
        <v>GigaEthernet (750Mbps)</v>
      </c>
      <c r="E316" s="471">
        <v>0</v>
      </c>
      <c r="F316" s="471">
        <v>0</v>
      </c>
      <c r="G316" s="471">
        <v>0</v>
      </c>
      <c r="H316" s="471">
        <v>0</v>
      </c>
      <c r="I316" s="471">
        <v>0</v>
      </c>
      <c r="J316" s="471">
        <v>0</v>
      </c>
      <c r="S316" s="310" t="str">
        <v>GigaEthernet (750Mbps)</v>
      </c>
      <c r="U316" s="472">
        <f t="shared" si="180"/>
        <v>0</v>
      </c>
      <c r="V316" s="472">
        <f t="shared" si="181"/>
        <v>0</v>
      </c>
      <c r="W316" s="472">
        <f t="shared" si="182"/>
        <v>0</v>
      </c>
      <c r="X316" s="472">
        <f t="shared" si="183"/>
        <v>0</v>
      </c>
      <c r="Y316" s="472">
        <f t="shared" si="184"/>
        <v>0</v>
      </c>
      <c r="Z316" s="472">
        <f t="shared" si="185"/>
        <v>0</v>
      </c>
      <c r="AI316" s="310" t="str">
        <v>GigaEthernet (750Mbps)</v>
      </c>
      <c r="AK316" s="472">
        <v>0</v>
      </c>
      <c r="AL316" s="472">
        <v>0</v>
      </c>
      <c r="AM316" s="472">
        <v>0</v>
      </c>
      <c r="AN316" s="472">
        <v>0</v>
      </c>
      <c r="AO316" s="472">
        <v>0</v>
      </c>
      <c r="AP316" s="472">
        <v>0</v>
      </c>
    </row>
    <row r="317" spans="3:48" s="299" customFormat="1">
      <c r="C317" s="310" t="str">
        <v>GigaEthernet (1 Gbps)</v>
      </c>
      <c r="E317" s="471">
        <v>0</v>
      </c>
      <c r="F317" s="471">
        <v>0</v>
      </c>
      <c r="G317" s="471">
        <v>0</v>
      </c>
      <c r="H317" s="471">
        <v>0</v>
      </c>
      <c r="I317" s="471">
        <v>0</v>
      </c>
      <c r="J317" s="471">
        <v>0</v>
      </c>
      <c r="S317" s="310" t="str">
        <v>GigaEthernet (1 Gbps)</v>
      </c>
      <c r="U317" s="472">
        <f t="shared" si="180"/>
        <v>0</v>
      </c>
      <c r="V317" s="472">
        <f t="shared" si="181"/>
        <v>0</v>
      </c>
      <c r="W317" s="472">
        <f t="shared" si="182"/>
        <v>0</v>
      </c>
      <c r="X317" s="472">
        <f t="shared" si="183"/>
        <v>0</v>
      </c>
      <c r="Y317" s="472">
        <f t="shared" si="184"/>
        <v>0</v>
      </c>
      <c r="Z317" s="472">
        <f t="shared" si="185"/>
        <v>0</v>
      </c>
      <c r="AI317" s="310" t="str">
        <v>GigaEthernet (1 Gbps)</v>
      </c>
      <c r="AK317" s="472">
        <v>0</v>
      </c>
      <c r="AL317" s="472">
        <v>0</v>
      </c>
      <c r="AM317" s="472">
        <v>0</v>
      </c>
      <c r="AN317" s="472">
        <v>0</v>
      </c>
      <c r="AO317" s="472">
        <v>0</v>
      </c>
      <c r="AP317" s="472">
        <v>0</v>
      </c>
    </row>
    <row r="318" spans="3:48">
      <c r="K318" s="38" t="s">
        <v>581</v>
      </c>
      <c r="AA318" s="38" t="s">
        <v>588</v>
      </c>
      <c r="AH318" s="299"/>
      <c r="AI318" s="299"/>
      <c r="AJ318" s="299"/>
      <c r="AK318" s="299"/>
      <c r="AL318" s="299"/>
      <c r="AM318" s="299"/>
      <c r="AN318" s="299"/>
      <c r="AO318" s="299"/>
      <c r="AP318" s="299"/>
      <c r="AQ318" s="38" t="s">
        <v>595</v>
      </c>
      <c r="AR318" s="299"/>
      <c r="AS318" s="299"/>
      <c r="AT318" s="299"/>
      <c r="AU318" s="299"/>
      <c r="AV318" s="299"/>
    </row>
    <row r="319" spans="3:48">
      <c r="AH319" s="299"/>
      <c r="AI319" s="299"/>
      <c r="AJ319" s="299"/>
      <c r="AK319" s="299"/>
      <c r="AL319" s="299"/>
      <c r="AM319" s="299"/>
      <c r="AN319" s="299"/>
      <c r="AO319" s="299"/>
      <c r="AP319" s="299"/>
      <c r="AQ319" s="299"/>
      <c r="AR319" s="299"/>
      <c r="AS319" s="299"/>
      <c r="AT319" s="299"/>
      <c r="AU319" s="299"/>
      <c r="AV319" s="299"/>
    </row>
    <row r="320" spans="3:48">
      <c r="AH320" s="299"/>
      <c r="AI320" s="299"/>
      <c r="AJ320" s="299"/>
      <c r="AK320" s="299"/>
      <c r="AL320" s="299"/>
      <c r="AM320" s="299"/>
      <c r="AN320" s="299"/>
      <c r="AO320" s="299"/>
      <c r="AP320" s="299"/>
      <c r="AQ320" s="299"/>
      <c r="AR320" s="299"/>
      <c r="AS320" s="299"/>
      <c r="AT320" s="299"/>
      <c r="AU320" s="299"/>
      <c r="AV320" s="299"/>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BA738"/>
  <sheetViews>
    <sheetView showGridLines="0" defaultGridColor="0" colorId="22" zoomScaleNormal="100" workbookViewId="0">
      <pane ySplit="2" topLeftCell="A3" activePane="bottomLeft" state="frozen"/>
      <selection pane="bottomLeft" activeCell="G9" sqref="G9"/>
    </sheetView>
  </sheetViews>
  <sheetFormatPr baseColWidth="10" defaultColWidth="12.7109375" defaultRowHeight="12"/>
  <cols>
    <col min="1" max="1" width="6.7109375" customWidth="1"/>
    <col min="6" max="7" width="12.7109375" style="95"/>
    <col min="14" max="14" width="14" bestFit="1" customWidth="1"/>
  </cols>
  <sheetData>
    <row r="1" spans="1:53" s="73" customFormat="1" ht="33.75" customHeight="1">
      <c r="D1" s="146" t="s">
        <v>193</v>
      </c>
      <c r="F1" s="96"/>
      <c r="G1" s="96"/>
      <c r="N1" s="73" t="s">
        <v>20</v>
      </c>
    </row>
    <row r="2" spans="1:53" ht="27.75">
      <c r="D2" s="79" t="s">
        <v>33</v>
      </c>
    </row>
    <row r="3" spans="1:53" s="144" customFormat="1"/>
    <row r="4" spans="1:53" s="143" customFormat="1" ht="20.25" thickBot="1">
      <c r="A4" s="145" t="s">
        <v>192</v>
      </c>
      <c r="B4" s="145"/>
      <c r="E4" s="311" t="s">
        <v>182</v>
      </c>
      <c r="F4" s="311" t="s">
        <v>70</v>
      </c>
      <c r="G4" s="80">
        <v>2013</v>
      </c>
      <c r="H4" s="41" t="s">
        <v>71</v>
      </c>
    </row>
    <row r="5" spans="1:53" ht="21" thickTop="1" thickBot="1">
      <c r="A5" s="77" t="s">
        <v>39</v>
      </c>
      <c r="B5" s="77"/>
      <c r="C5" s="77"/>
      <c r="D5" s="77"/>
      <c r="E5" s="77"/>
      <c r="F5" s="77"/>
      <c r="G5" s="77"/>
      <c r="H5" s="77"/>
      <c r="I5" s="77"/>
      <c r="J5" s="77"/>
      <c r="K5" s="77"/>
      <c r="L5" s="77"/>
      <c r="M5" s="77"/>
      <c r="N5" s="77"/>
      <c r="O5" s="77"/>
      <c r="P5" s="77"/>
      <c r="Q5" s="77"/>
      <c r="R5" s="77"/>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row>
    <row r="6" spans="1:53" ht="12.75" thickTop="1">
      <c r="AZ6" s="299"/>
      <c r="BA6" s="299"/>
    </row>
    <row r="7" spans="1:53" s="299" customFormat="1" ht="17.25" thickBot="1">
      <c r="B7" s="308" t="s">
        <v>479</v>
      </c>
      <c r="C7" s="308"/>
      <c r="D7" s="308"/>
      <c r="E7" s="308"/>
      <c r="S7" s="308" t="s">
        <v>559</v>
      </c>
      <c r="T7" s="308"/>
      <c r="U7" s="308"/>
      <c r="V7" s="308"/>
      <c r="W7" s="308"/>
      <c r="X7" s="308"/>
      <c r="AJ7" s="308" t="s">
        <v>563</v>
      </c>
      <c r="AK7" s="308"/>
      <c r="AL7" s="308"/>
      <c r="AM7" s="308"/>
      <c r="AN7" s="308"/>
      <c r="AO7" s="308"/>
    </row>
    <row r="8" spans="1:53" s="299" customFormat="1" ht="18" thickTop="1" thickBot="1">
      <c r="B8" s="308" t="s">
        <v>480</v>
      </c>
      <c r="C8" s="308"/>
      <c r="D8" s="308"/>
      <c r="E8" s="308"/>
      <c r="F8" s="308"/>
      <c r="G8" s="308"/>
      <c r="H8" s="308"/>
      <c r="I8" s="308"/>
      <c r="J8" s="308"/>
      <c r="K8" s="308"/>
      <c r="L8" s="308"/>
      <c r="M8" s="308"/>
      <c r="N8" s="308"/>
      <c r="O8" s="308"/>
      <c r="P8" s="308"/>
      <c r="Q8" s="308"/>
      <c r="S8" s="308" t="s">
        <v>571</v>
      </c>
      <c r="T8" s="308"/>
      <c r="U8" s="308"/>
      <c r="V8" s="308"/>
      <c r="W8" s="308"/>
      <c r="X8" s="308"/>
      <c r="Y8" s="308"/>
      <c r="Z8" s="308"/>
      <c r="AA8" s="308"/>
      <c r="AB8" s="308"/>
      <c r="AC8" s="308"/>
      <c r="AD8" s="308"/>
      <c r="AE8" s="308"/>
      <c r="AF8" s="308"/>
      <c r="AG8" s="308"/>
      <c r="AH8" s="308"/>
      <c r="AJ8" s="308" t="s">
        <v>567</v>
      </c>
      <c r="AK8" s="308"/>
      <c r="AL8" s="308"/>
      <c r="AM8" s="308"/>
      <c r="AN8" s="308"/>
      <c r="AO8" s="308"/>
      <c r="AP8" s="308"/>
      <c r="AQ8" s="308"/>
      <c r="AR8" s="308"/>
      <c r="AS8" s="308"/>
      <c r="AT8" s="308"/>
      <c r="AU8" s="308"/>
      <c r="AV8" s="308"/>
      <c r="AW8" s="308"/>
      <c r="AX8" s="308"/>
      <c r="AY8" s="308"/>
      <c r="AZ8" s="308"/>
      <c r="BA8" s="308"/>
    </row>
    <row r="9" spans="1:53" s="299" customFormat="1" ht="12.75" thickTop="1"/>
    <row r="10" spans="1:53" s="299" customFormat="1" ht="15">
      <c r="C10" s="332" t="s">
        <v>499</v>
      </c>
      <c r="T10" s="332" t="s">
        <v>499</v>
      </c>
      <c r="AK10" s="332" t="s">
        <v>499</v>
      </c>
    </row>
    <row r="11" spans="1:53" s="299" customFormat="1" ht="15">
      <c r="C11" s="332" t="s">
        <v>498</v>
      </c>
      <c r="T11" s="332" t="s">
        <v>498</v>
      </c>
      <c r="AK11" s="332" t="s">
        <v>498</v>
      </c>
    </row>
    <row r="12" spans="1:53">
      <c r="F12"/>
      <c r="G12"/>
      <c r="S12" s="299"/>
      <c r="T12" s="299"/>
      <c r="U12" s="299"/>
      <c r="V12" s="299"/>
      <c r="W12" s="299"/>
      <c r="X12" s="299"/>
      <c r="Y12" s="299"/>
      <c r="Z12" s="299"/>
      <c r="AA12" s="299"/>
      <c r="AB12" s="299"/>
      <c r="AC12" s="299"/>
      <c r="AD12" s="299"/>
      <c r="AE12" s="299"/>
      <c r="AF12" s="299"/>
      <c r="AG12" s="299"/>
      <c r="AH12" s="299"/>
      <c r="AJ12" s="299"/>
      <c r="AK12" s="299"/>
      <c r="AL12" s="299"/>
      <c r="AM12" s="299"/>
      <c r="AN12" s="299"/>
      <c r="AO12" s="299"/>
      <c r="AP12" s="299"/>
      <c r="AQ12" s="299"/>
      <c r="AR12" s="299"/>
      <c r="AS12" s="299"/>
      <c r="AT12" s="299"/>
      <c r="AU12" s="299"/>
      <c r="AV12" s="299"/>
      <c r="AW12" s="299"/>
      <c r="AX12" s="299"/>
      <c r="AY12" s="299"/>
    </row>
    <row r="13" spans="1:53" s="299" customFormat="1">
      <c r="C13" s="326" t="s">
        <v>442</v>
      </c>
      <c r="D13" s="326">
        <f t="array" ref="D13:O13">TRANSPOSE(Years)</f>
        <v>2008</v>
      </c>
      <c r="E13" s="326">
        <v>2009</v>
      </c>
      <c r="F13" s="326">
        <v>2010</v>
      </c>
      <c r="G13" s="326">
        <v>2011</v>
      </c>
      <c r="H13" s="326">
        <v>2012</v>
      </c>
      <c r="I13" s="326">
        <v>2013</v>
      </c>
      <c r="J13" s="326">
        <v>2014</v>
      </c>
      <c r="K13" s="326">
        <v>2015</v>
      </c>
      <c r="L13" s="326">
        <v>2016</v>
      </c>
      <c r="M13" s="326">
        <v>2017</v>
      </c>
      <c r="N13" s="326">
        <v>2018</v>
      </c>
      <c r="O13" s="326">
        <v>2019</v>
      </c>
      <c r="Q13"/>
      <c r="T13" s="338" t="s">
        <v>442</v>
      </c>
      <c r="U13" s="338">
        <f t="array" ref="U13:AF13">TRANSPOSE(Years)</f>
        <v>2008</v>
      </c>
      <c r="V13" s="338">
        <v>2009</v>
      </c>
      <c r="W13" s="338">
        <v>2010</v>
      </c>
      <c r="X13" s="338">
        <v>2011</v>
      </c>
      <c r="Y13" s="338">
        <v>2012</v>
      </c>
      <c r="Z13" s="338">
        <v>2013</v>
      </c>
      <c r="AA13" s="338">
        <v>2014</v>
      </c>
      <c r="AB13" s="338">
        <v>2015</v>
      </c>
      <c r="AC13" s="338">
        <v>2016</v>
      </c>
      <c r="AD13" s="338">
        <v>2017</v>
      </c>
      <c r="AE13" s="338">
        <v>2018</v>
      </c>
      <c r="AF13" s="338">
        <v>2019</v>
      </c>
      <c r="AK13" s="338" t="s">
        <v>442</v>
      </c>
      <c r="AL13" s="338">
        <f t="array" ref="AL13:AW13">TRANSPOSE(Years)</f>
        <v>2008</v>
      </c>
      <c r="AM13" s="338">
        <v>2009</v>
      </c>
      <c r="AN13" s="338">
        <v>2010</v>
      </c>
      <c r="AO13" s="338">
        <v>2011</v>
      </c>
      <c r="AP13" s="338">
        <v>2012</v>
      </c>
      <c r="AQ13" s="338">
        <v>2013</v>
      </c>
      <c r="AR13" s="338">
        <v>2014</v>
      </c>
      <c r="AS13" s="338">
        <v>2015</v>
      </c>
      <c r="AT13" s="338">
        <v>2016</v>
      </c>
      <c r="AU13" s="338">
        <v>2017</v>
      </c>
      <c r="AV13" s="338">
        <v>2018</v>
      </c>
      <c r="AW13" s="338">
        <v>2019</v>
      </c>
    </row>
    <row r="14" spans="1:53" s="299" customFormat="1">
      <c r="C14" s="310" t="str">
        <f t="array" ref="C14:C51">LL.list</f>
        <v>64 kbps</v>
      </c>
      <c r="E14" s="335">
        <f t="array" ref="E14:J51">Local.LL.2009.2014.retail</f>
        <v>8490.64</v>
      </c>
      <c r="F14" s="335">
        <v>9825.32</v>
      </c>
      <c r="G14" s="335">
        <v>8947.2799999999988</v>
      </c>
      <c r="H14" s="335">
        <v>10213.150000000001</v>
      </c>
      <c r="I14" s="335">
        <v>7292.3000000000011</v>
      </c>
      <c r="J14" s="335">
        <v>10281.32</v>
      </c>
      <c r="K14" s="473"/>
      <c r="L14" s="473"/>
      <c r="M14" s="473"/>
      <c r="N14" s="473"/>
      <c r="O14" s="473"/>
      <c r="T14" s="310" t="str">
        <f t="array" ref="T14:T51">LL.list</f>
        <v>64 kbps</v>
      </c>
      <c r="V14" s="335">
        <f t="array" ref="V14:AA51">Local.LL.2009.2014.wholesale</f>
        <v>8492</v>
      </c>
      <c r="W14" s="335">
        <v>9826</v>
      </c>
      <c r="X14" s="335">
        <v>8948</v>
      </c>
      <c r="Y14" s="335">
        <v>10214</v>
      </c>
      <c r="Z14" s="335">
        <v>7294</v>
      </c>
      <c r="AA14" s="335">
        <v>10282</v>
      </c>
      <c r="AB14" s="473"/>
      <c r="AC14" s="473"/>
      <c r="AD14" s="473"/>
      <c r="AE14" s="473"/>
      <c r="AF14" s="473"/>
      <c r="AK14" s="310" t="str">
        <f t="array" ref="AK14:AK51">LL.list</f>
        <v>64 kbps</v>
      </c>
      <c r="AM14" s="335">
        <f t="array" ref="AM14:AR51">Local.LL.2009.2014.total</f>
        <v>16982.64</v>
      </c>
      <c r="AN14" s="335">
        <v>19651.32</v>
      </c>
      <c r="AO14" s="335">
        <v>17895.28</v>
      </c>
      <c r="AP14" s="335">
        <v>20427.150000000001</v>
      </c>
      <c r="AQ14" s="335">
        <v>14586.300000000001</v>
      </c>
      <c r="AR14" s="335">
        <v>20563.32</v>
      </c>
      <c r="AS14" s="473"/>
      <c r="AT14" s="473"/>
      <c r="AU14" s="473"/>
      <c r="AV14" s="473"/>
      <c r="AW14" s="473"/>
    </row>
    <row r="15" spans="1:53" s="299" customFormat="1">
      <c r="C15" s="310" t="str">
        <v>128 kbps</v>
      </c>
      <c r="E15" s="335">
        <v>5622.0400000000009</v>
      </c>
      <c r="F15" s="335">
        <v>4953.8000000000011</v>
      </c>
      <c r="G15" s="335">
        <v>4508.42</v>
      </c>
      <c r="H15" s="335">
        <v>5692.82</v>
      </c>
      <c r="I15" s="335">
        <v>3146.1400000000003</v>
      </c>
      <c r="J15" s="335">
        <v>3351.1000000000004</v>
      </c>
      <c r="K15" s="473"/>
      <c r="L15" s="473"/>
      <c r="M15" s="473"/>
      <c r="N15" s="473"/>
      <c r="O15" s="473"/>
      <c r="T15" s="310" t="str">
        <v>128 kbps</v>
      </c>
      <c r="V15" s="335">
        <v>5624</v>
      </c>
      <c r="W15" s="335">
        <v>4954</v>
      </c>
      <c r="X15" s="335">
        <v>4509</v>
      </c>
      <c r="Y15" s="335">
        <v>5694</v>
      </c>
      <c r="Z15" s="335">
        <v>3147</v>
      </c>
      <c r="AA15" s="335">
        <v>3353</v>
      </c>
      <c r="AB15" s="473"/>
      <c r="AC15" s="473"/>
      <c r="AD15" s="473"/>
      <c r="AE15" s="473"/>
      <c r="AF15" s="473"/>
      <c r="AK15" s="310" t="str">
        <v>128 kbps</v>
      </c>
      <c r="AM15" s="335">
        <v>11246.04</v>
      </c>
      <c r="AN15" s="335">
        <v>9907.8000000000011</v>
      </c>
      <c r="AO15" s="335">
        <v>9017.42</v>
      </c>
      <c r="AP15" s="335">
        <v>11386.82</v>
      </c>
      <c r="AQ15" s="335">
        <v>6293.14</v>
      </c>
      <c r="AR15" s="335">
        <v>6704.1</v>
      </c>
      <c r="AS15" s="473"/>
      <c r="AT15" s="473"/>
      <c r="AU15" s="473"/>
      <c r="AV15" s="473"/>
      <c r="AW15" s="473"/>
    </row>
    <row r="16" spans="1:53" s="299" customFormat="1">
      <c r="C16" s="310" t="str">
        <v>192 kbps</v>
      </c>
      <c r="E16" s="335">
        <v>795.44</v>
      </c>
      <c r="F16" s="335">
        <v>1049.8000000000002</v>
      </c>
      <c r="G16" s="335">
        <v>1025.08</v>
      </c>
      <c r="H16" s="335">
        <v>821.22</v>
      </c>
      <c r="I16" s="335">
        <v>760.1099999999999</v>
      </c>
      <c r="J16" s="335">
        <v>430.93999999999994</v>
      </c>
      <c r="K16" s="473"/>
      <c r="L16" s="473"/>
      <c r="M16" s="473"/>
      <c r="N16" s="473"/>
      <c r="O16" s="473"/>
      <c r="T16" s="310" t="str">
        <v>192 kbps</v>
      </c>
      <c r="V16" s="335">
        <v>796</v>
      </c>
      <c r="W16" s="335">
        <v>1051</v>
      </c>
      <c r="X16" s="335">
        <v>1027</v>
      </c>
      <c r="Y16" s="335">
        <v>822</v>
      </c>
      <c r="Z16" s="335">
        <v>762</v>
      </c>
      <c r="AA16" s="335">
        <v>431</v>
      </c>
      <c r="AB16" s="473"/>
      <c r="AC16" s="473"/>
      <c r="AD16" s="473"/>
      <c r="AE16" s="473"/>
      <c r="AF16" s="473"/>
      <c r="AK16" s="310" t="str">
        <v>192 kbps</v>
      </c>
      <c r="AM16" s="335">
        <v>1591.44</v>
      </c>
      <c r="AN16" s="335">
        <v>2100.8000000000002</v>
      </c>
      <c r="AO16" s="335">
        <v>2052.08</v>
      </c>
      <c r="AP16" s="335">
        <v>1643.22</v>
      </c>
      <c r="AQ16" s="335">
        <v>1522.11</v>
      </c>
      <c r="AR16" s="335">
        <v>861.93999999999994</v>
      </c>
      <c r="AS16" s="473"/>
      <c r="AT16" s="473"/>
      <c r="AU16" s="473"/>
      <c r="AV16" s="473"/>
      <c r="AW16" s="473"/>
    </row>
    <row r="17" spans="3:49" s="299" customFormat="1">
      <c r="C17" s="310" t="str">
        <v>256 kbps</v>
      </c>
      <c r="E17" s="335">
        <v>2820.0899999999992</v>
      </c>
      <c r="F17" s="335">
        <v>2230.13</v>
      </c>
      <c r="G17" s="335">
        <v>2855.6600000000008</v>
      </c>
      <c r="H17" s="335">
        <v>3079.08</v>
      </c>
      <c r="I17" s="335">
        <v>2125.6000000000004</v>
      </c>
      <c r="J17" s="335">
        <v>1899.0500000000002</v>
      </c>
      <c r="K17" s="473"/>
      <c r="L17" s="473"/>
      <c r="M17" s="473"/>
      <c r="N17" s="473"/>
      <c r="O17" s="473"/>
      <c r="T17" s="310" t="str">
        <v>256 kbps</v>
      </c>
      <c r="V17" s="335">
        <v>2822</v>
      </c>
      <c r="W17" s="335">
        <v>2231</v>
      </c>
      <c r="X17" s="335">
        <v>2856</v>
      </c>
      <c r="Y17" s="335">
        <v>3080</v>
      </c>
      <c r="Z17" s="335">
        <v>2126</v>
      </c>
      <c r="AA17" s="335">
        <v>1900</v>
      </c>
      <c r="AB17" s="473"/>
      <c r="AC17" s="473"/>
      <c r="AD17" s="473"/>
      <c r="AE17" s="473"/>
      <c r="AF17" s="473"/>
      <c r="AK17" s="310" t="str">
        <v>256 kbps</v>
      </c>
      <c r="AM17" s="335">
        <v>5642.0899999999992</v>
      </c>
      <c r="AN17" s="335">
        <v>4461.13</v>
      </c>
      <c r="AO17" s="335">
        <v>5711.6600000000008</v>
      </c>
      <c r="AP17" s="335">
        <v>6159.08</v>
      </c>
      <c r="AQ17" s="335">
        <v>4251.6000000000004</v>
      </c>
      <c r="AR17" s="335">
        <v>3799.05</v>
      </c>
      <c r="AS17" s="473"/>
      <c r="AT17" s="473"/>
      <c r="AU17" s="473"/>
      <c r="AV17" s="473"/>
      <c r="AW17" s="473"/>
    </row>
    <row r="18" spans="3:49" s="299" customFormat="1">
      <c r="C18" s="310" t="str">
        <v>384 kbps</v>
      </c>
      <c r="E18" s="335">
        <v>1341.98</v>
      </c>
      <c r="F18" s="335">
        <v>1565.8200000000002</v>
      </c>
      <c r="G18" s="335">
        <v>968.08000000000015</v>
      </c>
      <c r="H18" s="335">
        <v>1205.2800000000002</v>
      </c>
      <c r="I18" s="335">
        <v>903.8</v>
      </c>
      <c r="J18" s="335">
        <v>892.7</v>
      </c>
      <c r="K18" s="473"/>
      <c r="L18" s="473"/>
      <c r="M18" s="473"/>
      <c r="N18" s="473"/>
      <c r="O18" s="473"/>
      <c r="T18" s="310" t="str">
        <v>384 kbps</v>
      </c>
      <c r="V18" s="335">
        <v>1342</v>
      </c>
      <c r="W18" s="335">
        <v>1566</v>
      </c>
      <c r="X18" s="335">
        <v>969</v>
      </c>
      <c r="Y18" s="335">
        <v>1206</v>
      </c>
      <c r="Z18" s="335">
        <v>905</v>
      </c>
      <c r="AA18" s="335">
        <v>894</v>
      </c>
      <c r="AB18" s="473"/>
      <c r="AC18" s="473"/>
      <c r="AD18" s="473"/>
      <c r="AE18" s="473"/>
      <c r="AF18" s="473"/>
      <c r="AK18" s="310" t="str">
        <v>384 kbps</v>
      </c>
      <c r="AM18" s="335">
        <v>2683.98</v>
      </c>
      <c r="AN18" s="335">
        <v>3131.82</v>
      </c>
      <c r="AO18" s="335">
        <v>1937.0800000000002</v>
      </c>
      <c r="AP18" s="335">
        <v>2411.2800000000002</v>
      </c>
      <c r="AQ18" s="335">
        <v>1808.8</v>
      </c>
      <c r="AR18" s="335">
        <v>1786.7</v>
      </c>
      <c r="AS18" s="473"/>
      <c r="AT18" s="473"/>
      <c r="AU18" s="473"/>
      <c r="AV18" s="473"/>
      <c r="AW18" s="473"/>
    </row>
    <row r="19" spans="3:49" s="299" customFormat="1">
      <c r="C19" s="310" t="str">
        <v>512 kbps</v>
      </c>
      <c r="E19" s="335">
        <v>2071.96</v>
      </c>
      <c r="F19" s="335">
        <v>2228.75</v>
      </c>
      <c r="G19" s="335">
        <v>1678.08</v>
      </c>
      <c r="H19" s="335">
        <v>1936.3000000000002</v>
      </c>
      <c r="I19" s="335">
        <v>1278</v>
      </c>
      <c r="J19" s="335">
        <v>1096.3600000000001</v>
      </c>
      <c r="K19" s="473"/>
      <c r="L19" s="473"/>
      <c r="M19" s="473"/>
      <c r="N19" s="473"/>
      <c r="O19" s="473"/>
      <c r="T19" s="310" t="str">
        <v>512 kbps</v>
      </c>
      <c r="V19" s="335">
        <v>2072</v>
      </c>
      <c r="W19" s="335">
        <v>2230</v>
      </c>
      <c r="X19" s="335">
        <v>1680</v>
      </c>
      <c r="Y19" s="335">
        <v>1938</v>
      </c>
      <c r="Z19" s="335">
        <v>1278</v>
      </c>
      <c r="AA19" s="335">
        <v>1097</v>
      </c>
      <c r="AB19" s="473"/>
      <c r="AC19" s="473"/>
      <c r="AD19" s="473"/>
      <c r="AE19" s="473"/>
      <c r="AF19" s="473"/>
      <c r="AK19" s="310" t="str">
        <v>512 kbps</v>
      </c>
      <c r="AM19" s="335">
        <v>4143.96</v>
      </c>
      <c r="AN19" s="335">
        <v>4458.75</v>
      </c>
      <c r="AO19" s="335">
        <v>3358.08</v>
      </c>
      <c r="AP19" s="335">
        <v>3874.3</v>
      </c>
      <c r="AQ19" s="335">
        <v>2556</v>
      </c>
      <c r="AR19" s="335">
        <v>2193.36</v>
      </c>
      <c r="AS19" s="473"/>
      <c r="AT19" s="473"/>
      <c r="AU19" s="473"/>
      <c r="AV19" s="473"/>
      <c r="AW19" s="473"/>
    </row>
    <row r="20" spans="3:49" s="299" customFormat="1">
      <c r="C20" s="310" t="str">
        <v>768 kbps</v>
      </c>
      <c r="E20" s="335">
        <v>480.5</v>
      </c>
      <c r="F20" s="335">
        <v>408.5</v>
      </c>
      <c r="G20" s="335">
        <v>351.5</v>
      </c>
      <c r="H20" s="335">
        <v>396.43999999999994</v>
      </c>
      <c r="I20" s="335">
        <v>215.97000000000003</v>
      </c>
      <c r="J20" s="335">
        <v>183.5</v>
      </c>
      <c r="K20" s="473"/>
      <c r="L20" s="473"/>
      <c r="M20" s="473"/>
      <c r="N20" s="473"/>
      <c r="O20" s="473"/>
      <c r="T20" s="310" t="str">
        <v>768 kbps</v>
      </c>
      <c r="V20" s="335">
        <v>481</v>
      </c>
      <c r="W20" s="335">
        <v>409</v>
      </c>
      <c r="X20" s="335">
        <v>352</v>
      </c>
      <c r="Y20" s="335">
        <v>397</v>
      </c>
      <c r="Z20" s="335">
        <v>216</v>
      </c>
      <c r="AA20" s="335">
        <v>184</v>
      </c>
      <c r="AB20" s="473"/>
      <c r="AC20" s="473"/>
      <c r="AD20" s="473"/>
      <c r="AE20" s="473"/>
      <c r="AF20" s="473"/>
      <c r="AK20" s="310" t="str">
        <v>768 kbps</v>
      </c>
      <c r="AM20" s="335">
        <v>961.5</v>
      </c>
      <c r="AN20" s="335">
        <v>817.5</v>
      </c>
      <c r="AO20" s="335">
        <v>703.5</v>
      </c>
      <c r="AP20" s="335">
        <v>793.43999999999994</v>
      </c>
      <c r="AQ20" s="335">
        <v>431.97</v>
      </c>
      <c r="AR20" s="335">
        <v>367.5</v>
      </c>
      <c r="AS20" s="473"/>
      <c r="AT20" s="473"/>
      <c r="AU20" s="473"/>
      <c r="AV20" s="473"/>
      <c r="AW20" s="473"/>
    </row>
    <row r="21" spans="3:49" s="299" customFormat="1">
      <c r="C21" s="310" t="str">
        <v>1024 kbps</v>
      </c>
      <c r="E21" s="335">
        <v>1118.75</v>
      </c>
      <c r="F21" s="335">
        <v>539.72</v>
      </c>
      <c r="G21" s="335">
        <v>514.28</v>
      </c>
      <c r="H21" s="335">
        <v>450</v>
      </c>
      <c r="I21" s="335">
        <v>321.27999999999997</v>
      </c>
      <c r="J21" s="335">
        <v>300.20000000000005</v>
      </c>
      <c r="K21" s="473"/>
      <c r="L21" s="473"/>
      <c r="M21" s="473"/>
      <c r="N21" s="473"/>
      <c r="O21" s="473"/>
      <c r="T21" s="310" t="str">
        <v>1024 kbps</v>
      </c>
      <c r="V21" s="335">
        <v>1120</v>
      </c>
      <c r="W21" s="335">
        <v>541</v>
      </c>
      <c r="X21" s="335">
        <v>516</v>
      </c>
      <c r="Y21" s="335">
        <v>451</v>
      </c>
      <c r="Z21" s="335">
        <v>322</v>
      </c>
      <c r="AA21" s="335">
        <v>301</v>
      </c>
      <c r="AB21" s="473"/>
      <c r="AC21" s="473"/>
      <c r="AD21" s="473"/>
      <c r="AE21" s="473"/>
      <c r="AF21" s="473"/>
      <c r="AK21" s="310" t="str">
        <v>1024 kbps</v>
      </c>
      <c r="AM21" s="335">
        <v>2238.75</v>
      </c>
      <c r="AN21" s="335">
        <v>1080.72</v>
      </c>
      <c r="AO21" s="335">
        <v>1030.28</v>
      </c>
      <c r="AP21" s="335">
        <v>901</v>
      </c>
      <c r="AQ21" s="335">
        <v>643.28</v>
      </c>
      <c r="AR21" s="335">
        <v>601.20000000000005</v>
      </c>
      <c r="AS21" s="473"/>
      <c r="AT21" s="473"/>
      <c r="AU21" s="473"/>
      <c r="AV21" s="473"/>
      <c r="AW21" s="473"/>
    </row>
    <row r="22" spans="3:49" s="299" customFormat="1">
      <c r="C22" s="331" t="str">
        <v>E1 (2.04 Mbps)</v>
      </c>
      <c r="E22" s="335">
        <v>631.19000000000051</v>
      </c>
      <c r="F22" s="335">
        <v>1107.989999999998</v>
      </c>
      <c r="G22" s="335">
        <v>1359.3400000000038</v>
      </c>
      <c r="H22" s="335">
        <v>1189.2000000000007</v>
      </c>
      <c r="I22" s="335">
        <v>1328.3100000000013</v>
      </c>
      <c r="J22" s="335">
        <v>1440.0299999999988</v>
      </c>
      <c r="K22" s="473"/>
      <c r="L22" s="473"/>
      <c r="M22" s="473"/>
      <c r="N22" s="473"/>
      <c r="O22" s="473"/>
      <c r="T22" s="331" t="str">
        <v>E1 (2.04 Mbps)</v>
      </c>
      <c r="V22" s="335">
        <v>12004</v>
      </c>
      <c r="W22" s="335">
        <v>21058</v>
      </c>
      <c r="X22" s="335">
        <v>25829</v>
      </c>
      <c r="Y22" s="335">
        <v>22614</v>
      </c>
      <c r="Z22" s="335">
        <v>25239</v>
      </c>
      <c r="AA22" s="335">
        <v>27366</v>
      </c>
      <c r="AB22" s="473"/>
      <c r="AC22" s="473"/>
      <c r="AD22" s="473"/>
      <c r="AE22" s="473"/>
      <c r="AF22" s="473"/>
      <c r="AK22" s="331" t="str">
        <v>E1 (2.04 Mbps)</v>
      </c>
      <c r="AM22" s="335">
        <v>12635.19</v>
      </c>
      <c r="AN22" s="335">
        <v>22165.989999999998</v>
      </c>
      <c r="AO22" s="335">
        <v>27188.340000000004</v>
      </c>
      <c r="AP22" s="335">
        <v>23803.200000000001</v>
      </c>
      <c r="AQ22" s="335">
        <v>26567.31</v>
      </c>
      <c r="AR22" s="335">
        <v>28806.03</v>
      </c>
      <c r="AS22" s="473"/>
      <c r="AT22" s="473"/>
      <c r="AU22" s="473"/>
      <c r="AV22" s="473"/>
      <c r="AW22" s="473"/>
    </row>
    <row r="23" spans="3:49" s="299" customFormat="1">
      <c r="C23" s="331" t="str">
        <v>E2 *</v>
      </c>
      <c r="E23" s="335">
        <v>0</v>
      </c>
      <c r="F23" s="335">
        <v>0</v>
      </c>
      <c r="G23" s="335">
        <v>0</v>
      </c>
      <c r="H23" s="335">
        <v>0</v>
      </c>
      <c r="I23" s="335">
        <v>0</v>
      </c>
      <c r="J23" s="335">
        <v>0</v>
      </c>
      <c r="K23" s="473"/>
      <c r="L23" s="473"/>
      <c r="M23" s="473"/>
      <c r="N23" s="473"/>
      <c r="O23" s="473"/>
      <c r="T23" s="331" t="str">
        <v>E2 *</v>
      </c>
      <c r="V23" s="335">
        <v>0</v>
      </c>
      <c r="W23" s="335">
        <v>0</v>
      </c>
      <c r="X23" s="335">
        <v>0</v>
      </c>
      <c r="Y23" s="335">
        <v>0</v>
      </c>
      <c r="Z23" s="335">
        <v>0</v>
      </c>
      <c r="AA23" s="335">
        <v>0</v>
      </c>
      <c r="AB23" s="473"/>
      <c r="AC23" s="473"/>
      <c r="AD23" s="473"/>
      <c r="AE23" s="473"/>
      <c r="AF23" s="473"/>
      <c r="AK23" s="331" t="str">
        <v>E2 *</v>
      </c>
      <c r="AM23" s="335">
        <v>0</v>
      </c>
      <c r="AN23" s="335">
        <v>0</v>
      </c>
      <c r="AO23" s="335">
        <v>0</v>
      </c>
      <c r="AP23" s="335">
        <v>0</v>
      </c>
      <c r="AQ23" s="335">
        <v>0</v>
      </c>
      <c r="AR23" s="335">
        <v>0</v>
      </c>
      <c r="AS23" s="473"/>
      <c r="AT23" s="473"/>
      <c r="AU23" s="473"/>
      <c r="AV23" s="473"/>
      <c r="AW23" s="473"/>
    </row>
    <row r="24" spans="3:49" s="299" customFormat="1">
      <c r="C24" s="331" t="str">
        <v>E3 (34 Mbps)</v>
      </c>
      <c r="E24" s="335">
        <v>172.5</v>
      </c>
      <c r="F24" s="335">
        <v>194.71999999999997</v>
      </c>
      <c r="G24" s="335">
        <v>174.76</v>
      </c>
      <c r="H24" s="335">
        <v>213.09000000000003</v>
      </c>
      <c r="I24" s="335">
        <v>176.34000000000003</v>
      </c>
      <c r="J24" s="335">
        <v>218.75</v>
      </c>
      <c r="K24" s="473"/>
      <c r="L24" s="473"/>
      <c r="M24" s="473"/>
      <c r="N24" s="473"/>
      <c r="O24" s="473"/>
      <c r="T24" s="331" t="str">
        <v>E3 (34 Mbps)</v>
      </c>
      <c r="V24" s="335">
        <v>174</v>
      </c>
      <c r="W24" s="335">
        <v>196</v>
      </c>
      <c r="X24" s="335">
        <v>176</v>
      </c>
      <c r="Y24" s="335">
        <v>215</v>
      </c>
      <c r="Z24" s="335">
        <v>177</v>
      </c>
      <c r="AA24" s="335">
        <v>220</v>
      </c>
      <c r="AB24" s="473"/>
      <c r="AC24" s="473"/>
      <c r="AD24" s="473"/>
      <c r="AE24" s="473"/>
      <c r="AF24" s="473"/>
      <c r="AK24" s="331" t="str">
        <v>E3 (34 Mbps)</v>
      </c>
      <c r="AM24" s="335">
        <v>346.5</v>
      </c>
      <c r="AN24" s="335">
        <v>390.71999999999997</v>
      </c>
      <c r="AO24" s="335">
        <v>350.76</v>
      </c>
      <c r="AP24" s="335">
        <v>428.09000000000003</v>
      </c>
      <c r="AQ24" s="335">
        <v>353.34000000000003</v>
      </c>
      <c r="AR24" s="335">
        <v>438.75</v>
      </c>
      <c r="AS24" s="473"/>
      <c r="AT24" s="473"/>
      <c r="AU24" s="473"/>
      <c r="AV24" s="473"/>
      <c r="AW24" s="473"/>
    </row>
    <row r="25" spans="3:49" s="299" customFormat="1">
      <c r="C25" s="331" t="str">
        <v>STM-1 (155 Mbps)</v>
      </c>
      <c r="E25" s="335">
        <v>0</v>
      </c>
      <c r="F25" s="335">
        <v>0</v>
      </c>
      <c r="G25" s="335">
        <v>0</v>
      </c>
      <c r="H25" s="335">
        <v>0</v>
      </c>
      <c r="I25" s="335">
        <v>0</v>
      </c>
      <c r="J25" s="335">
        <v>0</v>
      </c>
      <c r="K25" s="473"/>
      <c r="L25" s="473"/>
      <c r="M25" s="473"/>
      <c r="N25" s="473"/>
      <c r="O25" s="473"/>
      <c r="T25" s="331" t="str">
        <v>STM-1 (155 Mbps)</v>
      </c>
      <c r="V25" s="335">
        <v>219.48</v>
      </c>
      <c r="W25" s="335">
        <v>146.52000000000001</v>
      </c>
      <c r="X25" s="335">
        <v>192.95999999999998</v>
      </c>
      <c r="Y25" s="335">
        <v>285</v>
      </c>
      <c r="Z25" s="335">
        <v>298.24</v>
      </c>
      <c r="AA25" s="335">
        <v>221.76000000000002</v>
      </c>
      <c r="AB25" s="473"/>
      <c r="AC25" s="473"/>
      <c r="AD25" s="473"/>
      <c r="AE25" s="473"/>
      <c r="AF25" s="473"/>
      <c r="AK25" s="331" t="str">
        <v>STM-1 (155 Mbps)</v>
      </c>
      <c r="AM25" s="335">
        <v>219.48</v>
      </c>
      <c r="AN25" s="335">
        <v>146.52000000000001</v>
      </c>
      <c r="AO25" s="335">
        <v>192.95999999999998</v>
      </c>
      <c r="AP25" s="335">
        <v>285</v>
      </c>
      <c r="AQ25" s="335">
        <v>298.24</v>
      </c>
      <c r="AR25" s="335">
        <v>221.76000000000002</v>
      </c>
      <c r="AS25" s="473"/>
      <c r="AT25" s="473"/>
      <c r="AU25" s="473"/>
      <c r="AV25" s="473"/>
      <c r="AW25" s="473"/>
    </row>
    <row r="26" spans="3:49" s="299" customFormat="1">
      <c r="C26" s="310" t="str">
        <v>STM-4 (622.08 Mbps)</v>
      </c>
      <c r="E26" s="335">
        <v>0</v>
      </c>
      <c r="F26" s="335">
        <v>0</v>
      </c>
      <c r="G26" s="335">
        <v>0</v>
      </c>
      <c r="H26" s="335">
        <v>0</v>
      </c>
      <c r="I26" s="335">
        <v>0</v>
      </c>
      <c r="J26" s="335">
        <v>0</v>
      </c>
      <c r="K26" s="473"/>
      <c r="L26" s="473"/>
      <c r="M26" s="473"/>
      <c r="N26" s="473"/>
      <c r="O26" s="473"/>
      <c r="T26" s="310" t="str">
        <v>STM-4 (622.08 Mbps)</v>
      </c>
      <c r="V26" s="335">
        <v>1.0900000000000001</v>
      </c>
      <c r="W26" s="335">
        <v>0.97</v>
      </c>
      <c r="X26" s="335">
        <v>1.27</v>
      </c>
      <c r="Y26" s="335">
        <v>1.56</v>
      </c>
      <c r="Z26" s="335">
        <v>3.3899999999999997</v>
      </c>
      <c r="AA26" s="335">
        <v>3.12</v>
      </c>
      <c r="AB26" s="473"/>
      <c r="AC26" s="473"/>
      <c r="AD26" s="473"/>
      <c r="AE26" s="473"/>
      <c r="AF26" s="473"/>
      <c r="AK26" s="310" t="str">
        <v>STM-4 (622.08 Mbps)</v>
      </c>
      <c r="AM26" s="335">
        <v>1.0900000000000001</v>
      </c>
      <c r="AN26" s="335">
        <v>0.97</v>
      </c>
      <c r="AO26" s="335">
        <v>1.27</v>
      </c>
      <c r="AP26" s="335">
        <v>1.56</v>
      </c>
      <c r="AQ26" s="335">
        <v>3.3899999999999997</v>
      </c>
      <c r="AR26" s="335">
        <v>3.12</v>
      </c>
      <c r="AS26" s="473"/>
      <c r="AT26" s="473"/>
      <c r="AU26" s="473"/>
      <c r="AV26" s="473"/>
      <c r="AW26" s="473"/>
    </row>
    <row r="27" spans="3:49" s="299" customFormat="1">
      <c r="C27" s="310" t="str">
        <v>STM-16 (2488.32Mbps)</v>
      </c>
      <c r="E27" s="335">
        <v>0</v>
      </c>
      <c r="F27" s="335">
        <v>0</v>
      </c>
      <c r="G27" s="335">
        <v>0</v>
      </c>
      <c r="H27" s="335">
        <v>0</v>
      </c>
      <c r="I27" s="335">
        <v>0</v>
      </c>
      <c r="J27" s="335">
        <v>0</v>
      </c>
      <c r="K27" s="473"/>
      <c r="L27" s="473"/>
      <c r="M27" s="473"/>
      <c r="N27" s="473"/>
      <c r="O27" s="473"/>
      <c r="T27" s="310" t="str">
        <v>STM-16 (2488.32Mbps)</v>
      </c>
      <c r="V27" s="335">
        <v>7.1999999999999993</v>
      </c>
      <c r="W27" s="335">
        <v>1.26</v>
      </c>
      <c r="X27" s="335">
        <v>1.21</v>
      </c>
      <c r="Y27" s="335">
        <v>1.07</v>
      </c>
      <c r="Z27" s="335">
        <v>1</v>
      </c>
      <c r="AA27" s="335">
        <v>0.78</v>
      </c>
      <c r="AB27" s="473"/>
      <c r="AC27" s="473"/>
      <c r="AD27" s="473"/>
      <c r="AE27" s="473"/>
      <c r="AF27" s="473"/>
      <c r="AK27" s="310" t="str">
        <v>STM-16 (2488.32Mbps)</v>
      </c>
      <c r="AM27" s="335">
        <v>7.1999999999999993</v>
      </c>
      <c r="AN27" s="335">
        <v>1.26</v>
      </c>
      <c r="AO27" s="335">
        <v>1.21</v>
      </c>
      <c r="AP27" s="335">
        <v>1.07</v>
      </c>
      <c r="AQ27" s="335">
        <v>1</v>
      </c>
      <c r="AR27" s="335">
        <v>0.78</v>
      </c>
      <c r="AS27" s="473"/>
      <c r="AT27" s="473"/>
      <c r="AU27" s="473"/>
      <c r="AV27" s="473"/>
      <c r="AW27" s="473"/>
    </row>
    <row r="28" spans="3:49" s="299" customFormat="1">
      <c r="C28" s="310" t="str">
        <v>STM-64 (9953.28Mbps)</v>
      </c>
      <c r="E28" s="335">
        <v>0</v>
      </c>
      <c r="F28" s="335">
        <v>0</v>
      </c>
      <c r="G28" s="335">
        <v>0</v>
      </c>
      <c r="H28" s="335">
        <v>0</v>
      </c>
      <c r="I28" s="335">
        <v>0</v>
      </c>
      <c r="J28" s="335">
        <v>0</v>
      </c>
      <c r="K28" s="473"/>
      <c r="L28" s="473"/>
      <c r="M28" s="473"/>
      <c r="N28" s="473"/>
      <c r="O28" s="473"/>
      <c r="T28" s="310" t="str">
        <v>STM-64 (9953.28Mbps)</v>
      </c>
      <c r="V28" s="335">
        <v>0</v>
      </c>
      <c r="W28" s="335">
        <v>0</v>
      </c>
      <c r="X28" s="335">
        <v>0</v>
      </c>
      <c r="Y28" s="335">
        <v>0</v>
      </c>
      <c r="Z28" s="335">
        <v>0</v>
      </c>
      <c r="AA28" s="335">
        <v>0</v>
      </c>
      <c r="AB28" s="473"/>
      <c r="AC28" s="473"/>
      <c r="AD28" s="473"/>
      <c r="AE28" s="473"/>
      <c r="AF28" s="473"/>
      <c r="AK28" s="310" t="str">
        <v>STM-64 (9953.28Mbps)</v>
      </c>
      <c r="AM28" s="335">
        <v>0</v>
      </c>
      <c r="AN28" s="335">
        <v>0</v>
      </c>
      <c r="AO28" s="335">
        <v>0</v>
      </c>
      <c r="AP28" s="335">
        <v>0</v>
      </c>
      <c r="AQ28" s="335">
        <v>0</v>
      </c>
      <c r="AR28" s="335">
        <v>0</v>
      </c>
      <c r="AS28" s="473"/>
      <c r="AT28" s="473"/>
      <c r="AU28" s="473"/>
      <c r="AV28" s="473"/>
      <c r="AW28" s="473"/>
    </row>
    <row r="29" spans="3:49" s="299" customFormat="1">
      <c r="C29" s="310" t="str">
        <v>STM-256 (39813.12 Mbps)*</v>
      </c>
      <c r="E29" s="335">
        <v>0</v>
      </c>
      <c r="F29" s="335">
        <v>0</v>
      </c>
      <c r="G29" s="335">
        <v>0</v>
      </c>
      <c r="H29" s="335">
        <v>0</v>
      </c>
      <c r="I29" s="335">
        <v>0</v>
      </c>
      <c r="J29" s="335">
        <v>0</v>
      </c>
      <c r="K29" s="473"/>
      <c r="L29" s="473"/>
      <c r="M29" s="473"/>
      <c r="N29" s="473"/>
      <c r="O29" s="473"/>
      <c r="T29" s="310" t="str">
        <v>STM-256 (39813.12 Mbps)*</v>
      </c>
      <c r="V29" s="335">
        <v>0</v>
      </c>
      <c r="W29" s="335">
        <v>0</v>
      </c>
      <c r="X29" s="335">
        <v>0</v>
      </c>
      <c r="Y29" s="335">
        <v>0</v>
      </c>
      <c r="Z29" s="335">
        <v>0</v>
      </c>
      <c r="AA29" s="335">
        <v>0</v>
      </c>
      <c r="AB29" s="473"/>
      <c r="AC29" s="473"/>
      <c r="AD29" s="473"/>
      <c r="AE29" s="473"/>
      <c r="AF29" s="473"/>
      <c r="AK29" s="310" t="str">
        <v>STM-256 (39813.12 Mbps)*</v>
      </c>
      <c r="AM29" s="335">
        <v>0</v>
      </c>
      <c r="AN29" s="335">
        <v>0</v>
      </c>
      <c r="AO29" s="335">
        <v>0</v>
      </c>
      <c r="AP29" s="335">
        <v>0</v>
      </c>
      <c r="AQ29" s="335">
        <v>0</v>
      </c>
      <c r="AR29" s="335">
        <v>0</v>
      </c>
      <c r="AS29" s="473"/>
      <c r="AT29" s="473"/>
      <c r="AU29" s="473"/>
      <c r="AV29" s="473"/>
      <c r="AW29" s="473"/>
    </row>
    <row r="30" spans="3:49" s="299" customFormat="1">
      <c r="C30" s="310" t="str">
        <v>Ethernet (10Mbps)</v>
      </c>
      <c r="E30" s="335">
        <v>10.75</v>
      </c>
      <c r="F30" s="335">
        <v>21.710000000000008</v>
      </c>
      <c r="G30" s="335">
        <v>40.25</v>
      </c>
      <c r="H30" s="335">
        <v>95.279999999999973</v>
      </c>
      <c r="I30" s="335">
        <v>158.90000000000009</v>
      </c>
      <c r="J30" s="335">
        <v>191.90000000000009</v>
      </c>
      <c r="K30" s="473"/>
      <c r="L30" s="473"/>
      <c r="M30" s="473"/>
      <c r="N30" s="473"/>
      <c r="O30" s="473"/>
      <c r="T30" s="310" t="str">
        <v>Ethernet (10Mbps)</v>
      </c>
      <c r="V30" s="335">
        <v>101</v>
      </c>
      <c r="W30" s="335">
        <v>198</v>
      </c>
      <c r="X30" s="335">
        <v>371</v>
      </c>
      <c r="Y30" s="335">
        <v>866</v>
      </c>
      <c r="Z30" s="335">
        <v>1435</v>
      </c>
      <c r="AA30" s="335">
        <v>1735</v>
      </c>
      <c r="AB30" s="473"/>
      <c r="AC30" s="473"/>
      <c r="AD30" s="473"/>
      <c r="AE30" s="473"/>
      <c r="AF30" s="473"/>
      <c r="AK30" s="310" t="str">
        <v>Ethernet (10Mbps)</v>
      </c>
      <c r="AM30" s="335">
        <v>111.75</v>
      </c>
      <c r="AN30" s="335">
        <v>219.71</v>
      </c>
      <c r="AO30" s="335">
        <v>411.25</v>
      </c>
      <c r="AP30" s="335">
        <v>961.28</v>
      </c>
      <c r="AQ30" s="335">
        <v>1593.9</v>
      </c>
      <c r="AR30" s="335">
        <v>1926.9</v>
      </c>
      <c r="AS30" s="473"/>
      <c r="AT30" s="473"/>
      <c r="AU30" s="473"/>
      <c r="AV30" s="473"/>
      <c r="AW30" s="473"/>
    </row>
    <row r="31" spans="3:49" s="299" customFormat="1">
      <c r="C31" s="310" t="str">
        <v>Ethernet (20Mbps)</v>
      </c>
      <c r="E31" s="335">
        <v>10</v>
      </c>
      <c r="F31" s="335">
        <v>21.53</v>
      </c>
      <c r="G31" s="335">
        <v>69.360000000000014</v>
      </c>
      <c r="H31" s="335">
        <v>163.45000000000005</v>
      </c>
      <c r="I31" s="335">
        <v>328.32000000000005</v>
      </c>
      <c r="J31" s="335">
        <v>570.39999999999986</v>
      </c>
      <c r="K31" s="473"/>
      <c r="L31" s="473"/>
      <c r="M31" s="473"/>
      <c r="N31" s="473"/>
      <c r="O31" s="473"/>
      <c r="T31" s="310" t="str">
        <v>Ethernet (20Mbps)</v>
      </c>
      <c r="V31" s="335">
        <v>11</v>
      </c>
      <c r="W31" s="335">
        <v>23</v>
      </c>
      <c r="X31" s="335">
        <v>70</v>
      </c>
      <c r="Y31" s="335">
        <v>164</v>
      </c>
      <c r="Z31" s="335">
        <v>330</v>
      </c>
      <c r="AA31" s="335">
        <v>572</v>
      </c>
      <c r="AB31" s="473"/>
      <c r="AC31" s="473"/>
      <c r="AD31" s="473"/>
      <c r="AE31" s="473"/>
      <c r="AF31" s="473"/>
      <c r="AK31" s="310" t="str">
        <v>Ethernet (20Mbps)</v>
      </c>
      <c r="AM31" s="335">
        <v>21</v>
      </c>
      <c r="AN31" s="335">
        <v>44.53</v>
      </c>
      <c r="AO31" s="335">
        <v>139.36000000000001</v>
      </c>
      <c r="AP31" s="335">
        <v>327.45000000000005</v>
      </c>
      <c r="AQ31" s="335">
        <v>658.32</v>
      </c>
      <c r="AR31" s="335">
        <v>1142.3999999999999</v>
      </c>
      <c r="AS31" s="473"/>
      <c r="AT31" s="473"/>
      <c r="AU31" s="473"/>
      <c r="AV31" s="473"/>
      <c r="AW31" s="473"/>
    </row>
    <row r="32" spans="3:49" s="299" customFormat="1">
      <c r="C32" s="310" t="str">
        <v>Ethernet (30Mbps)</v>
      </c>
      <c r="E32" s="335">
        <v>1.7800000000000011</v>
      </c>
      <c r="F32" s="335">
        <v>1.1600000000000001</v>
      </c>
      <c r="G32" s="335">
        <v>4.6800000000000068</v>
      </c>
      <c r="H32" s="335">
        <v>13.449999999999989</v>
      </c>
      <c r="I32" s="335">
        <v>21.180000000000007</v>
      </c>
      <c r="J32" s="335">
        <v>43.879999999999995</v>
      </c>
      <c r="K32" s="473"/>
      <c r="L32" s="473"/>
      <c r="M32" s="473"/>
      <c r="N32" s="473"/>
      <c r="O32" s="473"/>
      <c r="T32" s="310" t="str">
        <v>Ethernet (30Mbps)</v>
      </c>
      <c r="V32" s="335">
        <v>18</v>
      </c>
      <c r="W32" s="335">
        <v>19</v>
      </c>
      <c r="X32" s="335">
        <v>52</v>
      </c>
      <c r="Y32" s="335">
        <v>128</v>
      </c>
      <c r="Z32" s="335">
        <v>199</v>
      </c>
      <c r="AA32" s="335">
        <v>399</v>
      </c>
      <c r="AB32" s="473"/>
      <c r="AC32" s="473"/>
      <c r="AD32" s="473"/>
      <c r="AE32" s="473"/>
      <c r="AF32" s="473"/>
      <c r="AK32" s="310" t="str">
        <v>Ethernet (30Mbps)</v>
      </c>
      <c r="AM32" s="335">
        <v>19.78</v>
      </c>
      <c r="AN32" s="335">
        <v>20.16</v>
      </c>
      <c r="AO32" s="335">
        <v>56.680000000000007</v>
      </c>
      <c r="AP32" s="335">
        <v>141.44999999999999</v>
      </c>
      <c r="AQ32" s="335">
        <v>220.18</v>
      </c>
      <c r="AR32" s="335">
        <v>442.88</v>
      </c>
      <c r="AS32" s="473"/>
      <c r="AT32" s="473"/>
      <c r="AU32" s="473"/>
      <c r="AV32" s="473"/>
      <c r="AW32" s="473"/>
    </row>
    <row r="33" spans="3:49" s="299" customFormat="1">
      <c r="C33" s="310" t="str">
        <v>Ethernet (40Mbps)</v>
      </c>
      <c r="E33" s="335">
        <v>0.6399999999999999</v>
      </c>
      <c r="F33" s="335">
        <v>2.2000000000000002</v>
      </c>
      <c r="G33" s="335">
        <v>6.4</v>
      </c>
      <c r="H33" s="335">
        <v>22.980000000000004</v>
      </c>
      <c r="I33" s="335">
        <v>58.17</v>
      </c>
      <c r="J33" s="335">
        <v>150.82</v>
      </c>
      <c r="K33" s="473"/>
      <c r="L33" s="473"/>
      <c r="M33" s="473"/>
      <c r="N33" s="473"/>
      <c r="O33" s="473"/>
      <c r="T33" s="310" t="str">
        <v>Ethernet (40Mbps)</v>
      </c>
      <c r="V33" s="335">
        <v>1</v>
      </c>
      <c r="W33" s="335">
        <v>3</v>
      </c>
      <c r="X33" s="335">
        <v>8</v>
      </c>
      <c r="Y33" s="335">
        <v>24</v>
      </c>
      <c r="Z33" s="335">
        <v>60</v>
      </c>
      <c r="AA33" s="335">
        <v>152</v>
      </c>
      <c r="AB33" s="473"/>
      <c r="AC33" s="473"/>
      <c r="AD33" s="473"/>
      <c r="AE33" s="473"/>
      <c r="AF33" s="473"/>
      <c r="AK33" s="310" t="str">
        <v>Ethernet (40Mbps)</v>
      </c>
      <c r="AM33" s="335">
        <v>1.64</v>
      </c>
      <c r="AN33" s="335">
        <v>5.2</v>
      </c>
      <c r="AO33" s="335">
        <v>14.4</v>
      </c>
      <c r="AP33" s="335">
        <v>46.980000000000004</v>
      </c>
      <c r="AQ33" s="335">
        <v>118.17</v>
      </c>
      <c r="AR33" s="335">
        <v>302.82</v>
      </c>
      <c r="AS33" s="473"/>
      <c r="AT33" s="473"/>
      <c r="AU33" s="473"/>
      <c r="AV33" s="473"/>
      <c r="AW33" s="473"/>
    </row>
    <row r="34" spans="3:49" s="299" customFormat="1">
      <c r="C34" s="310" t="str">
        <v>Ethernet (50Mbps)</v>
      </c>
      <c r="E34" s="335">
        <v>1.52</v>
      </c>
      <c r="F34" s="335">
        <v>7.8100000000000005</v>
      </c>
      <c r="G34" s="335">
        <v>19.78</v>
      </c>
      <c r="H34" s="335">
        <v>35.800000000000011</v>
      </c>
      <c r="I34" s="335">
        <v>66.56</v>
      </c>
      <c r="J34" s="335">
        <v>77.640000000000015</v>
      </c>
      <c r="K34" s="473"/>
      <c r="L34" s="473"/>
      <c r="M34" s="473"/>
      <c r="N34" s="473"/>
      <c r="O34" s="473"/>
      <c r="T34" s="310" t="str">
        <v>Ethernet (50Mbps)</v>
      </c>
      <c r="V34" s="335">
        <v>2</v>
      </c>
      <c r="W34" s="335">
        <v>8</v>
      </c>
      <c r="X34" s="335">
        <v>20</v>
      </c>
      <c r="Y34" s="335">
        <v>37</v>
      </c>
      <c r="Z34" s="335">
        <v>67</v>
      </c>
      <c r="AA34" s="335">
        <v>79</v>
      </c>
      <c r="AB34" s="473"/>
      <c r="AC34" s="473"/>
      <c r="AD34" s="473"/>
      <c r="AE34" s="473"/>
      <c r="AF34" s="473"/>
      <c r="AK34" s="310" t="str">
        <v>Ethernet (50Mbps)</v>
      </c>
      <c r="AM34" s="335">
        <v>3.52</v>
      </c>
      <c r="AN34" s="335">
        <v>15.81</v>
      </c>
      <c r="AO34" s="335">
        <v>39.78</v>
      </c>
      <c r="AP34" s="335">
        <v>72.800000000000011</v>
      </c>
      <c r="AQ34" s="335">
        <v>133.56</v>
      </c>
      <c r="AR34" s="335">
        <v>156.64000000000001</v>
      </c>
      <c r="AS34" s="473"/>
      <c r="AT34" s="473"/>
      <c r="AU34" s="473"/>
      <c r="AV34" s="473"/>
      <c r="AW34" s="473"/>
    </row>
    <row r="35" spans="3:49" s="299" customFormat="1">
      <c r="C35" s="310" t="str">
        <v>Ethernet (60Mbps)</v>
      </c>
      <c r="E35" s="335">
        <v>0</v>
      </c>
      <c r="F35" s="335">
        <v>2.2800000000000002</v>
      </c>
      <c r="G35" s="335">
        <v>4.2699999999999996</v>
      </c>
      <c r="H35" s="335">
        <v>5.52</v>
      </c>
      <c r="I35" s="335">
        <v>16.28</v>
      </c>
      <c r="J35" s="335">
        <v>22.549999999999997</v>
      </c>
      <c r="K35" s="473"/>
      <c r="L35" s="473"/>
      <c r="M35" s="473"/>
      <c r="N35" s="473"/>
      <c r="O35" s="473"/>
      <c r="T35" s="310" t="str">
        <v>Ethernet (60Mbps)</v>
      </c>
      <c r="V35" s="335">
        <v>0</v>
      </c>
      <c r="W35" s="335">
        <v>3</v>
      </c>
      <c r="X35" s="335">
        <v>5</v>
      </c>
      <c r="Y35" s="335">
        <v>6</v>
      </c>
      <c r="Z35" s="335">
        <v>17</v>
      </c>
      <c r="AA35" s="335">
        <v>24</v>
      </c>
      <c r="AB35" s="473"/>
      <c r="AC35" s="473"/>
      <c r="AD35" s="473"/>
      <c r="AE35" s="473"/>
      <c r="AF35" s="473"/>
      <c r="AK35" s="310" t="str">
        <v>Ethernet (60Mbps)</v>
      </c>
      <c r="AM35" s="335">
        <v>0</v>
      </c>
      <c r="AN35" s="335">
        <v>5.28</v>
      </c>
      <c r="AO35" s="335">
        <v>9.27</v>
      </c>
      <c r="AP35" s="335">
        <v>11.52</v>
      </c>
      <c r="AQ35" s="335">
        <v>33.28</v>
      </c>
      <c r="AR35" s="335">
        <v>46.55</v>
      </c>
      <c r="AS35" s="473"/>
      <c r="AT35" s="473"/>
      <c r="AU35" s="473"/>
      <c r="AV35" s="473"/>
      <c r="AW35" s="473"/>
    </row>
    <row r="36" spans="3:49" s="299" customFormat="1">
      <c r="C36" s="310" t="str">
        <v>Ethernet (70Mbps)</v>
      </c>
      <c r="E36" s="335">
        <v>0</v>
      </c>
      <c r="F36" s="335">
        <v>0</v>
      </c>
      <c r="G36" s="335">
        <v>1.7599999999999998</v>
      </c>
      <c r="H36" s="335">
        <v>4.24</v>
      </c>
      <c r="I36" s="335">
        <v>8.02</v>
      </c>
      <c r="J36" s="335">
        <v>18.5</v>
      </c>
      <c r="K36" s="473"/>
      <c r="L36" s="473"/>
      <c r="M36" s="473"/>
      <c r="N36" s="473"/>
      <c r="O36" s="473"/>
      <c r="T36" s="310" t="str">
        <v>Ethernet (70Mbps)</v>
      </c>
      <c r="V36" s="335">
        <v>0</v>
      </c>
      <c r="W36" s="335">
        <v>0</v>
      </c>
      <c r="X36" s="335">
        <v>2</v>
      </c>
      <c r="Y36" s="335">
        <v>5</v>
      </c>
      <c r="Z36" s="335">
        <v>10</v>
      </c>
      <c r="AA36" s="335">
        <v>19</v>
      </c>
      <c r="AB36" s="473"/>
      <c r="AC36" s="473"/>
      <c r="AD36" s="473"/>
      <c r="AE36" s="473"/>
      <c r="AF36" s="473"/>
      <c r="AK36" s="310" t="str">
        <v>Ethernet (70Mbps)</v>
      </c>
      <c r="AM36" s="335">
        <v>0</v>
      </c>
      <c r="AN36" s="335">
        <v>0</v>
      </c>
      <c r="AO36" s="335">
        <v>3.76</v>
      </c>
      <c r="AP36" s="335">
        <v>9.24</v>
      </c>
      <c r="AQ36" s="335">
        <v>18.02</v>
      </c>
      <c r="AR36" s="335">
        <v>37.5</v>
      </c>
      <c r="AS36" s="473"/>
      <c r="AT36" s="473"/>
      <c r="AU36" s="473"/>
      <c r="AV36" s="473"/>
      <c r="AW36" s="473"/>
    </row>
    <row r="37" spans="3:49" s="299" customFormat="1">
      <c r="C37" s="310" t="str">
        <v>Ethernet (80Mbps)</v>
      </c>
      <c r="E37" s="335">
        <v>0</v>
      </c>
      <c r="F37" s="335">
        <v>-9.9999999999999978E-2</v>
      </c>
      <c r="G37" s="335">
        <v>-1.0000000000000009E-2</v>
      </c>
      <c r="H37" s="335">
        <v>3.74</v>
      </c>
      <c r="I37" s="335">
        <v>14.440000000000001</v>
      </c>
      <c r="J37" s="335">
        <v>13.879999999999999</v>
      </c>
      <c r="K37" s="473"/>
      <c r="L37" s="473"/>
      <c r="M37" s="473"/>
      <c r="N37" s="473"/>
      <c r="O37" s="473"/>
      <c r="T37" s="310" t="str">
        <v>Ethernet (80Mbps)</v>
      </c>
      <c r="V37" s="335">
        <v>0</v>
      </c>
      <c r="W37" s="335">
        <v>1</v>
      </c>
      <c r="X37" s="335">
        <v>1</v>
      </c>
      <c r="Y37" s="335">
        <v>4</v>
      </c>
      <c r="Z37" s="335">
        <v>15</v>
      </c>
      <c r="AA37" s="335">
        <v>14</v>
      </c>
      <c r="AB37" s="473"/>
      <c r="AC37" s="473"/>
      <c r="AD37" s="473"/>
      <c r="AE37" s="473"/>
      <c r="AF37" s="473"/>
      <c r="AK37" s="310" t="str">
        <v>Ethernet (80Mbps)</v>
      </c>
      <c r="AM37" s="335">
        <v>0</v>
      </c>
      <c r="AN37" s="335">
        <v>0.9</v>
      </c>
      <c r="AO37" s="335">
        <v>0.99</v>
      </c>
      <c r="AP37" s="335">
        <v>7.74</v>
      </c>
      <c r="AQ37" s="335">
        <v>29.44</v>
      </c>
      <c r="AR37" s="335">
        <v>27.88</v>
      </c>
      <c r="AS37" s="473"/>
      <c r="AT37" s="473"/>
      <c r="AU37" s="473"/>
      <c r="AV37" s="473"/>
      <c r="AW37" s="473"/>
    </row>
    <row r="38" spans="3:49" s="299" customFormat="1">
      <c r="C38" s="310" t="str">
        <v>Ethernet (90Mbps)</v>
      </c>
      <c r="E38" s="335">
        <v>0</v>
      </c>
      <c r="F38" s="335">
        <v>0</v>
      </c>
      <c r="G38" s="335">
        <v>0</v>
      </c>
      <c r="H38" s="335">
        <v>0.48</v>
      </c>
      <c r="I38" s="335">
        <v>1.4</v>
      </c>
      <c r="J38" s="335">
        <v>7.2099999999999991</v>
      </c>
      <c r="K38" s="473"/>
      <c r="L38" s="473"/>
      <c r="M38" s="473"/>
      <c r="N38" s="473"/>
      <c r="O38" s="473"/>
      <c r="T38" s="310" t="str">
        <v>Ethernet (90Mbps)</v>
      </c>
      <c r="V38" s="335">
        <v>0</v>
      </c>
      <c r="W38" s="335">
        <v>0</v>
      </c>
      <c r="X38" s="335">
        <v>0</v>
      </c>
      <c r="Y38" s="335">
        <v>1</v>
      </c>
      <c r="Z38" s="335">
        <v>2</v>
      </c>
      <c r="AA38" s="335">
        <v>8</v>
      </c>
      <c r="AB38" s="473"/>
      <c r="AC38" s="473"/>
      <c r="AD38" s="473"/>
      <c r="AE38" s="473"/>
      <c r="AF38" s="473"/>
      <c r="AK38" s="310" t="str">
        <v>Ethernet (90Mbps)</v>
      </c>
      <c r="AM38" s="335">
        <v>0</v>
      </c>
      <c r="AN38" s="335">
        <v>0</v>
      </c>
      <c r="AO38" s="335">
        <v>0</v>
      </c>
      <c r="AP38" s="335">
        <v>1.48</v>
      </c>
      <c r="AQ38" s="335">
        <v>3.4</v>
      </c>
      <c r="AR38" s="335">
        <v>15.209999999999999</v>
      </c>
      <c r="AS38" s="473"/>
      <c r="AT38" s="473"/>
      <c r="AU38" s="473"/>
      <c r="AV38" s="473"/>
      <c r="AW38" s="473"/>
    </row>
    <row r="39" spans="3:49" s="299" customFormat="1">
      <c r="C39" s="310" t="str">
        <v>GigaEthernet (100Mbps)</v>
      </c>
      <c r="E39" s="335">
        <v>0</v>
      </c>
      <c r="F39" s="335">
        <v>0</v>
      </c>
      <c r="G39" s="335">
        <v>0</v>
      </c>
      <c r="H39" s="335">
        <v>0</v>
      </c>
      <c r="I39" s="335">
        <v>0</v>
      </c>
      <c r="J39" s="335">
        <v>0</v>
      </c>
      <c r="K39" s="473"/>
      <c r="L39" s="473"/>
      <c r="M39" s="473"/>
      <c r="N39" s="473"/>
      <c r="O39" s="473"/>
      <c r="T39" s="310" t="str">
        <v>GigaEthernet (100Mbps)</v>
      </c>
      <c r="V39" s="335">
        <v>17.920000000000002</v>
      </c>
      <c r="W39" s="335">
        <v>12.75</v>
      </c>
      <c r="X39" s="335">
        <v>32.76</v>
      </c>
      <c r="Y39" s="335">
        <v>90.399999999999991</v>
      </c>
      <c r="Z39" s="335">
        <v>142.78</v>
      </c>
      <c r="AA39" s="335">
        <v>171.5</v>
      </c>
      <c r="AB39" s="473"/>
      <c r="AC39" s="473"/>
      <c r="AD39" s="473"/>
      <c r="AE39" s="473"/>
      <c r="AF39" s="473"/>
      <c r="AK39" s="310" t="str">
        <v>GigaEthernet (100Mbps)</v>
      </c>
      <c r="AM39" s="335">
        <v>17.920000000000002</v>
      </c>
      <c r="AN39" s="335">
        <v>12.75</v>
      </c>
      <c r="AO39" s="335">
        <v>32.76</v>
      </c>
      <c r="AP39" s="335">
        <v>90.399999999999991</v>
      </c>
      <c r="AQ39" s="335">
        <v>142.78</v>
      </c>
      <c r="AR39" s="335">
        <v>171.5</v>
      </c>
      <c r="AS39" s="473"/>
      <c r="AT39" s="473"/>
      <c r="AU39" s="473"/>
      <c r="AV39" s="473"/>
      <c r="AW39" s="473"/>
    </row>
    <row r="40" spans="3:49" s="299" customFormat="1">
      <c r="C40" s="310" t="str">
        <v>GigaEthernet (150Mbps)</v>
      </c>
      <c r="E40" s="335">
        <v>0</v>
      </c>
      <c r="F40" s="335">
        <v>0</v>
      </c>
      <c r="G40" s="335">
        <v>0</v>
      </c>
      <c r="H40" s="335">
        <v>0</v>
      </c>
      <c r="I40" s="335">
        <v>0</v>
      </c>
      <c r="J40" s="335">
        <v>0</v>
      </c>
      <c r="K40" s="473"/>
      <c r="L40" s="473"/>
      <c r="M40" s="473"/>
      <c r="N40" s="473"/>
      <c r="O40" s="473"/>
      <c r="T40" s="310" t="str">
        <v>GigaEthernet (150Mbps)</v>
      </c>
      <c r="V40" s="335">
        <v>6.72</v>
      </c>
      <c r="W40" s="335">
        <v>6.39</v>
      </c>
      <c r="X40" s="335">
        <v>13.559999999999999</v>
      </c>
      <c r="Y40" s="335">
        <v>27.810000000000002</v>
      </c>
      <c r="Z40" s="335">
        <v>48.64</v>
      </c>
      <c r="AA40" s="335">
        <v>63.21</v>
      </c>
      <c r="AB40" s="473"/>
      <c r="AC40" s="473"/>
      <c r="AD40" s="473"/>
      <c r="AE40" s="473"/>
      <c r="AF40" s="473"/>
      <c r="AK40" s="310" t="str">
        <v>GigaEthernet (150Mbps)</v>
      </c>
      <c r="AM40" s="335">
        <v>6.72</v>
      </c>
      <c r="AN40" s="335">
        <v>6.39</v>
      </c>
      <c r="AO40" s="335">
        <v>13.559999999999999</v>
      </c>
      <c r="AP40" s="335">
        <v>27.810000000000002</v>
      </c>
      <c r="AQ40" s="335">
        <v>48.64</v>
      </c>
      <c r="AR40" s="335">
        <v>63.21</v>
      </c>
      <c r="AS40" s="473"/>
      <c r="AT40" s="473"/>
      <c r="AU40" s="473"/>
      <c r="AV40" s="473"/>
      <c r="AW40" s="473"/>
    </row>
    <row r="41" spans="3:49" s="299" customFormat="1">
      <c r="C41" s="310" t="str">
        <v>GigaEthernet (200Mbps)</v>
      </c>
      <c r="E41" s="335">
        <v>0</v>
      </c>
      <c r="F41" s="335">
        <v>0</v>
      </c>
      <c r="G41" s="335">
        <v>0</v>
      </c>
      <c r="H41" s="335">
        <v>0</v>
      </c>
      <c r="I41" s="335">
        <v>0</v>
      </c>
      <c r="J41" s="335">
        <v>0</v>
      </c>
      <c r="K41" s="473"/>
      <c r="L41" s="473"/>
      <c r="M41" s="473"/>
      <c r="N41" s="473"/>
      <c r="O41" s="473"/>
      <c r="T41" s="310" t="str">
        <v>GigaEthernet (200Mbps)</v>
      </c>
      <c r="V41" s="335">
        <v>0</v>
      </c>
      <c r="W41" s="335">
        <v>0</v>
      </c>
      <c r="X41" s="335">
        <v>2.34</v>
      </c>
      <c r="Y41" s="335">
        <v>17.849999999999998</v>
      </c>
      <c r="Z41" s="335">
        <v>18.86</v>
      </c>
      <c r="AA41" s="335">
        <v>24</v>
      </c>
      <c r="AB41" s="473"/>
      <c r="AC41" s="473"/>
      <c r="AD41" s="473"/>
      <c r="AE41" s="473"/>
      <c r="AF41" s="473"/>
      <c r="AK41" s="310" t="str">
        <v>GigaEthernet (200Mbps)</v>
      </c>
      <c r="AM41" s="335">
        <v>0</v>
      </c>
      <c r="AN41" s="335">
        <v>0</v>
      </c>
      <c r="AO41" s="335">
        <v>2.34</v>
      </c>
      <c r="AP41" s="335">
        <v>17.849999999999998</v>
      </c>
      <c r="AQ41" s="335">
        <v>18.86</v>
      </c>
      <c r="AR41" s="335">
        <v>24</v>
      </c>
      <c r="AS41" s="473"/>
      <c r="AT41" s="473"/>
      <c r="AU41" s="473"/>
      <c r="AV41" s="473"/>
      <c r="AW41" s="473"/>
    </row>
    <row r="42" spans="3:49" s="299" customFormat="1">
      <c r="C42" s="310" t="str">
        <v>GigaEthernet (250Mbps)</v>
      </c>
      <c r="E42" s="335">
        <v>0</v>
      </c>
      <c r="F42" s="335">
        <v>0</v>
      </c>
      <c r="G42" s="335">
        <v>0</v>
      </c>
      <c r="H42" s="335">
        <v>0</v>
      </c>
      <c r="I42" s="335">
        <v>0</v>
      </c>
      <c r="J42" s="335">
        <v>0</v>
      </c>
      <c r="K42" s="473"/>
      <c r="L42" s="473"/>
      <c r="M42" s="473"/>
      <c r="N42" s="473"/>
      <c r="O42" s="473"/>
      <c r="T42" s="310" t="str">
        <v>GigaEthernet (250Mbps)</v>
      </c>
      <c r="V42" s="335">
        <v>0</v>
      </c>
      <c r="W42" s="335">
        <v>0</v>
      </c>
      <c r="X42" s="335">
        <v>0</v>
      </c>
      <c r="Y42" s="335">
        <v>0</v>
      </c>
      <c r="Z42" s="335">
        <v>7.08</v>
      </c>
      <c r="AA42" s="335">
        <v>6.16</v>
      </c>
      <c r="AB42" s="473"/>
      <c r="AC42" s="473"/>
      <c r="AD42" s="473"/>
      <c r="AE42" s="473"/>
      <c r="AF42" s="473"/>
      <c r="AK42" s="310" t="str">
        <v>GigaEthernet (250Mbps)</v>
      </c>
      <c r="AM42" s="335">
        <v>0</v>
      </c>
      <c r="AN42" s="335">
        <v>0</v>
      </c>
      <c r="AO42" s="335">
        <v>0</v>
      </c>
      <c r="AP42" s="335">
        <v>0</v>
      </c>
      <c r="AQ42" s="335">
        <v>7.08</v>
      </c>
      <c r="AR42" s="335">
        <v>6.16</v>
      </c>
      <c r="AS42" s="473"/>
      <c r="AT42" s="473"/>
      <c r="AU42" s="473"/>
      <c r="AV42" s="473"/>
      <c r="AW42" s="473"/>
    </row>
    <row r="43" spans="3:49" s="299" customFormat="1">
      <c r="C43" s="310" t="str">
        <v>GigaEthernet (300Mbps)</v>
      </c>
      <c r="E43" s="335">
        <v>0</v>
      </c>
      <c r="F43" s="335">
        <v>0</v>
      </c>
      <c r="G43" s="335">
        <v>0</v>
      </c>
      <c r="H43" s="335">
        <v>0</v>
      </c>
      <c r="I43" s="335">
        <v>0</v>
      </c>
      <c r="J43" s="335">
        <v>0</v>
      </c>
      <c r="K43" s="473"/>
      <c r="L43" s="473"/>
      <c r="M43" s="473"/>
      <c r="N43" s="473"/>
      <c r="O43" s="473"/>
      <c r="T43" s="310" t="str">
        <v>GigaEthernet (300Mbps)</v>
      </c>
      <c r="V43" s="335">
        <v>0</v>
      </c>
      <c r="W43" s="335">
        <v>0</v>
      </c>
      <c r="X43" s="335">
        <v>1.56</v>
      </c>
      <c r="Y43" s="335">
        <v>1.6</v>
      </c>
      <c r="Z43" s="335">
        <v>7.47</v>
      </c>
      <c r="AA43" s="335">
        <v>14.190000000000001</v>
      </c>
      <c r="AB43" s="473"/>
      <c r="AC43" s="473"/>
      <c r="AD43" s="473"/>
      <c r="AE43" s="473"/>
      <c r="AF43" s="473"/>
      <c r="AK43" s="310" t="str">
        <v>GigaEthernet (300Mbps)</v>
      </c>
      <c r="AM43" s="335">
        <v>0</v>
      </c>
      <c r="AN43" s="335">
        <v>0</v>
      </c>
      <c r="AO43" s="335">
        <v>1.56</v>
      </c>
      <c r="AP43" s="335">
        <v>1.6</v>
      </c>
      <c r="AQ43" s="335">
        <v>7.47</v>
      </c>
      <c r="AR43" s="335">
        <v>14.190000000000001</v>
      </c>
      <c r="AS43" s="473"/>
      <c r="AT43" s="473"/>
      <c r="AU43" s="473"/>
      <c r="AV43" s="473"/>
      <c r="AW43" s="473"/>
    </row>
    <row r="44" spans="3:49" s="299" customFormat="1">
      <c r="C44" s="310" t="str">
        <v>GigaEthernet (350Mbps)</v>
      </c>
      <c r="E44" s="335">
        <v>0</v>
      </c>
      <c r="F44" s="335">
        <v>0</v>
      </c>
      <c r="G44" s="335">
        <v>0</v>
      </c>
      <c r="H44" s="335">
        <v>0</v>
      </c>
      <c r="I44" s="335">
        <v>0</v>
      </c>
      <c r="J44" s="335">
        <v>0</v>
      </c>
      <c r="K44" s="473"/>
      <c r="L44" s="473"/>
      <c r="M44" s="473"/>
      <c r="N44" s="473"/>
      <c r="O44" s="473"/>
      <c r="T44" s="310" t="str">
        <v>GigaEthernet (350Mbps)</v>
      </c>
      <c r="V44" s="335">
        <v>0</v>
      </c>
      <c r="W44" s="335">
        <v>0</v>
      </c>
      <c r="X44" s="335">
        <v>0</v>
      </c>
      <c r="Y44" s="335">
        <v>0</v>
      </c>
      <c r="Z44" s="335">
        <v>0</v>
      </c>
      <c r="AA44" s="335">
        <v>0</v>
      </c>
      <c r="AB44" s="473"/>
      <c r="AC44" s="473"/>
      <c r="AD44" s="473"/>
      <c r="AE44" s="473"/>
      <c r="AF44" s="473"/>
      <c r="AK44" s="310" t="str">
        <v>GigaEthernet (350Mbps)</v>
      </c>
      <c r="AM44" s="335">
        <v>0</v>
      </c>
      <c r="AN44" s="335">
        <v>0</v>
      </c>
      <c r="AO44" s="335">
        <v>0</v>
      </c>
      <c r="AP44" s="335">
        <v>0</v>
      </c>
      <c r="AQ44" s="335">
        <v>0</v>
      </c>
      <c r="AR44" s="335">
        <v>0</v>
      </c>
      <c r="AS44" s="473"/>
      <c r="AT44" s="473"/>
      <c r="AU44" s="473"/>
      <c r="AV44" s="473"/>
      <c r="AW44" s="473"/>
    </row>
    <row r="45" spans="3:49" s="299" customFormat="1">
      <c r="C45" s="310" t="str">
        <v>GigaEthernet (400Mbps)</v>
      </c>
      <c r="E45" s="335">
        <v>0</v>
      </c>
      <c r="F45" s="335">
        <v>0</v>
      </c>
      <c r="G45" s="335">
        <v>0</v>
      </c>
      <c r="H45" s="335">
        <v>0</v>
      </c>
      <c r="I45" s="335">
        <v>0</v>
      </c>
      <c r="J45" s="335">
        <v>0</v>
      </c>
      <c r="K45" s="473"/>
      <c r="L45" s="473"/>
      <c r="M45" s="473"/>
      <c r="N45" s="473"/>
      <c r="O45" s="473"/>
      <c r="T45" s="310" t="str">
        <v>GigaEthernet (400Mbps)</v>
      </c>
      <c r="V45" s="335">
        <v>0</v>
      </c>
      <c r="W45" s="335">
        <v>0</v>
      </c>
      <c r="X45" s="335">
        <v>0</v>
      </c>
      <c r="Y45" s="335">
        <v>0</v>
      </c>
      <c r="Z45" s="335">
        <v>0.89</v>
      </c>
      <c r="AA45" s="335">
        <v>2.88</v>
      </c>
      <c r="AB45" s="473"/>
      <c r="AC45" s="473"/>
      <c r="AD45" s="473"/>
      <c r="AE45" s="473"/>
      <c r="AF45" s="473"/>
      <c r="AK45" s="310" t="str">
        <v>GigaEthernet (400Mbps)</v>
      </c>
      <c r="AM45" s="335">
        <v>0</v>
      </c>
      <c r="AN45" s="335">
        <v>0</v>
      </c>
      <c r="AO45" s="335">
        <v>0</v>
      </c>
      <c r="AP45" s="335">
        <v>0</v>
      </c>
      <c r="AQ45" s="335">
        <v>0.89</v>
      </c>
      <c r="AR45" s="335">
        <v>2.88</v>
      </c>
      <c r="AS45" s="473"/>
      <c r="AT45" s="473"/>
      <c r="AU45" s="473"/>
      <c r="AV45" s="473"/>
      <c r="AW45" s="473"/>
    </row>
    <row r="46" spans="3:49" s="299" customFormat="1">
      <c r="C46" s="310" t="str">
        <v>GigaEthernet (450Mbps)</v>
      </c>
      <c r="E46" s="335">
        <v>0</v>
      </c>
      <c r="F46" s="335">
        <v>0</v>
      </c>
      <c r="G46" s="335">
        <v>0</v>
      </c>
      <c r="H46" s="335">
        <v>0</v>
      </c>
      <c r="I46" s="335">
        <v>0</v>
      </c>
      <c r="J46" s="335">
        <v>0</v>
      </c>
      <c r="K46" s="473"/>
      <c r="L46" s="473"/>
      <c r="M46" s="473"/>
      <c r="N46" s="473"/>
      <c r="O46" s="473"/>
      <c r="T46" s="310" t="str">
        <v>GigaEthernet (450Mbps)</v>
      </c>
      <c r="V46" s="335">
        <v>0</v>
      </c>
      <c r="W46" s="335">
        <v>0</v>
      </c>
      <c r="X46" s="335">
        <v>1.24</v>
      </c>
      <c r="Y46" s="335">
        <v>0</v>
      </c>
      <c r="Z46" s="335">
        <v>0</v>
      </c>
      <c r="AA46" s="335">
        <v>0</v>
      </c>
      <c r="AB46" s="473"/>
      <c r="AC46" s="473"/>
      <c r="AD46" s="473"/>
      <c r="AE46" s="473"/>
      <c r="AF46" s="473"/>
      <c r="AK46" s="310" t="str">
        <v>GigaEthernet (450Mbps)</v>
      </c>
      <c r="AM46" s="335">
        <v>0</v>
      </c>
      <c r="AN46" s="335">
        <v>0</v>
      </c>
      <c r="AO46" s="335">
        <v>1.24</v>
      </c>
      <c r="AP46" s="335">
        <v>0</v>
      </c>
      <c r="AQ46" s="335">
        <v>0</v>
      </c>
      <c r="AR46" s="335">
        <v>0</v>
      </c>
      <c r="AS46" s="473"/>
      <c r="AT46" s="473"/>
      <c r="AU46" s="473"/>
      <c r="AV46" s="473"/>
      <c r="AW46" s="473"/>
    </row>
    <row r="47" spans="3:49" s="299" customFormat="1">
      <c r="C47" s="310" t="str">
        <v>GigaEthernet (500Mbps)</v>
      </c>
      <c r="E47" s="335">
        <v>0</v>
      </c>
      <c r="F47" s="335">
        <v>0</v>
      </c>
      <c r="G47" s="335">
        <v>0</v>
      </c>
      <c r="H47" s="335">
        <v>0</v>
      </c>
      <c r="I47" s="335">
        <v>0</v>
      </c>
      <c r="J47" s="335">
        <v>0</v>
      </c>
      <c r="K47" s="473"/>
      <c r="L47" s="473"/>
      <c r="M47" s="473"/>
      <c r="N47" s="473"/>
      <c r="O47" s="473"/>
      <c r="T47" s="310" t="str">
        <v>GigaEthernet (500Mbps)</v>
      </c>
      <c r="V47" s="335">
        <v>0</v>
      </c>
      <c r="W47" s="335">
        <v>0</v>
      </c>
      <c r="X47" s="335">
        <v>0.87</v>
      </c>
      <c r="Y47" s="335">
        <v>2.5499999999999998</v>
      </c>
      <c r="Z47" s="335">
        <v>4.4800000000000004</v>
      </c>
      <c r="AA47" s="335">
        <v>4.8600000000000003</v>
      </c>
      <c r="AB47" s="473"/>
      <c r="AC47" s="473"/>
      <c r="AD47" s="473"/>
      <c r="AE47" s="473"/>
      <c r="AF47" s="473"/>
      <c r="AK47" s="310" t="str">
        <v>GigaEthernet (500Mbps)</v>
      </c>
      <c r="AM47" s="335">
        <v>0</v>
      </c>
      <c r="AN47" s="335">
        <v>0</v>
      </c>
      <c r="AO47" s="335">
        <v>0.87</v>
      </c>
      <c r="AP47" s="335">
        <v>2.5499999999999998</v>
      </c>
      <c r="AQ47" s="335">
        <v>4.4800000000000004</v>
      </c>
      <c r="AR47" s="335">
        <v>4.8600000000000003</v>
      </c>
      <c r="AS47" s="473"/>
      <c r="AT47" s="473"/>
      <c r="AU47" s="473"/>
      <c r="AV47" s="473"/>
      <c r="AW47" s="473"/>
    </row>
    <row r="48" spans="3:49" s="299" customFormat="1">
      <c r="C48" s="310" t="str">
        <v>GigaEthernet (550Mbps)</v>
      </c>
      <c r="E48" s="336">
        <v>0</v>
      </c>
      <c r="F48" s="335">
        <v>0</v>
      </c>
      <c r="G48" s="335">
        <v>0</v>
      </c>
      <c r="H48" s="335">
        <v>0</v>
      </c>
      <c r="I48" s="335">
        <v>0</v>
      </c>
      <c r="J48" s="335">
        <v>0</v>
      </c>
      <c r="K48" s="473"/>
      <c r="L48" s="473"/>
      <c r="M48" s="473"/>
      <c r="N48" s="473"/>
      <c r="O48" s="473"/>
      <c r="T48" s="310" t="str">
        <v>GigaEthernet (550Mbps)</v>
      </c>
      <c r="V48" s="336">
        <v>0</v>
      </c>
      <c r="W48" s="335">
        <v>0</v>
      </c>
      <c r="X48" s="335">
        <v>0</v>
      </c>
      <c r="Y48" s="335">
        <v>0</v>
      </c>
      <c r="Z48" s="335">
        <v>0</v>
      </c>
      <c r="AA48" s="335">
        <v>0</v>
      </c>
      <c r="AB48" s="473"/>
      <c r="AC48" s="473"/>
      <c r="AD48" s="473"/>
      <c r="AE48" s="473"/>
      <c r="AF48" s="473"/>
      <c r="AK48" s="310" t="str">
        <v>GigaEthernet (550Mbps)</v>
      </c>
      <c r="AM48" s="336">
        <v>0</v>
      </c>
      <c r="AN48" s="335">
        <v>0</v>
      </c>
      <c r="AO48" s="335">
        <v>0</v>
      </c>
      <c r="AP48" s="335">
        <v>0</v>
      </c>
      <c r="AQ48" s="335">
        <v>0</v>
      </c>
      <c r="AR48" s="335">
        <v>0</v>
      </c>
      <c r="AS48" s="473"/>
      <c r="AT48" s="473"/>
      <c r="AU48" s="473"/>
      <c r="AV48" s="473"/>
      <c r="AW48" s="473"/>
    </row>
    <row r="49" spans="3:52" s="299" customFormat="1">
      <c r="C49" s="310" t="str">
        <v>GigaEthernet (600Mbps)</v>
      </c>
      <c r="E49" s="335">
        <v>0</v>
      </c>
      <c r="F49" s="335">
        <v>0</v>
      </c>
      <c r="G49" s="335">
        <v>0</v>
      </c>
      <c r="H49" s="335">
        <v>0</v>
      </c>
      <c r="I49" s="335">
        <v>0</v>
      </c>
      <c r="J49" s="335">
        <v>0</v>
      </c>
      <c r="K49" s="473"/>
      <c r="L49" s="473"/>
      <c r="M49" s="473"/>
      <c r="N49" s="473"/>
      <c r="O49" s="473"/>
      <c r="T49" s="310" t="str">
        <v>GigaEthernet (600Mbps)</v>
      </c>
      <c r="V49" s="335">
        <v>0</v>
      </c>
      <c r="W49" s="335">
        <v>0</v>
      </c>
      <c r="X49" s="335">
        <v>0</v>
      </c>
      <c r="Y49" s="335">
        <v>0</v>
      </c>
      <c r="Z49" s="335">
        <v>0</v>
      </c>
      <c r="AA49" s="335">
        <v>0</v>
      </c>
      <c r="AB49" s="473"/>
      <c r="AC49" s="473"/>
      <c r="AD49" s="473"/>
      <c r="AE49" s="473"/>
      <c r="AF49" s="473"/>
      <c r="AK49" s="310" t="str">
        <v>GigaEthernet (600Mbps)</v>
      </c>
      <c r="AM49" s="335">
        <v>0</v>
      </c>
      <c r="AN49" s="335">
        <v>0</v>
      </c>
      <c r="AO49" s="335">
        <v>0</v>
      </c>
      <c r="AP49" s="335">
        <v>0</v>
      </c>
      <c r="AQ49" s="335">
        <v>0</v>
      </c>
      <c r="AR49" s="335">
        <v>0</v>
      </c>
      <c r="AS49" s="473"/>
      <c r="AT49" s="473"/>
      <c r="AU49" s="473"/>
      <c r="AV49" s="473"/>
      <c r="AW49" s="473"/>
    </row>
    <row r="50" spans="3:52" s="299" customFormat="1">
      <c r="C50" s="310" t="str">
        <v>GigaEthernet (750Mbps)</v>
      </c>
      <c r="E50" s="335">
        <v>0</v>
      </c>
      <c r="F50" s="335">
        <v>0</v>
      </c>
      <c r="G50" s="335">
        <v>0</v>
      </c>
      <c r="H50" s="335">
        <v>0</v>
      </c>
      <c r="I50" s="335">
        <v>0</v>
      </c>
      <c r="J50" s="335">
        <v>0</v>
      </c>
      <c r="K50" s="473"/>
      <c r="L50" s="473"/>
      <c r="M50" s="473"/>
      <c r="N50" s="473"/>
      <c r="O50" s="473"/>
      <c r="T50" s="310" t="str">
        <v>GigaEthernet (750Mbps)</v>
      </c>
      <c r="V50" s="335">
        <v>0</v>
      </c>
      <c r="W50" s="335">
        <v>0</v>
      </c>
      <c r="X50" s="335">
        <v>0</v>
      </c>
      <c r="Y50" s="335">
        <v>0</v>
      </c>
      <c r="Z50" s="335">
        <v>0</v>
      </c>
      <c r="AA50" s="335">
        <v>0</v>
      </c>
      <c r="AB50" s="473"/>
      <c r="AC50" s="473"/>
      <c r="AD50" s="473"/>
      <c r="AE50" s="473"/>
      <c r="AF50" s="473"/>
      <c r="AK50" s="310" t="str">
        <v>GigaEthernet (750Mbps)</v>
      </c>
      <c r="AM50" s="335">
        <v>0</v>
      </c>
      <c r="AN50" s="335">
        <v>0</v>
      </c>
      <c r="AO50" s="335">
        <v>0</v>
      </c>
      <c r="AP50" s="335">
        <v>0</v>
      </c>
      <c r="AQ50" s="335">
        <v>0</v>
      </c>
      <c r="AR50" s="335">
        <v>0</v>
      </c>
      <c r="AS50" s="473"/>
      <c r="AT50" s="473"/>
      <c r="AU50" s="473"/>
      <c r="AV50" s="473"/>
      <c r="AW50" s="473"/>
    </row>
    <row r="51" spans="3:52" s="299" customFormat="1">
      <c r="C51" s="310" t="str">
        <v>GigaEthernet (1 Gbps)</v>
      </c>
      <c r="E51" s="335">
        <v>0</v>
      </c>
      <c r="F51" s="335">
        <v>0</v>
      </c>
      <c r="G51" s="335">
        <v>0</v>
      </c>
      <c r="H51" s="335">
        <v>0</v>
      </c>
      <c r="I51" s="335">
        <v>0</v>
      </c>
      <c r="J51" s="335">
        <v>0</v>
      </c>
      <c r="K51" s="473"/>
      <c r="L51" s="473"/>
      <c r="M51" s="473"/>
      <c r="N51" s="473"/>
      <c r="O51" s="473"/>
      <c r="Q51" s="326" t="s">
        <v>500</v>
      </c>
      <c r="T51" s="310" t="str">
        <v>GigaEthernet (1 Gbps)</v>
      </c>
      <c r="V51" s="335">
        <v>0</v>
      </c>
      <c r="W51" s="335">
        <v>5.92</v>
      </c>
      <c r="X51" s="335">
        <v>9.1</v>
      </c>
      <c r="Y51" s="335">
        <v>11.57</v>
      </c>
      <c r="Z51" s="335">
        <v>18.399999999999999</v>
      </c>
      <c r="AA51" s="335">
        <v>23</v>
      </c>
      <c r="AB51" s="473"/>
      <c r="AC51" s="473"/>
      <c r="AD51" s="473"/>
      <c r="AE51" s="473"/>
      <c r="AF51" s="473"/>
      <c r="AH51" s="338" t="s">
        <v>500</v>
      </c>
      <c r="AK51" s="310" t="str">
        <v>GigaEthernet (1 Gbps)</v>
      </c>
      <c r="AM51" s="335">
        <v>0</v>
      </c>
      <c r="AN51" s="335">
        <v>5.92</v>
      </c>
      <c r="AO51" s="335">
        <v>9.1</v>
      </c>
      <c r="AP51" s="335">
        <v>11.57</v>
      </c>
      <c r="AQ51" s="335">
        <v>18.399999999999999</v>
      </c>
      <c r="AR51" s="335">
        <v>23</v>
      </c>
      <c r="AS51" s="473"/>
      <c r="AT51" s="473"/>
      <c r="AU51" s="473"/>
      <c r="AV51" s="473"/>
      <c r="AW51" s="473"/>
      <c r="AY51" s="338" t="s">
        <v>500</v>
      </c>
    </row>
    <row r="52" spans="3:52" s="299" customFormat="1">
      <c r="E52" s="337">
        <f>SUM(E14:E51)</f>
        <v>23569.779999999995</v>
      </c>
      <c r="F52" s="337">
        <f t="shared" ref="F52:O52" si="0">SUM(F14:F51)</f>
        <v>24161.140000000003</v>
      </c>
      <c r="G52" s="337">
        <f t="shared" si="0"/>
        <v>22528.97</v>
      </c>
      <c r="H52" s="337">
        <f t="shared" si="0"/>
        <v>25541.520000000004</v>
      </c>
      <c r="I52" s="337">
        <f t="shared" si="0"/>
        <v>18221.120000000003</v>
      </c>
      <c r="J52" s="337">
        <f t="shared" si="0"/>
        <v>21190.730000000003</v>
      </c>
      <c r="K52" s="337">
        <f t="shared" si="0"/>
        <v>0</v>
      </c>
      <c r="L52" s="337">
        <f t="shared" si="0"/>
        <v>0</v>
      </c>
      <c r="M52" s="337">
        <f t="shared" si="0"/>
        <v>0</v>
      </c>
      <c r="N52" s="337">
        <f t="shared" si="0"/>
        <v>0</v>
      </c>
      <c r="O52" s="337">
        <f t="shared" si="0"/>
        <v>0</v>
      </c>
      <c r="P52" s="307" t="s">
        <v>531</v>
      </c>
      <c r="Q52" s="334">
        <f>(J52/E52)^(1/(J13-E13))-1</f>
        <v>-2.1055484006152314E-2</v>
      </c>
      <c r="V52" s="337">
        <f>SUM(V14:V51)</f>
        <v>35312.409999999996</v>
      </c>
      <c r="W52" s="337">
        <f t="shared" ref="W52:AA52" si="1">SUM(W14:W51)</f>
        <v>44490.81</v>
      </c>
      <c r="X52" s="337">
        <f t="shared" si="1"/>
        <v>47647.869999999988</v>
      </c>
      <c r="Y52" s="337">
        <f t="shared" si="1"/>
        <v>48305.409999999996</v>
      </c>
      <c r="Z52" s="337">
        <f t="shared" si="1"/>
        <v>44152.23</v>
      </c>
      <c r="AA52" s="337">
        <f t="shared" si="1"/>
        <v>49565.460000000006</v>
      </c>
      <c r="AB52" s="337">
        <f t="shared" ref="AB52:AF52" si="2">SUM(AB14:AB51)</f>
        <v>0</v>
      </c>
      <c r="AC52" s="337">
        <f t="shared" si="2"/>
        <v>0</v>
      </c>
      <c r="AD52" s="337">
        <f t="shared" si="2"/>
        <v>0</v>
      </c>
      <c r="AE52" s="337">
        <f t="shared" si="2"/>
        <v>0</v>
      </c>
      <c r="AF52" s="337">
        <f t="shared" si="2"/>
        <v>0</v>
      </c>
      <c r="AG52" s="307" t="s">
        <v>605</v>
      </c>
      <c r="AH52" s="334">
        <f>(AA52/V52)^(1/(AA13-V13))-1</f>
        <v>7.0164047337243352E-2</v>
      </c>
      <c r="AM52" s="337">
        <f>SUM(AM14:AM51)</f>
        <v>58882.189999999995</v>
      </c>
      <c r="AN52" s="337">
        <f t="shared" ref="AN52:AR52" si="3">SUM(AN14:AN51)</f>
        <v>68651.95</v>
      </c>
      <c r="AO52" s="337">
        <f t="shared" si="3"/>
        <v>70176.84</v>
      </c>
      <c r="AP52" s="337">
        <f t="shared" si="3"/>
        <v>73846.930000000022</v>
      </c>
      <c r="AQ52" s="337">
        <f t="shared" si="3"/>
        <v>62373.35</v>
      </c>
      <c r="AR52" s="337">
        <f t="shared" si="3"/>
        <v>70756.19</v>
      </c>
      <c r="AS52" s="337">
        <f t="shared" ref="AS52:AW52" si="4">SUM(AS14:AS51)</f>
        <v>0</v>
      </c>
      <c r="AT52" s="337">
        <f t="shared" si="4"/>
        <v>0</v>
      </c>
      <c r="AU52" s="337">
        <f t="shared" si="4"/>
        <v>0</v>
      </c>
      <c r="AV52" s="337">
        <f t="shared" si="4"/>
        <v>0</v>
      </c>
      <c r="AW52" s="337">
        <f t="shared" si="4"/>
        <v>0</v>
      </c>
      <c r="AX52" s="307" t="s">
        <v>598</v>
      </c>
      <c r="AY52" s="334">
        <f>(AR52/AM52)^(1/(AR13-AM13))-1</f>
        <v>3.7423537039728005E-2</v>
      </c>
    </row>
    <row r="53" spans="3:52" s="299" customFormat="1">
      <c r="Q53"/>
      <c r="AB53"/>
      <c r="AC53"/>
      <c r="AD53"/>
      <c r="AE53"/>
      <c r="AF53"/>
      <c r="AH53"/>
    </row>
    <row r="54" spans="3:52" s="299" customFormat="1" ht="15">
      <c r="C54" s="332" t="s">
        <v>502</v>
      </c>
      <c r="T54" s="332" t="s">
        <v>502</v>
      </c>
      <c r="AK54" s="332" t="s">
        <v>502</v>
      </c>
    </row>
    <row r="55" spans="3:52" s="299" customFormat="1" ht="15">
      <c r="C55" s="332" t="s">
        <v>501</v>
      </c>
      <c r="T55" s="332" t="s">
        <v>501</v>
      </c>
      <c r="AK55" s="332" t="s">
        <v>501</v>
      </c>
    </row>
    <row r="56" spans="3:52" s="299" customFormat="1">
      <c r="Q56"/>
      <c r="R56"/>
      <c r="AH56"/>
      <c r="AI56"/>
      <c r="AY56"/>
      <c r="AZ56"/>
    </row>
    <row r="57" spans="3:52" s="299" customFormat="1">
      <c r="C57" s="326" t="s">
        <v>442</v>
      </c>
      <c r="D57" s="326">
        <f t="array" ref="D57:O57">TRANSPOSE(Years)</f>
        <v>2008</v>
      </c>
      <c r="E57" s="326">
        <v>2009</v>
      </c>
      <c r="F57" s="326">
        <v>2010</v>
      </c>
      <c r="G57" s="326">
        <v>2011</v>
      </c>
      <c r="H57" s="326">
        <v>2012</v>
      </c>
      <c r="I57" s="326">
        <v>2013</v>
      </c>
      <c r="J57" s="326">
        <v>2014</v>
      </c>
      <c r="K57" s="326">
        <v>2015</v>
      </c>
      <c r="L57" s="326">
        <v>2016</v>
      </c>
      <c r="M57" s="326">
        <v>2017</v>
      </c>
      <c r="N57" s="326">
        <v>2018</v>
      </c>
      <c r="O57" s="326">
        <v>2019</v>
      </c>
      <c r="Q57"/>
      <c r="R57"/>
      <c r="T57" s="338" t="s">
        <v>442</v>
      </c>
      <c r="U57" s="338">
        <f t="array" ref="U57:AF57">TRANSPOSE(Years)</f>
        <v>2008</v>
      </c>
      <c r="V57" s="338">
        <v>2009</v>
      </c>
      <c r="W57" s="338">
        <v>2010</v>
      </c>
      <c r="X57" s="338">
        <v>2011</v>
      </c>
      <c r="Y57" s="338">
        <v>2012</v>
      </c>
      <c r="Z57" s="338">
        <v>2013</v>
      </c>
      <c r="AA57" s="338">
        <v>2014</v>
      </c>
      <c r="AB57" s="338">
        <v>2015</v>
      </c>
      <c r="AC57" s="338">
        <v>2016</v>
      </c>
      <c r="AD57" s="338">
        <v>2017</v>
      </c>
      <c r="AE57" s="338">
        <v>2018</v>
      </c>
      <c r="AF57" s="338">
        <v>2019</v>
      </c>
      <c r="AH57"/>
      <c r="AI57"/>
      <c r="AK57" s="338" t="s">
        <v>442</v>
      </c>
      <c r="AL57" s="338">
        <f t="array" ref="AL57:AW57">TRANSPOSE(Years)</f>
        <v>2008</v>
      </c>
      <c r="AM57" s="338">
        <v>2009</v>
      </c>
      <c r="AN57" s="338">
        <v>2010</v>
      </c>
      <c r="AO57" s="338">
        <v>2011</v>
      </c>
      <c r="AP57" s="338">
        <v>2012</v>
      </c>
      <c r="AQ57" s="338">
        <v>2013</v>
      </c>
      <c r="AR57" s="338">
        <v>2014</v>
      </c>
      <c r="AS57" s="338">
        <v>2015</v>
      </c>
      <c r="AT57" s="338">
        <v>2016</v>
      </c>
      <c r="AU57" s="338">
        <v>2017</v>
      </c>
      <c r="AV57" s="338">
        <v>2018</v>
      </c>
      <c r="AW57" s="338">
        <v>2019</v>
      </c>
      <c r="AY57"/>
      <c r="AZ57"/>
    </row>
    <row r="58" spans="3:52" s="299" customFormat="1">
      <c r="C58" s="310" t="str">
        <f t="array" ref="C58:C95">LL.list</f>
        <v>64 kbps</v>
      </c>
      <c r="E58" s="333">
        <f t="array" ref="E58:E95">E14:E51/E52</f>
        <v>0.36023416425609406</v>
      </c>
      <c r="F58" s="333">
        <f t="array" ref="F58:F95">F14:F51/F52</f>
        <v>0.4066579639867986</v>
      </c>
      <c r="G58" s="333">
        <f t="array" ref="G58:G95">G14:G51/G52</f>
        <v>0.39714554193999985</v>
      </c>
      <c r="H58" s="333">
        <f t="array" ref="H58:H95">H14:H51/H52</f>
        <v>0.39986461259940675</v>
      </c>
      <c r="I58" s="333">
        <f t="array" ref="I58:I95">I14:I51/I52</f>
        <v>0.40021140303120772</v>
      </c>
      <c r="J58" s="333">
        <f t="array" ref="J58:J95">J14:J51/J52</f>
        <v>0.4851800763824558</v>
      </c>
      <c r="K58" s="474"/>
      <c r="L58" s="474"/>
      <c r="M58" s="474"/>
      <c r="N58" s="474"/>
      <c r="O58" s="474"/>
      <c r="Q58"/>
      <c r="R58"/>
      <c r="T58" s="310" t="str">
        <f t="array" ref="T58:T95">LL.list</f>
        <v>64 kbps</v>
      </c>
      <c r="V58" s="333">
        <f t="array" ref="V58:V95">V14:V51/V52</f>
        <v>0.24048202883915318</v>
      </c>
      <c r="W58" s="333">
        <f t="array" ref="W58:W95">W14:W51/W52</f>
        <v>0.22085459896099893</v>
      </c>
      <c r="X58" s="333">
        <f t="array" ref="X58:X95">X14:X51/X52</f>
        <v>0.18779433372362714</v>
      </c>
      <c r="Y58" s="333">
        <f t="array" ref="Y58:Y95">Y14:Y51/Y52</f>
        <v>0.21144629555985553</v>
      </c>
      <c r="Z58" s="333">
        <f t="array" ref="Z58:Z95">Z14:Z51/Z52</f>
        <v>0.16520116877448771</v>
      </c>
      <c r="AA58" s="333">
        <f t="array" ref="AA58:AA95">AA14:AA51/AA52</f>
        <v>0.2074428442709903</v>
      </c>
      <c r="AB58" s="474"/>
      <c r="AC58" s="474"/>
      <c r="AD58" s="474"/>
      <c r="AE58" s="474"/>
      <c r="AF58" s="474"/>
      <c r="AH58"/>
      <c r="AI58"/>
      <c r="AK58" s="310" t="str">
        <f t="array" ref="AK58:AK95">LL.list</f>
        <v>64 kbps</v>
      </c>
      <c r="AM58" s="333">
        <f t="array" ref="AM58:AM95">AM14:AM51/AM52</f>
        <v>0.28841726165416065</v>
      </c>
      <c r="AN58" s="333">
        <f t="array" ref="AN58:AN95">AN14:AN51/AN52</f>
        <v>0.28624562011712706</v>
      </c>
      <c r="AO58" s="333">
        <f t="array" ref="AO58:AO95">AO14:AO51/AO52</f>
        <v>0.25500264759712749</v>
      </c>
      <c r="AP58" s="333">
        <f t="array" ref="AP58:AP95">AP14:AP51/AP52</f>
        <v>0.27661474891373272</v>
      </c>
      <c r="AQ58" s="333">
        <f t="array" ref="AQ58:AQ95">AQ14:AQ51/AQ52</f>
        <v>0.23385468312989444</v>
      </c>
      <c r="AR58" s="333">
        <f t="array" ref="AR58:AR95">AR14:AR51/AR52</f>
        <v>0.29062220563317498</v>
      </c>
      <c r="AS58" s="474"/>
      <c r="AT58" s="474"/>
      <c r="AU58" s="474"/>
      <c r="AV58" s="474"/>
      <c r="AW58" s="474"/>
      <c r="AY58"/>
      <c r="AZ58"/>
    </row>
    <row r="59" spans="3:52" s="299" customFormat="1">
      <c r="C59" s="310" t="str">
        <v>128 kbps</v>
      </c>
      <c r="E59" s="333">
        <v>0.23852747034550181</v>
      </c>
      <c r="F59" s="333">
        <v>0.20503171621868838</v>
      </c>
      <c r="G59" s="333">
        <v>0.20011656103230641</v>
      </c>
      <c r="H59" s="333">
        <v>0.22288493402115453</v>
      </c>
      <c r="I59" s="333">
        <v>0.17266446848492298</v>
      </c>
      <c r="J59" s="333">
        <v>0.15813990362767114</v>
      </c>
      <c r="K59" s="474"/>
      <c r="L59" s="474"/>
      <c r="M59" s="474"/>
      <c r="N59" s="474"/>
      <c r="O59" s="474"/>
      <c r="Q59"/>
      <c r="R59"/>
      <c r="T59" s="310" t="str">
        <v>128 kbps</v>
      </c>
      <c r="V59" s="333">
        <v>0.1592641227262597</v>
      </c>
      <c r="W59" s="333">
        <v>0.11134883810836441</v>
      </c>
      <c r="X59" s="333">
        <v>9.4631722257469242E-2</v>
      </c>
      <c r="Y59" s="333">
        <v>0.11787499578204595</v>
      </c>
      <c r="Z59" s="333">
        <v>7.1276128068729475E-2</v>
      </c>
      <c r="AA59" s="333">
        <v>6.7647914495295711E-2</v>
      </c>
      <c r="AB59" s="474"/>
      <c r="AC59" s="474"/>
      <c r="AD59" s="474"/>
      <c r="AE59" s="474"/>
      <c r="AF59" s="474"/>
      <c r="AH59"/>
      <c r="AI59"/>
      <c r="AK59" s="310" t="str">
        <v>128 kbps</v>
      </c>
      <c r="AM59" s="333">
        <v>0.19099221683160905</v>
      </c>
      <c r="AN59" s="333">
        <v>0.14431928007871592</v>
      </c>
      <c r="AO59" s="333">
        <v>0.12849566894149125</v>
      </c>
      <c r="AP59" s="333">
        <v>0.15419490018068452</v>
      </c>
      <c r="AQ59" s="333">
        <v>0.10089469300590717</v>
      </c>
      <c r="AR59" s="333">
        <v>9.4749307445751385E-2</v>
      </c>
      <c r="AS59" s="474"/>
      <c r="AT59" s="474"/>
      <c r="AU59" s="474"/>
      <c r="AV59" s="474"/>
      <c r="AW59" s="474"/>
      <c r="AY59"/>
      <c r="AZ59"/>
    </row>
    <row r="60" spans="3:52" s="299" customFormat="1">
      <c r="C60" s="310" t="str">
        <v>192 kbps</v>
      </c>
      <c r="E60" s="333">
        <v>3.3748299729568977E-2</v>
      </c>
      <c r="F60" s="333">
        <v>4.3449936551007116E-2</v>
      </c>
      <c r="G60" s="333">
        <v>4.5500526655235456E-2</v>
      </c>
      <c r="H60" s="333">
        <v>3.2152354284318237E-2</v>
      </c>
      <c r="I60" s="333">
        <v>4.1715876960362469E-2</v>
      </c>
      <c r="J60" s="333">
        <v>2.0336250804007219E-2</v>
      </c>
      <c r="K60" s="474"/>
      <c r="L60" s="474"/>
      <c r="M60" s="474"/>
      <c r="N60" s="474"/>
      <c r="O60" s="474"/>
      <c r="Q60"/>
      <c r="R60"/>
      <c r="T60" s="310" t="str">
        <v>192 kbps</v>
      </c>
      <c r="V60" s="333">
        <v>2.2541650371639889E-2</v>
      </c>
      <c r="W60" s="333">
        <v>2.3622856046001412E-2</v>
      </c>
      <c r="X60" s="333">
        <v>2.155395403823928E-2</v>
      </c>
      <c r="Y60" s="333">
        <v>1.7016727525964486E-2</v>
      </c>
      <c r="Z60" s="333">
        <v>1.7258471429415907E-2</v>
      </c>
      <c r="AA60" s="333">
        <v>8.695571472553669E-3</v>
      </c>
      <c r="AB60" s="474"/>
      <c r="AC60" s="474"/>
      <c r="AD60" s="474"/>
      <c r="AE60" s="474"/>
      <c r="AF60" s="474"/>
      <c r="AH60"/>
      <c r="AI60"/>
      <c r="AK60" s="310" t="str">
        <v>192 kbps</v>
      </c>
      <c r="AM60" s="333">
        <v>2.7027527338911821E-2</v>
      </c>
      <c r="AN60" s="333">
        <v>3.060073311828725E-2</v>
      </c>
      <c r="AO60" s="333">
        <v>2.9241556046125758E-2</v>
      </c>
      <c r="AP60" s="333">
        <v>2.225170362532335E-2</v>
      </c>
      <c r="AQ60" s="333">
        <v>2.4403210666093772E-2</v>
      </c>
      <c r="AR60" s="333">
        <v>1.2181831723839284E-2</v>
      </c>
      <c r="AS60" s="474"/>
      <c r="AT60" s="474"/>
      <c r="AU60" s="474"/>
      <c r="AV60" s="474"/>
      <c r="AW60" s="474"/>
      <c r="AY60"/>
      <c r="AZ60"/>
    </row>
    <row r="61" spans="3:52" s="299" customFormat="1">
      <c r="C61" s="310" t="str">
        <v>256 kbps</v>
      </c>
      <c r="E61" s="333">
        <v>0.11964854996525211</v>
      </c>
      <c r="F61" s="333">
        <v>9.2302349971897013E-2</v>
      </c>
      <c r="G61" s="333">
        <v>0.12675501809448014</v>
      </c>
      <c r="H61" s="333">
        <v>0.12055194835702807</v>
      </c>
      <c r="I61" s="333">
        <v>0.1166558367432957</v>
      </c>
      <c r="J61" s="333">
        <v>8.9617016497308022E-2</v>
      </c>
      <c r="K61" s="474"/>
      <c r="L61" s="474"/>
      <c r="M61" s="474"/>
      <c r="N61" s="474"/>
      <c r="O61" s="474"/>
      <c r="Q61"/>
      <c r="R61"/>
      <c r="T61" s="310" t="str">
        <v>256 kbps</v>
      </c>
      <c r="V61" s="333">
        <v>7.9915247925587643E-2</v>
      </c>
      <c r="W61" s="333">
        <v>5.0145187286992528E-2</v>
      </c>
      <c r="X61" s="333">
        <v>5.9939720285502811E-2</v>
      </c>
      <c r="Y61" s="333">
        <v>6.3760974184879096E-2</v>
      </c>
      <c r="Z61" s="333">
        <v>4.8151588266323125E-2</v>
      </c>
      <c r="AA61" s="333">
        <v>3.8333145702672787E-2</v>
      </c>
      <c r="AB61" s="474"/>
      <c r="AC61" s="474"/>
      <c r="AD61" s="474"/>
      <c r="AE61" s="474"/>
      <c r="AF61" s="474"/>
      <c r="AH61"/>
      <c r="AI61"/>
      <c r="AK61" s="310" t="str">
        <v>256 kbps</v>
      </c>
      <c r="AM61" s="333">
        <v>9.5819975445886094E-2</v>
      </c>
      <c r="AN61" s="333">
        <v>6.4981839554448209E-2</v>
      </c>
      <c r="AO61" s="333">
        <v>8.1389529651092876E-2</v>
      </c>
      <c r="AP61" s="333">
        <v>8.3403331729565447E-2</v>
      </c>
      <c r="AQ61" s="333">
        <v>6.8163726976344874E-2</v>
      </c>
      <c r="AR61" s="333">
        <v>5.3692122201605262E-2</v>
      </c>
      <c r="AS61" s="474"/>
      <c r="AT61" s="474"/>
      <c r="AU61" s="474"/>
      <c r="AV61" s="474"/>
      <c r="AW61" s="474"/>
      <c r="AY61"/>
      <c r="AZ61"/>
    </row>
    <row r="62" spans="3:52" s="299" customFormat="1">
      <c r="C62" s="310" t="str">
        <v>384 kbps</v>
      </c>
      <c r="E62" s="333">
        <v>5.6936466950476425E-2</v>
      </c>
      <c r="F62" s="333">
        <v>6.4807372499807545E-2</v>
      </c>
      <c r="G62" s="333">
        <v>4.2970450934951755E-2</v>
      </c>
      <c r="H62" s="333">
        <v>4.7189047480337899E-2</v>
      </c>
      <c r="I62" s="333">
        <v>4.9601780790642938E-2</v>
      </c>
      <c r="J62" s="333">
        <v>4.2126911154075387E-2</v>
      </c>
      <c r="K62" s="474"/>
      <c r="L62" s="474"/>
      <c r="M62" s="474"/>
      <c r="N62" s="474"/>
      <c r="O62" s="474"/>
      <c r="Q62"/>
      <c r="R62"/>
      <c r="T62" s="310" t="str">
        <v>384 kbps</v>
      </c>
      <c r="V62" s="333">
        <v>3.8003636681835089E-2</v>
      </c>
      <c r="W62" s="333">
        <v>3.5198280274061092E-2</v>
      </c>
      <c r="X62" s="333">
        <v>2.033669081115274E-2</v>
      </c>
      <c r="Y62" s="333">
        <v>2.496614768407928E-2</v>
      </c>
      <c r="Z62" s="333">
        <v>2.0497265936511019E-2</v>
      </c>
      <c r="AA62" s="333">
        <v>1.803675382009972E-2</v>
      </c>
      <c r="AB62" s="474"/>
      <c r="AC62" s="474"/>
      <c r="AD62" s="474"/>
      <c r="AE62" s="474"/>
      <c r="AF62" s="474"/>
      <c r="AH62"/>
      <c r="AI62"/>
      <c r="AK62" s="310" t="str">
        <v>384 kbps</v>
      </c>
      <c r="AM62" s="333">
        <v>4.5582204058646603E-2</v>
      </c>
      <c r="AN62" s="333">
        <v>4.5618806166467234E-2</v>
      </c>
      <c r="AO62" s="333">
        <v>2.7602838771309739E-2</v>
      </c>
      <c r="AP62" s="333">
        <v>3.2652406809599258E-2</v>
      </c>
      <c r="AQ62" s="333">
        <v>2.8999564717944442E-2</v>
      </c>
      <c r="AR62" s="333">
        <v>2.5251500964085263E-2</v>
      </c>
      <c r="AS62" s="474"/>
      <c r="AT62" s="474"/>
      <c r="AU62" s="474"/>
      <c r="AV62" s="474"/>
      <c r="AW62" s="474"/>
      <c r="AY62"/>
      <c r="AZ62"/>
    </row>
    <row r="63" spans="3:52" s="299" customFormat="1">
      <c r="C63" s="310" t="str">
        <v>512 kbps</v>
      </c>
      <c r="E63" s="333">
        <v>8.7907481529314255E-2</v>
      </c>
      <c r="F63" s="333">
        <v>9.2245233461666118E-2</v>
      </c>
      <c r="G63" s="333">
        <v>7.448542920515229E-2</v>
      </c>
      <c r="H63" s="333">
        <v>7.5809896983421499E-2</v>
      </c>
      <c r="I63" s="333">
        <v>7.0138388858643153E-2</v>
      </c>
      <c r="J63" s="333">
        <v>5.1737717388688355E-2</v>
      </c>
      <c r="K63" s="474"/>
      <c r="L63" s="474"/>
      <c r="M63" s="474"/>
      <c r="N63" s="474"/>
      <c r="O63" s="474"/>
      <c r="Q63"/>
      <c r="R63"/>
      <c r="T63" s="310" t="str">
        <v>512 kbps</v>
      </c>
      <c r="V63" s="333">
        <v>5.8676255741253576E-2</v>
      </c>
      <c r="W63" s="333">
        <v>5.0122710735093383E-2</v>
      </c>
      <c r="X63" s="333">
        <v>3.5258658991472243E-2</v>
      </c>
      <c r="Y63" s="333">
        <v>4.0119729860485606E-2</v>
      </c>
      <c r="Z63" s="333">
        <v>2.8945310350122745E-2</v>
      </c>
      <c r="AA63" s="333">
        <v>2.2132347808332654E-2</v>
      </c>
      <c r="AB63" s="474"/>
      <c r="AC63" s="474"/>
      <c r="AD63" s="474"/>
      <c r="AE63" s="474"/>
      <c r="AF63" s="474"/>
      <c r="AH63"/>
      <c r="AI63"/>
      <c r="AK63" s="310" t="str">
        <v>512 kbps</v>
      </c>
      <c r="AM63" s="333">
        <v>7.0377137806864873E-2</v>
      </c>
      <c r="AN63" s="333">
        <v>6.494717193029477E-2</v>
      </c>
      <c r="AO63" s="333">
        <v>4.7851684401862493E-2</v>
      </c>
      <c r="AP63" s="333">
        <v>5.246392774892604E-2</v>
      </c>
      <c r="AQ63" s="333">
        <v>4.0979039926507074E-2</v>
      </c>
      <c r="AR63" s="333">
        <v>3.0998842645427915E-2</v>
      </c>
      <c r="AS63" s="474"/>
      <c r="AT63" s="474"/>
      <c r="AU63" s="474"/>
      <c r="AV63" s="474"/>
      <c r="AW63" s="474"/>
      <c r="AY63"/>
      <c r="AZ63"/>
    </row>
    <row r="64" spans="3:52" s="299" customFormat="1">
      <c r="C64" s="310" t="str">
        <v>768 kbps</v>
      </c>
      <c r="E64" s="333">
        <v>2.0386274288516911E-2</v>
      </c>
      <c r="F64" s="333">
        <v>1.6907314803854451E-2</v>
      </c>
      <c r="G64" s="333">
        <v>1.5602133608416184E-2</v>
      </c>
      <c r="H64" s="333">
        <v>1.5521394184840991E-2</v>
      </c>
      <c r="I64" s="333">
        <v>1.1852729140689485E-2</v>
      </c>
      <c r="J64" s="333">
        <v>8.6594468430299457E-3</v>
      </c>
      <c r="K64" s="474"/>
      <c r="L64" s="474"/>
      <c r="M64" s="474"/>
      <c r="N64" s="474"/>
      <c r="O64" s="474"/>
      <c r="Q64"/>
      <c r="R64"/>
      <c r="T64" s="310" t="str">
        <v>768 kbps</v>
      </c>
      <c r="V64" s="333">
        <v>1.3621273654219581E-2</v>
      </c>
      <c r="W64" s="333">
        <v>9.1929097267503118E-3</v>
      </c>
      <c r="X64" s="333">
        <v>7.3875285505941839E-3</v>
      </c>
      <c r="Y64" s="333">
        <v>8.218541153050974E-3</v>
      </c>
      <c r="Z64" s="333">
        <v>4.8921651295982102E-3</v>
      </c>
      <c r="AA64" s="333">
        <v>3.7122625312062062E-3</v>
      </c>
      <c r="AB64" s="474"/>
      <c r="AC64" s="474"/>
      <c r="AD64" s="474"/>
      <c r="AE64" s="474"/>
      <c r="AF64" s="474"/>
      <c r="AH64"/>
      <c r="AI64"/>
      <c r="AK64" s="310" t="str">
        <v>768 kbps</v>
      </c>
      <c r="AM64" s="333">
        <v>1.6329216015912452E-2</v>
      </c>
      <c r="AN64" s="333">
        <v>1.1907891909843786E-2</v>
      </c>
      <c r="AO64" s="333">
        <v>1.00246748072441E-2</v>
      </c>
      <c r="AP64" s="333">
        <v>1.0744387072015041E-2</v>
      </c>
      <c r="AQ64" s="333">
        <v>6.9255539425091012E-3</v>
      </c>
      <c r="AR64" s="333">
        <v>5.1938918700964532E-3</v>
      </c>
      <c r="AS64" s="474"/>
      <c r="AT64" s="474"/>
      <c r="AU64" s="474"/>
      <c r="AV64" s="474"/>
      <c r="AW64" s="474"/>
      <c r="AY64"/>
      <c r="AZ64"/>
    </row>
    <row r="65" spans="3:52" s="299" customFormat="1">
      <c r="C65" s="310" t="str">
        <v>1024 kbps</v>
      </c>
      <c r="E65" s="333">
        <v>4.746544091629197E-2</v>
      </c>
      <c r="F65" s="333">
        <v>2.2338349928852693E-2</v>
      </c>
      <c r="G65" s="333">
        <v>2.2827497218026387E-2</v>
      </c>
      <c r="H65" s="333">
        <v>1.7618371968465461E-2</v>
      </c>
      <c r="I65" s="333">
        <v>1.7632286050473293E-2</v>
      </c>
      <c r="J65" s="333">
        <v>1.4166571892520928E-2</v>
      </c>
      <c r="K65" s="474"/>
      <c r="L65" s="474"/>
      <c r="M65" s="474"/>
      <c r="N65" s="474"/>
      <c r="O65" s="474"/>
      <c r="Q65"/>
      <c r="R65"/>
      <c r="T65" s="310" t="str">
        <v>1024 kbps</v>
      </c>
      <c r="V65" s="333">
        <v>3.17168949952722E-2</v>
      </c>
      <c r="W65" s="333">
        <v>1.2159814577437453E-2</v>
      </c>
      <c r="X65" s="333">
        <v>1.0829445261666473E-2</v>
      </c>
      <c r="Y65" s="333">
        <v>9.3364283627858664E-3</v>
      </c>
      <c r="Z65" s="333">
        <v>7.2929498691232577E-3</v>
      </c>
      <c r="AA65" s="333">
        <v>6.072777292897109E-3</v>
      </c>
      <c r="AB65" s="474"/>
      <c r="AC65" s="474"/>
      <c r="AD65" s="474"/>
      <c r="AE65" s="474"/>
      <c r="AF65" s="474"/>
      <c r="AH65"/>
      <c r="AI65"/>
      <c r="AK65" s="310" t="str">
        <v>1024 kbps</v>
      </c>
      <c r="AM65" s="333">
        <v>3.8020834483228294E-2</v>
      </c>
      <c r="AN65" s="333">
        <v>1.5742014611383946E-2</v>
      </c>
      <c r="AO65" s="333">
        <v>1.4681196816499575E-2</v>
      </c>
      <c r="AP65" s="333">
        <v>1.22009134299828E-2</v>
      </c>
      <c r="AQ65" s="333">
        <v>1.0313379031268962E-2</v>
      </c>
      <c r="AR65" s="333">
        <v>8.4967831083047288E-3</v>
      </c>
      <c r="AS65" s="474"/>
      <c r="AT65" s="474"/>
      <c r="AU65" s="474"/>
      <c r="AV65" s="474"/>
      <c r="AW65" s="474"/>
      <c r="AY65"/>
      <c r="AZ65"/>
    </row>
    <row r="66" spans="3:52" s="299" customFormat="1">
      <c r="C66" s="331" t="str">
        <v>E1 (2.04 Mbps)</v>
      </c>
      <c r="E66" s="333">
        <v>2.6779630526886575E-2</v>
      </c>
      <c r="F66" s="333">
        <v>4.5858349399076279E-2</v>
      </c>
      <c r="G66" s="333">
        <v>6.0337423326499336E-2</v>
      </c>
      <c r="H66" s="333">
        <v>4.6559484321998086E-2</v>
      </c>
      <c r="I66" s="333">
        <v>7.2899470504557404E-2</v>
      </c>
      <c r="J66" s="333">
        <v>6.7955657969310107E-2</v>
      </c>
      <c r="K66" s="474"/>
      <c r="L66" s="474"/>
      <c r="M66" s="474"/>
      <c r="N66" s="474"/>
      <c r="O66" s="474"/>
      <c r="Q66"/>
      <c r="R66"/>
      <c r="T66" s="331" t="str">
        <v>E1 (2.04 Mbps)</v>
      </c>
      <c r="V66" s="333">
        <v>0.33993714957432813</v>
      </c>
      <c r="W66" s="333">
        <v>0.47331122989219576</v>
      </c>
      <c r="X66" s="333">
        <v>0.54208089469686693</v>
      </c>
      <c r="Y66" s="333">
        <v>0.46814632149897911</v>
      </c>
      <c r="Z66" s="333">
        <v>0.57163590604596859</v>
      </c>
      <c r="AA66" s="333">
        <v>0.55211835015754918</v>
      </c>
      <c r="AB66" s="474"/>
      <c r="AC66" s="474"/>
      <c r="AD66" s="474"/>
      <c r="AE66" s="474"/>
      <c r="AF66" s="474"/>
      <c r="AH66"/>
      <c r="AI66"/>
      <c r="AK66" s="331" t="str">
        <v>E1 (2.04 Mbps)</v>
      </c>
      <c r="AM66" s="333">
        <v>0.21458424015818708</v>
      </c>
      <c r="AN66" s="333">
        <v>0.32287487828095196</v>
      </c>
      <c r="AO66" s="333">
        <v>0.38742610810062128</v>
      </c>
      <c r="AP66" s="333">
        <v>0.32233161216045125</v>
      </c>
      <c r="AQ66" s="333">
        <v>0.42594008498822017</v>
      </c>
      <c r="AR66" s="333">
        <v>0.4071167483721212</v>
      </c>
      <c r="AS66" s="474"/>
      <c r="AT66" s="474"/>
      <c r="AU66" s="474"/>
      <c r="AV66" s="474"/>
      <c r="AW66" s="474"/>
      <c r="AY66"/>
      <c r="AZ66"/>
    </row>
    <row r="67" spans="3:52" s="299" customFormat="1">
      <c r="C67" s="331" t="str">
        <v>E2 *</v>
      </c>
      <c r="E67" s="333">
        <v>0</v>
      </c>
      <c r="F67" s="333">
        <v>0</v>
      </c>
      <c r="G67" s="333">
        <v>0</v>
      </c>
      <c r="H67" s="333">
        <v>0</v>
      </c>
      <c r="I67" s="333">
        <v>0</v>
      </c>
      <c r="J67" s="333">
        <v>0</v>
      </c>
      <c r="K67" s="474"/>
      <c r="L67" s="474"/>
      <c r="M67" s="474"/>
      <c r="N67" s="474"/>
      <c r="O67" s="474"/>
      <c r="Q67"/>
      <c r="R67"/>
      <c r="T67" s="331" t="str">
        <v>E2 *</v>
      </c>
      <c r="V67" s="333">
        <v>0</v>
      </c>
      <c r="W67" s="333">
        <v>0</v>
      </c>
      <c r="X67" s="333">
        <v>0</v>
      </c>
      <c r="Y67" s="333">
        <v>0</v>
      </c>
      <c r="Z67" s="333">
        <v>0</v>
      </c>
      <c r="AA67" s="333">
        <v>0</v>
      </c>
      <c r="AB67" s="474"/>
      <c r="AC67" s="474"/>
      <c r="AD67" s="474"/>
      <c r="AE67" s="474"/>
      <c r="AF67" s="474"/>
      <c r="AH67"/>
      <c r="AI67"/>
      <c r="AK67" s="331" t="str">
        <v>E2 *</v>
      </c>
      <c r="AM67" s="333">
        <v>0</v>
      </c>
      <c r="AN67" s="333">
        <v>0</v>
      </c>
      <c r="AO67" s="333">
        <v>0</v>
      </c>
      <c r="AP67" s="333">
        <v>0</v>
      </c>
      <c r="AQ67" s="333">
        <v>0</v>
      </c>
      <c r="AR67" s="333">
        <v>0</v>
      </c>
      <c r="AS67" s="474"/>
      <c r="AT67" s="474"/>
      <c r="AU67" s="474"/>
      <c r="AV67" s="474"/>
      <c r="AW67" s="474"/>
      <c r="AY67"/>
      <c r="AZ67"/>
    </row>
    <row r="68" spans="3:52" s="299" customFormat="1">
      <c r="C68" s="331" t="str">
        <v>E3 (34 Mbps)</v>
      </c>
      <c r="E68" s="333">
        <v>7.3186936831824492E-3</v>
      </c>
      <c r="F68" s="333">
        <v>8.0592223711298365E-3</v>
      </c>
      <c r="G68" s="333">
        <v>7.7571233838031649E-3</v>
      </c>
      <c r="H68" s="333">
        <v>8.3428864061340126E-3</v>
      </c>
      <c r="I68" s="333">
        <v>9.6777805096503397E-3</v>
      </c>
      <c r="J68" s="333">
        <v>1.0322910064919895E-2</v>
      </c>
      <c r="K68" s="474"/>
      <c r="L68" s="474"/>
      <c r="M68" s="474"/>
      <c r="N68" s="474"/>
      <c r="O68" s="474"/>
      <c r="Q68"/>
      <c r="R68"/>
      <c r="T68" s="331" t="str">
        <v>E3 (34 Mbps)</v>
      </c>
      <c r="V68" s="333">
        <v>4.9274461867655035E-3</v>
      </c>
      <c r="W68" s="333">
        <v>4.4054041722324227E-3</v>
      </c>
      <c r="X68" s="333">
        <v>3.693764275297092E-3</v>
      </c>
      <c r="Y68" s="333">
        <v>4.4508472239444818E-3</v>
      </c>
      <c r="Z68" s="333">
        <v>4.0088575367540893E-3</v>
      </c>
      <c r="AA68" s="333">
        <v>4.4385747655726381E-3</v>
      </c>
      <c r="AB68" s="474"/>
      <c r="AC68" s="474"/>
      <c r="AD68" s="474"/>
      <c r="AE68" s="474"/>
      <c r="AF68" s="474"/>
      <c r="AH68"/>
      <c r="AI68"/>
      <c r="AK68" s="331" t="str">
        <v>E3 (34 Mbps)</v>
      </c>
      <c r="AM68" s="333">
        <v>5.8846316687609619E-3</v>
      </c>
      <c r="AN68" s="333">
        <v>5.6913168526167134E-3</v>
      </c>
      <c r="AO68" s="333">
        <v>4.9982301853431985E-3</v>
      </c>
      <c r="AP68" s="333">
        <v>5.7969911545408849E-3</v>
      </c>
      <c r="AQ68" s="333">
        <v>5.6649193926572817E-3</v>
      </c>
      <c r="AR68" s="333">
        <v>6.2008709061355622E-3</v>
      </c>
      <c r="AS68" s="474"/>
      <c r="AT68" s="474"/>
      <c r="AU68" s="474"/>
      <c r="AV68" s="474"/>
      <c r="AW68" s="474"/>
      <c r="AY68"/>
      <c r="AZ68"/>
    </row>
    <row r="69" spans="3:52" s="299" customFormat="1">
      <c r="C69" s="331" t="str">
        <v>STM-1 (155 Mbps)</v>
      </c>
      <c r="E69" s="333">
        <v>0</v>
      </c>
      <c r="F69" s="333">
        <v>0</v>
      </c>
      <c r="G69" s="333">
        <v>0</v>
      </c>
      <c r="H69" s="333">
        <v>0</v>
      </c>
      <c r="I69" s="333">
        <v>0</v>
      </c>
      <c r="J69" s="333">
        <v>0</v>
      </c>
      <c r="K69" s="474"/>
      <c r="L69" s="474"/>
      <c r="M69" s="474"/>
      <c r="N69" s="474"/>
      <c r="O69" s="474"/>
      <c r="Q69"/>
      <c r="R69"/>
      <c r="T69" s="331" t="str">
        <v>STM-1 (155 Mbps)</v>
      </c>
      <c r="V69" s="333">
        <v>6.2153786728235206E-3</v>
      </c>
      <c r="W69" s="333">
        <v>3.2932643842627277E-3</v>
      </c>
      <c r="X69" s="333">
        <v>4.0497088327348116E-3</v>
      </c>
      <c r="Y69" s="333">
        <v>5.8999602736008253E-3</v>
      </c>
      <c r="Z69" s="333">
        <v>6.7548117048674547E-3</v>
      </c>
      <c r="AA69" s="333">
        <v>4.4740833636972193E-3</v>
      </c>
      <c r="AB69" s="474"/>
      <c r="AC69" s="474"/>
      <c r="AD69" s="474"/>
      <c r="AE69" s="474"/>
      <c r="AF69" s="474"/>
      <c r="AH69"/>
      <c r="AI69"/>
      <c r="AK69" s="331" t="str">
        <v>STM-1 (155 Mbps)</v>
      </c>
      <c r="AM69" s="333">
        <v>3.7274428821346488E-3</v>
      </c>
      <c r="AN69" s="333">
        <v>2.1342438197312678E-3</v>
      </c>
      <c r="AO69" s="333">
        <v>2.7496250899869527E-3</v>
      </c>
      <c r="AP69" s="333">
        <v>3.8593344367870122E-3</v>
      </c>
      <c r="AQ69" s="333">
        <v>4.7815292909551919E-3</v>
      </c>
      <c r="AR69" s="333">
        <v>3.1341427513267746E-3</v>
      </c>
      <c r="AS69" s="474"/>
      <c r="AT69" s="474"/>
      <c r="AU69" s="474"/>
      <c r="AV69" s="474"/>
      <c r="AW69" s="474"/>
      <c r="AY69"/>
      <c r="AZ69"/>
    </row>
    <row r="70" spans="3:52" s="299" customFormat="1">
      <c r="C70" s="310" t="str">
        <v>STM-4 (622.08 Mbps)</v>
      </c>
      <c r="E70" s="333">
        <v>0</v>
      </c>
      <c r="F70" s="333">
        <v>0</v>
      </c>
      <c r="G70" s="333">
        <v>0</v>
      </c>
      <c r="H70" s="333">
        <v>0</v>
      </c>
      <c r="I70" s="333">
        <v>0</v>
      </c>
      <c r="J70" s="333">
        <v>0</v>
      </c>
      <c r="K70" s="474"/>
      <c r="L70" s="474"/>
      <c r="M70" s="474"/>
      <c r="N70" s="474"/>
      <c r="O70" s="474"/>
      <c r="Q70"/>
      <c r="R70"/>
      <c r="T70" s="310" t="str">
        <v>STM-4 (622.08 Mbps)</v>
      </c>
      <c r="V70" s="333">
        <v>3.0867335307898845E-5</v>
      </c>
      <c r="W70" s="333">
        <v>2.1802255342170665E-5</v>
      </c>
      <c r="X70" s="333">
        <v>2.6653867213791514E-5</v>
      </c>
      <c r="Y70" s="333">
        <v>3.2294519392341357E-5</v>
      </c>
      <c r="Z70" s="333">
        <v>7.6779813839527458E-5</v>
      </c>
      <c r="AA70" s="333">
        <v>6.2947060311757411E-5</v>
      </c>
      <c r="AB70" s="474"/>
      <c r="AC70" s="474"/>
      <c r="AD70" s="474"/>
      <c r="AE70" s="474"/>
      <c r="AF70" s="474"/>
      <c r="AH70"/>
      <c r="AI70"/>
      <c r="AK70" s="310" t="str">
        <v>STM-4 (622.08 Mbps)</v>
      </c>
      <c r="AM70" s="333">
        <v>1.8511539737227849E-5</v>
      </c>
      <c r="AN70" s="333">
        <v>1.4129241776817701E-5</v>
      </c>
      <c r="AO70" s="333">
        <v>1.8097138600142156E-5</v>
      </c>
      <c r="AP70" s="333">
        <v>2.1124777969781542E-5</v>
      </c>
      <c r="AQ70" s="333">
        <v>5.4350135113794589E-5</v>
      </c>
      <c r="AR70" s="333">
        <v>4.409508199918622E-5</v>
      </c>
      <c r="AS70" s="474"/>
      <c r="AT70" s="474"/>
      <c r="AU70" s="474"/>
      <c r="AV70" s="474"/>
      <c r="AW70" s="474"/>
      <c r="AY70"/>
      <c r="AZ70"/>
    </row>
    <row r="71" spans="3:52" s="299" customFormat="1">
      <c r="C71" s="310" t="str">
        <v>STM-16 (2488.32Mbps)</v>
      </c>
      <c r="E71" s="333">
        <v>0</v>
      </c>
      <c r="F71" s="333">
        <v>0</v>
      </c>
      <c r="G71" s="333">
        <v>0</v>
      </c>
      <c r="H71" s="333">
        <v>0</v>
      </c>
      <c r="I71" s="333">
        <v>0</v>
      </c>
      <c r="J71" s="333">
        <v>0</v>
      </c>
      <c r="K71" s="474"/>
      <c r="L71" s="474"/>
      <c r="M71" s="474"/>
      <c r="N71" s="474"/>
      <c r="O71" s="474"/>
      <c r="Q71"/>
      <c r="R71"/>
      <c r="T71" s="310" t="str">
        <v>STM-16 (2488.32Mbps)</v>
      </c>
      <c r="V71" s="333">
        <v>2.0389432496960701E-4</v>
      </c>
      <c r="W71" s="333">
        <v>2.8320455392922719E-5</v>
      </c>
      <c r="X71" s="333">
        <v>2.5394629392667505E-5</v>
      </c>
      <c r="Y71" s="333">
        <v>2.2150728044746959E-5</v>
      </c>
      <c r="Z71" s="333">
        <v>2.2648912637028752E-5</v>
      </c>
      <c r="AA71" s="333">
        <v>1.5736765077939353E-5</v>
      </c>
      <c r="AB71" s="474"/>
      <c r="AC71" s="474"/>
      <c r="AD71" s="474"/>
      <c r="AE71" s="474"/>
      <c r="AF71" s="474"/>
      <c r="AH71"/>
      <c r="AI71"/>
      <c r="AK71" s="310" t="str">
        <v>STM-16 (2488.32Mbps)</v>
      </c>
      <c r="AM71" s="333">
        <v>1.2227806064957843E-4</v>
      </c>
      <c r="AN71" s="333">
        <v>1.835344808122712E-5</v>
      </c>
      <c r="AO71" s="333">
        <v>1.7242155674151188E-5</v>
      </c>
      <c r="AP71" s="333">
        <v>1.44894310433758E-5</v>
      </c>
      <c r="AQ71" s="333">
        <v>1.6032488234157698E-5</v>
      </c>
      <c r="AR71" s="333">
        <v>1.1023770499796555E-5</v>
      </c>
      <c r="AS71" s="474"/>
      <c r="AT71" s="474"/>
      <c r="AU71" s="474"/>
      <c r="AV71" s="474"/>
      <c r="AW71" s="474"/>
      <c r="AY71"/>
      <c r="AZ71"/>
    </row>
    <row r="72" spans="3:52" s="299" customFormat="1">
      <c r="C72" s="310" t="str">
        <v>STM-64 (9953.28Mbps)</v>
      </c>
      <c r="E72" s="333">
        <v>0</v>
      </c>
      <c r="F72" s="333">
        <v>0</v>
      </c>
      <c r="G72" s="333">
        <v>0</v>
      </c>
      <c r="H72" s="333">
        <v>0</v>
      </c>
      <c r="I72" s="333">
        <v>0</v>
      </c>
      <c r="J72" s="333">
        <v>0</v>
      </c>
      <c r="K72" s="474"/>
      <c r="L72" s="474"/>
      <c r="M72" s="474"/>
      <c r="N72" s="474"/>
      <c r="O72" s="474"/>
      <c r="Q72"/>
      <c r="R72"/>
      <c r="T72" s="310" t="str">
        <v>STM-64 (9953.28Mbps)</v>
      </c>
      <c r="V72" s="333">
        <v>0</v>
      </c>
      <c r="W72" s="333">
        <v>0</v>
      </c>
      <c r="X72" s="333">
        <v>0</v>
      </c>
      <c r="Y72" s="333">
        <v>0</v>
      </c>
      <c r="Z72" s="333">
        <v>0</v>
      </c>
      <c r="AA72" s="333">
        <v>0</v>
      </c>
      <c r="AB72" s="474"/>
      <c r="AC72" s="474"/>
      <c r="AD72" s="474"/>
      <c r="AE72" s="474"/>
      <c r="AF72" s="474"/>
      <c r="AH72"/>
      <c r="AI72"/>
      <c r="AK72" s="310" t="str">
        <v>STM-64 (9953.28Mbps)</v>
      </c>
      <c r="AM72" s="333">
        <v>0</v>
      </c>
      <c r="AN72" s="333">
        <v>0</v>
      </c>
      <c r="AO72" s="333">
        <v>0</v>
      </c>
      <c r="AP72" s="333">
        <v>0</v>
      </c>
      <c r="AQ72" s="333">
        <v>0</v>
      </c>
      <c r="AR72" s="333">
        <v>0</v>
      </c>
      <c r="AS72" s="474"/>
      <c r="AT72" s="474"/>
      <c r="AU72" s="474"/>
      <c r="AV72" s="474"/>
      <c r="AW72" s="474"/>
      <c r="AY72"/>
      <c r="AZ72"/>
    </row>
    <row r="73" spans="3:52" s="299" customFormat="1">
      <c r="C73" s="310" t="str">
        <v>STM-256 (39813.12 Mbps)*</v>
      </c>
      <c r="E73" s="333">
        <v>0</v>
      </c>
      <c r="F73" s="333">
        <v>0</v>
      </c>
      <c r="G73" s="333">
        <v>0</v>
      </c>
      <c r="H73" s="333">
        <v>0</v>
      </c>
      <c r="I73" s="333">
        <v>0</v>
      </c>
      <c r="J73" s="333">
        <v>0</v>
      </c>
      <c r="K73" s="474"/>
      <c r="L73" s="474"/>
      <c r="M73" s="474"/>
      <c r="N73" s="474"/>
      <c r="O73" s="474"/>
      <c r="Q73"/>
      <c r="R73"/>
      <c r="T73" s="310" t="str">
        <v>STM-256 (39813.12 Mbps)*</v>
      </c>
      <c r="V73" s="333">
        <v>0</v>
      </c>
      <c r="W73" s="333">
        <v>0</v>
      </c>
      <c r="X73" s="333">
        <v>0</v>
      </c>
      <c r="Y73" s="333">
        <v>0</v>
      </c>
      <c r="Z73" s="333">
        <v>0</v>
      </c>
      <c r="AA73" s="333">
        <v>0</v>
      </c>
      <c r="AB73" s="474"/>
      <c r="AC73" s="474"/>
      <c r="AD73" s="474"/>
      <c r="AE73" s="474"/>
      <c r="AF73" s="474"/>
      <c r="AH73"/>
      <c r="AI73"/>
      <c r="AK73" s="310" t="str">
        <v>STM-256 (39813.12 Mbps)*</v>
      </c>
      <c r="AM73" s="333">
        <v>0</v>
      </c>
      <c r="AN73" s="333">
        <v>0</v>
      </c>
      <c r="AO73" s="333">
        <v>0</v>
      </c>
      <c r="AP73" s="333">
        <v>0</v>
      </c>
      <c r="AQ73" s="333">
        <v>0</v>
      </c>
      <c r="AR73" s="333">
        <v>0</v>
      </c>
      <c r="AS73" s="474"/>
      <c r="AT73" s="474"/>
      <c r="AU73" s="474"/>
      <c r="AV73" s="474"/>
      <c r="AW73" s="474"/>
      <c r="AY73"/>
      <c r="AZ73"/>
    </row>
    <row r="74" spans="3:52" s="299" customFormat="1">
      <c r="C74" s="310" t="str">
        <v>Ethernet (10Mbps)</v>
      </c>
      <c r="E74" s="333">
        <v>4.5609250489397874E-4</v>
      </c>
      <c r="F74" s="333">
        <v>8.9855031674829938E-4</v>
      </c>
      <c r="G74" s="333">
        <v>1.7865885568670028E-3</v>
      </c>
      <c r="H74" s="333">
        <v>3.7303966247897525E-3</v>
      </c>
      <c r="I74" s="333">
        <v>8.7206494441615049E-3</v>
      </c>
      <c r="J74" s="333">
        <v>9.0558465895228743E-3</v>
      </c>
      <c r="K74" s="474"/>
      <c r="L74" s="474"/>
      <c r="M74" s="474"/>
      <c r="N74" s="474"/>
      <c r="O74" s="474"/>
      <c r="Q74"/>
      <c r="R74"/>
      <c r="T74" s="310" t="str">
        <v>Ethernet (10Mbps)</v>
      </c>
      <c r="V74" s="333">
        <v>2.8601842808236543E-3</v>
      </c>
      <c r="W74" s="333">
        <v>4.4503572760307133E-3</v>
      </c>
      <c r="X74" s="333">
        <v>7.7862871939501201E-3</v>
      </c>
      <c r="Y74" s="333">
        <v>1.792759858574847E-2</v>
      </c>
      <c r="Z74" s="333">
        <v>3.2501189634136257E-2</v>
      </c>
      <c r="AA74" s="333">
        <v>3.5004214628493305E-2</v>
      </c>
      <c r="AB74" s="474"/>
      <c r="AC74" s="474"/>
      <c r="AD74" s="474"/>
      <c r="AE74" s="474"/>
      <c r="AF74" s="474"/>
      <c r="AH74"/>
      <c r="AI74"/>
      <c r="AK74" s="310" t="str">
        <v>Ethernet (10Mbps)</v>
      </c>
      <c r="AM74" s="333">
        <v>1.8978573996653318E-3</v>
      </c>
      <c r="AN74" s="333">
        <v>3.2003460935923892E-3</v>
      </c>
      <c r="AO74" s="333">
        <v>5.8601954718964268E-3</v>
      </c>
      <c r="AP74" s="333">
        <v>1.3017196517174102E-2</v>
      </c>
      <c r="AQ74" s="333">
        <v>2.5554182996423955E-2</v>
      </c>
      <c r="AR74" s="333">
        <v>2.7232953046228182E-2</v>
      </c>
      <c r="AS74" s="474"/>
      <c r="AT74" s="474"/>
      <c r="AU74" s="474"/>
      <c r="AV74" s="474"/>
      <c r="AW74" s="474"/>
      <c r="AY74"/>
      <c r="AZ74"/>
    </row>
    <row r="75" spans="3:52" s="299" customFormat="1">
      <c r="C75" s="310" t="str">
        <v>Ethernet (20Mbps)</v>
      </c>
      <c r="E75" s="333">
        <v>4.2427209757579418E-4</v>
      </c>
      <c r="F75" s="333">
        <v>8.9110033715296541E-4</v>
      </c>
      <c r="G75" s="333">
        <v>3.0787026659452256E-3</v>
      </c>
      <c r="H75" s="333">
        <v>6.3993842183237342E-3</v>
      </c>
      <c r="I75" s="333">
        <v>1.8018650884248609E-2</v>
      </c>
      <c r="J75" s="333">
        <v>2.6917430404709973E-2</v>
      </c>
      <c r="K75" s="474"/>
      <c r="L75" s="474"/>
      <c r="M75" s="474"/>
      <c r="N75" s="474"/>
      <c r="O75" s="474"/>
      <c r="Q75"/>
      <c r="R75"/>
      <c r="T75" s="310" t="str">
        <v>Ethernet (20Mbps)</v>
      </c>
      <c r="V75" s="333">
        <v>3.1150521870356628E-4</v>
      </c>
      <c r="W75" s="333">
        <v>5.1696069368033541E-4</v>
      </c>
      <c r="X75" s="333">
        <v>1.4691107913113433E-3</v>
      </c>
      <c r="Y75" s="333">
        <v>3.3950648591948608E-3</v>
      </c>
      <c r="Z75" s="333">
        <v>7.4741411702194879E-3</v>
      </c>
      <c r="AA75" s="333">
        <v>1.154029439048886E-2</v>
      </c>
      <c r="AB75" s="474"/>
      <c r="AC75" s="474"/>
      <c r="AD75" s="474"/>
      <c r="AE75" s="474"/>
      <c r="AF75" s="474"/>
      <c r="AH75"/>
      <c r="AI75"/>
      <c r="AK75" s="310" t="str">
        <v>Ethernet (20Mbps)</v>
      </c>
      <c r="AM75" s="333">
        <v>3.566443435612704E-4</v>
      </c>
      <c r="AN75" s="333">
        <v>6.4863416115638385E-4</v>
      </c>
      <c r="AO75" s="333">
        <v>1.9858403427683554E-3</v>
      </c>
      <c r="AP75" s="333">
        <v>4.4341721450031832E-3</v>
      </c>
      <c r="AQ75" s="333">
        <v>1.0554507654310697E-2</v>
      </c>
      <c r="AR75" s="333">
        <v>1.6145583870471259E-2</v>
      </c>
      <c r="AS75" s="474"/>
      <c r="AT75" s="474"/>
      <c r="AU75" s="474"/>
      <c r="AV75" s="474"/>
      <c r="AW75" s="474"/>
      <c r="AY75"/>
      <c r="AZ75"/>
    </row>
    <row r="76" spans="3:52" s="299" customFormat="1">
      <c r="C76" s="310" t="str">
        <v>Ethernet (30Mbps)</v>
      </c>
      <c r="E76" s="333">
        <v>7.5520433368491411E-5</v>
      </c>
      <c r="F76" s="333">
        <v>4.80109796143725E-5</v>
      </c>
      <c r="G76" s="333">
        <v>2.0773253282329403E-4</v>
      </c>
      <c r="H76" s="333">
        <v>5.2659356216857829E-4</v>
      </c>
      <c r="I76" s="333">
        <v>1.1623873834319736E-3</v>
      </c>
      <c r="J76" s="333">
        <v>2.0707167709654167E-3</v>
      </c>
      <c r="K76" s="474"/>
      <c r="L76" s="474"/>
      <c r="M76" s="474"/>
      <c r="N76" s="474"/>
      <c r="O76" s="474"/>
      <c r="Q76"/>
      <c r="R76"/>
      <c r="T76" s="310" t="str">
        <v>Ethernet (30Mbps)</v>
      </c>
      <c r="V76" s="333">
        <v>5.0973581242401758E-4</v>
      </c>
      <c r="W76" s="333">
        <v>4.2705448608375529E-4</v>
      </c>
      <c r="X76" s="333">
        <v>1.0913394449741408E-3</v>
      </c>
      <c r="Y76" s="333">
        <v>2.6498067193715985E-3</v>
      </c>
      <c r="Z76" s="333">
        <v>4.5071336147687211E-3</v>
      </c>
      <c r="AA76" s="333">
        <v>8.0499605975612853E-3</v>
      </c>
      <c r="AB76" s="474"/>
      <c r="AC76" s="474"/>
      <c r="AD76" s="474"/>
      <c r="AE76" s="474"/>
      <c r="AF76" s="474"/>
      <c r="AH76"/>
      <c r="AI76"/>
      <c r="AK76" s="310" t="str">
        <v>Ethernet (30Mbps)</v>
      </c>
      <c r="AM76" s="333">
        <v>3.3592500550675856E-4</v>
      </c>
      <c r="AN76" s="333">
        <v>2.9365516929963392E-4</v>
      </c>
      <c r="AO76" s="333">
        <v>8.0767387075280121E-4</v>
      </c>
      <c r="AP76" s="333">
        <v>1.9154486178369222E-3</v>
      </c>
      <c r="AQ76" s="333">
        <v>3.5300332593968418E-3</v>
      </c>
      <c r="AR76" s="333">
        <v>6.259240357628074E-3</v>
      </c>
      <c r="AS76" s="474"/>
      <c r="AT76" s="474"/>
      <c r="AU76" s="474"/>
      <c r="AV76" s="474"/>
      <c r="AW76" s="474"/>
      <c r="AY76"/>
      <c r="AZ76"/>
    </row>
    <row r="77" spans="3:52" s="299" customFormat="1">
      <c r="C77" s="310" t="str">
        <v>Ethernet (40Mbps)</v>
      </c>
      <c r="E77" s="333">
        <v>2.7153414244850823E-5</v>
      </c>
      <c r="F77" s="333">
        <v>9.1055306165189218E-5</v>
      </c>
      <c r="G77" s="333">
        <v>2.8407867736518803E-4</v>
      </c>
      <c r="H77" s="333">
        <v>8.9971152852296962E-4</v>
      </c>
      <c r="I77" s="333">
        <v>3.1924492018053771E-3</v>
      </c>
      <c r="J77" s="333">
        <v>7.1172630673884277E-3</v>
      </c>
      <c r="K77" s="474"/>
      <c r="L77" s="474"/>
      <c r="M77" s="474"/>
      <c r="N77" s="474"/>
      <c r="O77" s="474"/>
      <c r="Q77"/>
      <c r="R77"/>
      <c r="T77" s="310" t="str">
        <v>Ethernet (40Mbps)</v>
      </c>
      <c r="V77" s="333">
        <v>2.8318656245778753E-5</v>
      </c>
      <c r="W77" s="333">
        <v>6.7429655697435049E-5</v>
      </c>
      <c r="X77" s="333">
        <v>1.678983761498678E-4</v>
      </c>
      <c r="Y77" s="333">
        <v>4.9683875988217475E-4</v>
      </c>
      <c r="Z77" s="333">
        <v>1.358934758221725E-3</v>
      </c>
      <c r="AA77" s="333">
        <v>3.0666516562138225E-3</v>
      </c>
      <c r="AB77" s="474"/>
      <c r="AC77" s="474"/>
      <c r="AD77" s="474"/>
      <c r="AE77" s="474"/>
      <c r="AF77" s="474"/>
      <c r="AH77"/>
      <c r="AI77"/>
      <c r="AK77" s="310" t="str">
        <v>Ethernet (40Mbps)</v>
      </c>
      <c r="AM77" s="333">
        <v>2.7852224925737307E-5</v>
      </c>
      <c r="AN77" s="333">
        <v>7.5744388906651605E-5</v>
      </c>
      <c r="AO77" s="333">
        <v>2.0519590223783233E-4</v>
      </c>
      <c r="AP77" s="333">
        <v>6.3618081347457489E-4</v>
      </c>
      <c r="AQ77" s="333">
        <v>1.8945591346304152E-3</v>
      </c>
      <c r="AR77" s="333">
        <v>4.279766900959478E-3</v>
      </c>
      <c r="AS77" s="474"/>
      <c r="AT77" s="474"/>
      <c r="AU77" s="474"/>
      <c r="AV77" s="474"/>
      <c r="AW77" s="474"/>
      <c r="AY77"/>
      <c r="AZ77"/>
    </row>
    <row r="78" spans="3:52" s="299" customFormat="1">
      <c r="C78" s="310" t="str">
        <v>Ethernet (50Mbps)</v>
      </c>
      <c r="E78" s="333">
        <v>6.4489358831520716E-5</v>
      </c>
      <c r="F78" s="333">
        <v>3.2324633688642171E-4</v>
      </c>
      <c r="G78" s="333">
        <v>8.7798066223178427E-4</v>
      </c>
      <c r="H78" s="333">
        <v>1.401639369935697E-3</v>
      </c>
      <c r="I78" s="333">
        <v>3.6529038829665791E-3</v>
      </c>
      <c r="J78" s="333">
        <v>3.6638662282988837E-3</v>
      </c>
      <c r="K78" s="474"/>
      <c r="L78" s="474"/>
      <c r="M78" s="474"/>
      <c r="N78" s="474"/>
      <c r="O78" s="474"/>
      <c r="Q78"/>
      <c r="R78"/>
      <c r="T78" s="310" t="str">
        <v>Ethernet (50Mbps)</v>
      </c>
      <c r="V78" s="333">
        <v>5.6637312491557506E-5</v>
      </c>
      <c r="W78" s="333">
        <v>1.7981241519316013E-4</v>
      </c>
      <c r="X78" s="333">
        <v>4.1974594037466953E-4</v>
      </c>
      <c r="Y78" s="333">
        <v>7.6595975481835265E-4</v>
      </c>
      <c r="Z78" s="333">
        <v>1.5174771466809262E-3</v>
      </c>
      <c r="AA78" s="333">
        <v>1.5938518476374473E-3</v>
      </c>
      <c r="AB78" s="474"/>
      <c r="AC78" s="474"/>
      <c r="AD78" s="474"/>
      <c r="AE78" s="474"/>
      <c r="AF78" s="474"/>
      <c r="AH78"/>
      <c r="AI78"/>
      <c r="AK78" s="310" t="str">
        <v>Ethernet (50Mbps)</v>
      </c>
      <c r="AM78" s="333">
        <v>5.9780385206460568E-5</v>
      </c>
      <c r="AN78" s="333">
        <v>2.3029207473349267E-4</v>
      </c>
      <c r="AO78" s="333">
        <v>5.6685367993201182E-4</v>
      </c>
      <c r="AP78" s="333">
        <v>9.8582297192313867E-4</v>
      </c>
      <c r="AQ78" s="333">
        <v>2.141299128554102E-3</v>
      </c>
      <c r="AR78" s="333">
        <v>2.2137992449847853E-3</v>
      </c>
      <c r="AS78" s="474"/>
      <c r="AT78" s="474"/>
      <c r="AU78" s="474"/>
      <c r="AV78" s="474"/>
      <c r="AW78" s="474"/>
      <c r="AY78"/>
      <c r="AZ78"/>
    </row>
    <row r="79" spans="3:52" s="299" customFormat="1">
      <c r="C79" s="310" t="str">
        <v>Ethernet (60Mbps)</v>
      </c>
      <c r="E79" s="333">
        <v>0</v>
      </c>
      <c r="F79" s="333">
        <v>9.4366408207559739E-5</v>
      </c>
      <c r="G79" s="333">
        <v>1.8953374255458634E-4</v>
      </c>
      <c r="H79" s="333">
        <v>2.1611869614650964E-4</v>
      </c>
      <c r="I79" s="333">
        <v>8.9346867810540724E-4</v>
      </c>
      <c r="J79" s="333">
        <v>1.0641445575494564E-3</v>
      </c>
      <c r="K79" s="474"/>
      <c r="L79" s="474"/>
      <c r="M79" s="474"/>
      <c r="N79" s="474"/>
      <c r="O79" s="474"/>
      <c r="Q79"/>
      <c r="R79"/>
      <c r="T79" s="310" t="str">
        <v>Ethernet (60Mbps)</v>
      </c>
      <c r="V79" s="333">
        <v>0</v>
      </c>
      <c r="W79" s="333">
        <v>6.7429655697435049E-5</v>
      </c>
      <c r="X79" s="333">
        <v>1.0493648509366738E-4</v>
      </c>
      <c r="Y79" s="333">
        <v>1.2420968997054369E-4</v>
      </c>
      <c r="Z79" s="333">
        <v>3.8503151482948875E-4</v>
      </c>
      <c r="AA79" s="333">
        <v>4.8420815624428777E-4</v>
      </c>
      <c r="AB79" s="474"/>
      <c r="AC79" s="474"/>
      <c r="AD79" s="474"/>
      <c r="AE79" s="474"/>
      <c r="AF79" s="474"/>
      <c r="AH79"/>
      <c r="AI79"/>
      <c r="AK79" s="310" t="str">
        <v>Ethernet (60Mbps)</v>
      </c>
      <c r="AM79" s="333">
        <v>0</v>
      </c>
      <c r="AN79" s="333">
        <v>7.6909687197523161E-5</v>
      </c>
      <c r="AO79" s="333">
        <v>1.3209486206560456E-4</v>
      </c>
      <c r="AP79" s="333">
        <v>1.559983603922329E-4</v>
      </c>
      <c r="AQ79" s="333">
        <v>5.3356120843276822E-4</v>
      </c>
      <c r="AR79" s="333">
        <v>6.5789297021221741E-4</v>
      </c>
      <c r="AS79" s="474"/>
      <c r="AT79" s="474"/>
      <c r="AU79" s="474"/>
      <c r="AV79" s="474"/>
      <c r="AW79" s="474"/>
      <c r="AY79"/>
      <c r="AZ79"/>
    </row>
    <row r="80" spans="3:52" s="299" customFormat="1">
      <c r="C80" s="310" t="str">
        <v>Ethernet (70Mbps)</v>
      </c>
      <c r="E80" s="333">
        <v>0</v>
      </c>
      <c r="F80" s="333">
        <v>0</v>
      </c>
      <c r="G80" s="333">
        <v>7.8121636275426694E-5</v>
      </c>
      <c r="H80" s="333">
        <v>1.6600421588065234E-4</v>
      </c>
      <c r="I80" s="333">
        <v>4.4014857484062444E-4</v>
      </c>
      <c r="J80" s="333">
        <v>8.7302325120465398E-4</v>
      </c>
      <c r="K80" s="474"/>
      <c r="L80" s="474"/>
      <c r="M80" s="474"/>
      <c r="N80" s="474"/>
      <c r="O80" s="474"/>
      <c r="Q80"/>
      <c r="R80"/>
      <c r="T80" s="310" t="str">
        <v>Ethernet (70Mbps)</v>
      </c>
      <c r="V80" s="333">
        <v>0</v>
      </c>
      <c r="W80" s="333">
        <v>0</v>
      </c>
      <c r="X80" s="333">
        <v>4.197459403746695E-5</v>
      </c>
      <c r="Y80" s="333">
        <v>1.0350807497545306E-4</v>
      </c>
      <c r="Z80" s="333">
        <v>2.2648912637028752E-4</v>
      </c>
      <c r="AA80" s="333">
        <v>3.8333145702672782E-4</v>
      </c>
      <c r="AB80" s="474"/>
      <c r="AC80" s="474"/>
      <c r="AD80" s="474"/>
      <c r="AE80" s="474"/>
      <c r="AF80" s="474"/>
      <c r="AH80"/>
      <c r="AI80"/>
      <c r="AK80" s="310" t="str">
        <v>Ethernet (70Mbps)</v>
      </c>
      <c r="AM80" s="333">
        <v>0</v>
      </c>
      <c r="AN80" s="333">
        <v>0</v>
      </c>
      <c r="AO80" s="333">
        <v>5.3578930028767324E-5</v>
      </c>
      <c r="AP80" s="333">
        <v>1.2512368489793683E-4</v>
      </c>
      <c r="AQ80" s="333">
        <v>2.8890543797952168E-4</v>
      </c>
      <c r="AR80" s="333">
        <v>5.299889663363728E-4</v>
      </c>
      <c r="AS80" s="474"/>
      <c r="AT80" s="474"/>
      <c r="AU80" s="474"/>
      <c r="AV80" s="474"/>
      <c r="AW80" s="474"/>
      <c r="AY80"/>
      <c r="AZ80"/>
    </row>
    <row r="81" spans="3:52" s="299" customFormat="1">
      <c r="C81" s="310" t="str">
        <v>Ethernet (80Mbps)</v>
      </c>
      <c r="E81" s="333">
        <v>0</v>
      </c>
      <c r="F81" s="333">
        <v>-4.1388775529631453E-6</v>
      </c>
      <c r="G81" s="333">
        <v>-4.4387293338310666E-7</v>
      </c>
      <c r="H81" s="333">
        <v>1.4642824702680183E-4</v>
      </c>
      <c r="I81" s="333">
        <v>7.9248696018686005E-4</v>
      </c>
      <c r="J81" s="333">
        <v>6.5500339063354572E-4</v>
      </c>
      <c r="K81" s="474"/>
      <c r="L81" s="474"/>
      <c r="M81" s="474"/>
      <c r="N81" s="474"/>
      <c r="O81" s="474"/>
      <c r="Q81"/>
      <c r="R81"/>
      <c r="T81" s="310" t="str">
        <v>Ethernet (80Mbps)</v>
      </c>
      <c r="V81" s="333">
        <v>0</v>
      </c>
      <c r="W81" s="333">
        <v>2.2476551899145016E-5</v>
      </c>
      <c r="X81" s="333">
        <v>2.0987297018733475E-5</v>
      </c>
      <c r="Y81" s="333">
        <v>8.2806459980362454E-5</v>
      </c>
      <c r="Z81" s="333">
        <v>3.3973368955543125E-4</v>
      </c>
      <c r="AA81" s="333">
        <v>2.8245475780916786E-4</v>
      </c>
      <c r="AB81" s="474"/>
      <c r="AC81" s="474"/>
      <c r="AD81" s="474"/>
      <c r="AE81" s="474"/>
      <c r="AF81" s="474"/>
      <c r="AH81"/>
      <c r="AI81"/>
      <c r="AK81" s="310" t="str">
        <v>Ethernet (80Mbps)</v>
      </c>
      <c r="AM81" s="333">
        <v>0</v>
      </c>
      <c r="AN81" s="333">
        <v>1.3109605772305084E-5</v>
      </c>
      <c r="AO81" s="333">
        <v>1.4107218278850971E-5</v>
      </c>
      <c r="AP81" s="333">
        <v>1.048113983885315E-4</v>
      </c>
      <c r="AQ81" s="333">
        <v>4.7199645361360265E-4</v>
      </c>
      <c r="AR81" s="333">
        <v>3.940291301722153E-4</v>
      </c>
      <c r="AS81" s="474"/>
      <c r="AT81" s="474"/>
      <c r="AU81" s="474"/>
      <c r="AV81" s="474"/>
      <c r="AW81" s="474"/>
      <c r="AY81"/>
      <c r="AZ81"/>
    </row>
    <row r="82" spans="3:52" s="299" customFormat="1">
      <c r="C82" s="310" t="str">
        <v>Ethernet (90Mbps)</v>
      </c>
      <c r="E82" s="333">
        <v>0</v>
      </c>
      <c r="F82" s="333">
        <v>0</v>
      </c>
      <c r="G82" s="333">
        <v>0</v>
      </c>
      <c r="H82" s="333">
        <v>1.8792930099696489E-5</v>
      </c>
      <c r="I82" s="333">
        <v>7.68339158075903E-5</v>
      </c>
      <c r="J82" s="333">
        <v>3.4024311573975968E-4</v>
      </c>
      <c r="K82" s="474"/>
      <c r="L82" s="474"/>
      <c r="M82" s="474"/>
      <c r="N82" s="474"/>
      <c r="O82" s="474"/>
      <c r="Q82"/>
      <c r="R82"/>
      <c r="T82" s="310" t="str">
        <v>Ethernet (90Mbps)</v>
      </c>
      <c r="V82" s="333">
        <v>0</v>
      </c>
      <c r="W82" s="333">
        <v>0</v>
      </c>
      <c r="X82" s="333">
        <v>0</v>
      </c>
      <c r="Y82" s="333">
        <v>2.0701614995090613E-5</v>
      </c>
      <c r="Z82" s="333">
        <v>4.5297825274057504E-5</v>
      </c>
      <c r="AA82" s="333">
        <v>1.6140271874809592E-4</v>
      </c>
      <c r="AB82" s="474"/>
      <c r="AC82" s="474"/>
      <c r="AD82" s="474"/>
      <c r="AE82" s="474"/>
      <c r="AF82" s="474"/>
      <c r="AH82"/>
      <c r="AI82"/>
      <c r="AK82" s="310" t="str">
        <v>Ethernet (90Mbps)</v>
      </c>
      <c r="AM82" s="333">
        <v>0</v>
      </c>
      <c r="AN82" s="333">
        <v>0</v>
      </c>
      <c r="AO82" s="333">
        <v>0</v>
      </c>
      <c r="AP82" s="333">
        <v>2.0041456022613256E-5</v>
      </c>
      <c r="AQ82" s="333">
        <v>5.4510459996136171E-5</v>
      </c>
      <c r="AR82" s="333">
        <v>2.1496352474603279E-4</v>
      </c>
      <c r="AS82" s="474"/>
      <c r="AT82" s="474"/>
      <c r="AU82" s="474"/>
      <c r="AV82" s="474"/>
      <c r="AW82" s="474"/>
      <c r="AY82"/>
      <c r="AZ82"/>
    </row>
    <row r="83" spans="3:52" s="299" customFormat="1">
      <c r="C83" s="310" t="str">
        <v>GigaEthernet (100Mbps)</v>
      </c>
      <c r="E83" s="333">
        <v>0</v>
      </c>
      <c r="F83" s="333">
        <v>0</v>
      </c>
      <c r="G83" s="333">
        <v>0</v>
      </c>
      <c r="H83" s="333">
        <v>0</v>
      </c>
      <c r="I83" s="333">
        <v>0</v>
      </c>
      <c r="J83" s="333">
        <v>0</v>
      </c>
      <c r="K83" s="474"/>
      <c r="L83" s="474"/>
      <c r="M83" s="474"/>
      <c r="N83" s="474"/>
      <c r="O83" s="474"/>
      <c r="Q83"/>
      <c r="R83"/>
      <c r="T83" s="310" t="str">
        <v>GigaEthernet (100Mbps)</v>
      </c>
      <c r="V83" s="333">
        <v>5.0747031992435534E-4</v>
      </c>
      <c r="W83" s="333">
        <v>2.8657603671409897E-4</v>
      </c>
      <c r="X83" s="333">
        <v>6.875438503337086E-4</v>
      </c>
      <c r="Y83" s="333">
        <v>1.8714259955561912E-3</v>
      </c>
      <c r="Z83" s="333">
        <v>3.2338117463149652E-3</v>
      </c>
      <c r="AA83" s="333">
        <v>3.4600707831623067E-3</v>
      </c>
      <c r="AB83" s="474"/>
      <c r="AC83" s="474"/>
      <c r="AD83" s="474"/>
      <c r="AE83" s="474"/>
      <c r="AF83" s="474"/>
      <c r="AH83"/>
      <c r="AI83"/>
      <c r="AK83" s="310" t="str">
        <v>GigaEthernet (100Mbps)</v>
      </c>
      <c r="AM83" s="333">
        <v>3.0433650650561744E-4</v>
      </c>
      <c r="AN83" s="333">
        <v>1.8571941510765535E-4</v>
      </c>
      <c r="AO83" s="333">
        <v>4.6682067759106849E-4</v>
      </c>
      <c r="AP83" s="333">
        <v>1.224153800300161E-3</v>
      </c>
      <c r="AQ83" s="333">
        <v>2.2891186700730363E-3</v>
      </c>
      <c r="AR83" s="333">
        <v>2.4238162060450119E-3</v>
      </c>
      <c r="AS83" s="474"/>
      <c r="AT83" s="474"/>
      <c r="AU83" s="474"/>
      <c r="AV83" s="474"/>
      <c r="AW83" s="474"/>
      <c r="AY83"/>
      <c r="AZ83"/>
    </row>
    <row r="84" spans="3:52" s="299" customFormat="1">
      <c r="C84" s="310" t="str">
        <v>GigaEthernet (150Mbps)</v>
      </c>
      <c r="E84" s="333">
        <v>0</v>
      </c>
      <c r="F84" s="333">
        <v>0</v>
      </c>
      <c r="G84" s="333">
        <v>0</v>
      </c>
      <c r="H84" s="333">
        <v>0</v>
      </c>
      <c r="I84" s="333">
        <v>0</v>
      </c>
      <c r="J84" s="333">
        <v>0</v>
      </c>
      <c r="K84" s="474"/>
      <c r="L84" s="474"/>
      <c r="M84" s="474"/>
      <c r="N84" s="474"/>
      <c r="O84" s="474"/>
      <c r="Q84"/>
      <c r="R84"/>
      <c r="T84" s="310" t="str">
        <v>GigaEthernet (150Mbps)</v>
      </c>
      <c r="V84" s="333">
        <v>1.9030136997163322E-4</v>
      </c>
      <c r="W84" s="333">
        <v>1.4362516663553665E-4</v>
      </c>
      <c r="X84" s="333">
        <v>2.8458774757402589E-4</v>
      </c>
      <c r="Y84" s="333">
        <v>5.7571191301346997E-4</v>
      </c>
      <c r="Z84" s="333">
        <v>1.1016431106650785E-3</v>
      </c>
      <c r="AA84" s="333">
        <v>1.2752832315083931E-3</v>
      </c>
      <c r="AB84" s="474"/>
      <c r="AC84" s="474"/>
      <c r="AD84" s="474"/>
      <c r="AE84" s="474"/>
      <c r="AF84" s="474"/>
      <c r="AH84"/>
      <c r="AI84"/>
      <c r="AK84" s="310" t="str">
        <v>GigaEthernet (150Mbps)</v>
      </c>
      <c r="AM84" s="333">
        <v>1.1412618993960654E-4</v>
      </c>
      <c r="AN84" s="333">
        <v>9.3078200983366091E-5</v>
      </c>
      <c r="AO84" s="333">
        <v>1.9322614127395874E-4</v>
      </c>
      <c r="AP84" s="333">
        <v>3.7658979188437479E-4</v>
      </c>
      <c r="AQ84" s="333">
        <v>7.7982022770943038E-4</v>
      </c>
      <c r="AR84" s="333">
        <v>8.9334940165659003E-4</v>
      </c>
      <c r="AS84" s="474"/>
      <c r="AT84" s="474"/>
      <c r="AU84" s="474"/>
      <c r="AV84" s="474"/>
      <c r="AW84" s="474"/>
      <c r="AY84"/>
      <c r="AZ84"/>
    </row>
    <row r="85" spans="3:52" s="299" customFormat="1">
      <c r="C85" s="310" t="str">
        <v>GigaEthernet (200Mbps)</v>
      </c>
      <c r="E85" s="333">
        <v>0</v>
      </c>
      <c r="F85" s="333">
        <v>0</v>
      </c>
      <c r="G85" s="333">
        <v>0</v>
      </c>
      <c r="H85" s="333">
        <v>0</v>
      </c>
      <c r="I85" s="333">
        <v>0</v>
      </c>
      <c r="J85" s="333">
        <v>0</v>
      </c>
      <c r="K85" s="474"/>
      <c r="L85" s="474"/>
      <c r="M85" s="474"/>
      <c r="N85" s="474"/>
      <c r="O85" s="474"/>
      <c r="Q85"/>
      <c r="R85"/>
      <c r="T85" s="310" t="str">
        <v>GigaEthernet (200Mbps)</v>
      </c>
      <c r="V85" s="333">
        <v>0</v>
      </c>
      <c r="W85" s="333">
        <v>0</v>
      </c>
      <c r="X85" s="333">
        <v>4.9110275023836335E-5</v>
      </c>
      <c r="Y85" s="333">
        <v>3.6952382766236743E-4</v>
      </c>
      <c r="Z85" s="333">
        <v>4.2715849233436221E-4</v>
      </c>
      <c r="AA85" s="333">
        <v>4.8420815624428777E-4</v>
      </c>
      <c r="AB85" s="474"/>
      <c r="AC85" s="474"/>
      <c r="AD85" s="474"/>
      <c r="AE85" s="474"/>
      <c r="AF85" s="474"/>
      <c r="AH85"/>
      <c r="AI85"/>
      <c r="AK85" s="310" t="str">
        <v>GigaEthernet (200Mbps)</v>
      </c>
      <c r="AM85" s="333">
        <v>0</v>
      </c>
      <c r="AN85" s="333">
        <v>0</v>
      </c>
      <c r="AO85" s="333">
        <v>3.334433411364775E-5</v>
      </c>
      <c r="AP85" s="333">
        <v>2.4171620946192337E-4</v>
      </c>
      <c r="AQ85" s="333">
        <v>3.0237272809621415E-4</v>
      </c>
      <c r="AR85" s="333">
        <v>3.3919293845527859E-4</v>
      </c>
      <c r="AS85" s="474"/>
      <c r="AT85" s="474"/>
      <c r="AU85" s="474"/>
      <c r="AV85" s="474"/>
      <c r="AW85" s="474"/>
      <c r="AY85"/>
      <c r="AZ85"/>
    </row>
    <row r="86" spans="3:52" s="299" customFormat="1">
      <c r="C86" s="310" t="str">
        <v>GigaEthernet (250Mbps)</v>
      </c>
      <c r="E86" s="333">
        <v>0</v>
      </c>
      <c r="F86" s="333">
        <v>0</v>
      </c>
      <c r="G86" s="333">
        <v>0</v>
      </c>
      <c r="H86" s="333">
        <v>0</v>
      </c>
      <c r="I86" s="333">
        <v>0</v>
      </c>
      <c r="J86" s="333">
        <v>0</v>
      </c>
      <c r="K86" s="474"/>
      <c r="L86" s="474"/>
      <c r="M86" s="474"/>
      <c r="N86" s="474"/>
      <c r="O86" s="474"/>
      <c r="Q86"/>
      <c r="R86"/>
      <c r="T86" s="310" t="str">
        <v>GigaEthernet (250Mbps)</v>
      </c>
      <c r="V86" s="333">
        <v>0</v>
      </c>
      <c r="W86" s="333">
        <v>0</v>
      </c>
      <c r="X86" s="333">
        <v>0</v>
      </c>
      <c r="Y86" s="333">
        <v>0</v>
      </c>
      <c r="Z86" s="333">
        <v>1.6035430147016356E-4</v>
      </c>
      <c r="AA86" s="333">
        <v>1.2428009343603386E-4</v>
      </c>
      <c r="AB86" s="474"/>
      <c r="AC86" s="474"/>
      <c r="AD86" s="474"/>
      <c r="AE86" s="474"/>
      <c r="AF86" s="474"/>
      <c r="AH86"/>
      <c r="AI86"/>
      <c r="AK86" s="310" t="str">
        <v>GigaEthernet (250Mbps)</v>
      </c>
      <c r="AM86" s="333">
        <v>0</v>
      </c>
      <c r="AN86" s="333">
        <v>0</v>
      </c>
      <c r="AO86" s="333">
        <v>0</v>
      </c>
      <c r="AP86" s="333">
        <v>0</v>
      </c>
      <c r="AQ86" s="333">
        <v>1.135100166978365E-4</v>
      </c>
      <c r="AR86" s="333">
        <v>8.7059520870188175E-5</v>
      </c>
      <c r="AS86" s="474"/>
      <c r="AT86" s="474"/>
      <c r="AU86" s="474"/>
      <c r="AV86" s="474"/>
      <c r="AW86" s="474"/>
      <c r="AY86"/>
      <c r="AZ86"/>
    </row>
    <row r="87" spans="3:52" s="299" customFormat="1">
      <c r="C87" s="310" t="str">
        <v>GigaEthernet (300Mbps)</v>
      </c>
      <c r="E87" s="333">
        <v>0</v>
      </c>
      <c r="F87" s="333">
        <v>0</v>
      </c>
      <c r="G87" s="333">
        <v>0</v>
      </c>
      <c r="H87" s="333">
        <v>0</v>
      </c>
      <c r="I87" s="333">
        <v>0</v>
      </c>
      <c r="J87" s="333">
        <v>0</v>
      </c>
      <c r="K87" s="474"/>
      <c r="L87" s="474"/>
      <c r="M87" s="474"/>
      <c r="N87" s="474"/>
      <c r="O87" s="474"/>
      <c r="Q87"/>
      <c r="R87"/>
      <c r="T87" s="310" t="str">
        <v>GigaEthernet (300Mbps)</v>
      </c>
      <c r="V87" s="333">
        <v>0</v>
      </c>
      <c r="W87" s="333">
        <v>0</v>
      </c>
      <c r="X87" s="333">
        <v>3.2740183349224226E-5</v>
      </c>
      <c r="Y87" s="333">
        <v>3.3122583992144986E-5</v>
      </c>
      <c r="Z87" s="333">
        <v>1.6918737739860478E-4</v>
      </c>
      <c r="AA87" s="333">
        <v>2.8628807237943518E-4</v>
      </c>
      <c r="AB87" s="474"/>
      <c r="AC87" s="474"/>
      <c r="AD87" s="474"/>
      <c r="AE87" s="474"/>
      <c r="AF87" s="474"/>
      <c r="AH87"/>
      <c r="AI87"/>
      <c r="AK87" s="310" t="str">
        <v>GigaEthernet (300Mbps)</v>
      </c>
      <c r="AM87" s="333">
        <v>0</v>
      </c>
      <c r="AN87" s="333">
        <v>0</v>
      </c>
      <c r="AO87" s="333">
        <v>2.222955607576517E-5</v>
      </c>
      <c r="AP87" s="333">
        <v>2.1666438943365683E-5</v>
      </c>
      <c r="AQ87" s="333">
        <v>1.1976268710915799E-4</v>
      </c>
      <c r="AR87" s="333">
        <v>2.0054782486168349E-4</v>
      </c>
      <c r="AS87" s="474"/>
      <c r="AT87" s="474"/>
      <c r="AU87" s="474"/>
      <c r="AV87" s="474"/>
      <c r="AW87" s="474"/>
      <c r="AY87"/>
      <c r="AZ87"/>
    </row>
    <row r="88" spans="3:52" s="299" customFormat="1">
      <c r="C88" s="310" t="str">
        <v>GigaEthernet (350Mbps)</v>
      </c>
      <c r="E88" s="333">
        <v>0</v>
      </c>
      <c r="F88" s="333">
        <v>0</v>
      </c>
      <c r="G88" s="333">
        <v>0</v>
      </c>
      <c r="H88" s="333">
        <v>0</v>
      </c>
      <c r="I88" s="333">
        <v>0</v>
      </c>
      <c r="J88" s="333">
        <v>0</v>
      </c>
      <c r="K88" s="474"/>
      <c r="L88" s="474"/>
      <c r="M88" s="474"/>
      <c r="N88" s="474"/>
      <c r="O88" s="474"/>
      <c r="Q88"/>
      <c r="R88"/>
      <c r="T88" s="310" t="str">
        <v>GigaEthernet (350Mbps)</v>
      </c>
      <c r="V88" s="333">
        <v>0</v>
      </c>
      <c r="W88" s="333">
        <v>0</v>
      </c>
      <c r="X88" s="333">
        <v>0</v>
      </c>
      <c r="Y88" s="333">
        <v>0</v>
      </c>
      <c r="Z88" s="333">
        <v>0</v>
      </c>
      <c r="AA88" s="333">
        <v>0</v>
      </c>
      <c r="AB88" s="474"/>
      <c r="AC88" s="474"/>
      <c r="AD88" s="474"/>
      <c r="AE88" s="474"/>
      <c r="AF88" s="474"/>
      <c r="AH88"/>
      <c r="AI88"/>
      <c r="AK88" s="310" t="str">
        <v>GigaEthernet (350Mbps)</v>
      </c>
      <c r="AM88" s="333">
        <v>0</v>
      </c>
      <c r="AN88" s="333">
        <v>0</v>
      </c>
      <c r="AO88" s="333">
        <v>0</v>
      </c>
      <c r="AP88" s="333">
        <v>0</v>
      </c>
      <c r="AQ88" s="333">
        <v>0</v>
      </c>
      <c r="AR88" s="333">
        <v>0</v>
      </c>
      <c r="AS88" s="474"/>
      <c r="AT88" s="474"/>
      <c r="AU88" s="474"/>
      <c r="AV88" s="474"/>
      <c r="AW88" s="474"/>
      <c r="AY88"/>
      <c r="AZ88"/>
    </row>
    <row r="89" spans="3:52" s="299" customFormat="1">
      <c r="C89" s="310" t="str">
        <v>GigaEthernet (400Mbps)</v>
      </c>
      <c r="E89" s="333">
        <v>0</v>
      </c>
      <c r="F89" s="333">
        <v>0</v>
      </c>
      <c r="G89" s="333">
        <v>0</v>
      </c>
      <c r="H89" s="333">
        <v>0</v>
      </c>
      <c r="I89" s="333">
        <v>0</v>
      </c>
      <c r="J89" s="333">
        <v>0</v>
      </c>
      <c r="K89" s="474"/>
      <c r="L89" s="474"/>
      <c r="M89" s="474"/>
      <c r="N89" s="474"/>
      <c r="O89" s="474"/>
      <c r="Q89"/>
      <c r="R89"/>
      <c r="T89" s="310" t="str">
        <v>GigaEthernet (400Mbps)</v>
      </c>
      <c r="V89" s="333">
        <v>0</v>
      </c>
      <c r="W89" s="333">
        <v>0</v>
      </c>
      <c r="X89" s="333">
        <v>0</v>
      </c>
      <c r="Y89" s="333">
        <v>0</v>
      </c>
      <c r="Z89" s="333">
        <v>2.0157532246955589E-5</v>
      </c>
      <c r="AA89" s="333">
        <v>5.8104978749314531E-5</v>
      </c>
      <c r="AB89" s="474"/>
      <c r="AC89" s="474"/>
      <c r="AD89" s="474"/>
      <c r="AE89" s="474"/>
      <c r="AF89" s="474"/>
      <c r="AH89"/>
      <c r="AI89"/>
      <c r="AK89" s="310" t="str">
        <v>GigaEthernet (400Mbps)</v>
      </c>
      <c r="AM89" s="333">
        <v>0</v>
      </c>
      <c r="AN89" s="333">
        <v>0</v>
      </c>
      <c r="AO89" s="333">
        <v>0</v>
      </c>
      <c r="AP89" s="333">
        <v>0</v>
      </c>
      <c r="AQ89" s="333">
        <v>1.426891452840035E-5</v>
      </c>
      <c r="AR89" s="333">
        <v>4.0703152614633428E-5</v>
      </c>
      <c r="AS89" s="474"/>
      <c r="AT89" s="474"/>
      <c r="AU89" s="474"/>
      <c r="AV89" s="474"/>
      <c r="AW89" s="474"/>
      <c r="AY89"/>
      <c r="AZ89"/>
    </row>
    <row r="90" spans="3:52" s="299" customFormat="1">
      <c r="C90" s="310" t="str">
        <v>GigaEthernet (450Mbps)</v>
      </c>
      <c r="E90" s="333">
        <v>0</v>
      </c>
      <c r="F90" s="333">
        <v>0</v>
      </c>
      <c r="G90" s="333">
        <v>0</v>
      </c>
      <c r="H90" s="333">
        <v>0</v>
      </c>
      <c r="I90" s="333">
        <v>0</v>
      </c>
      <c r="J90" s="333">
        <v>0</v>
      </c>
      <c r="K90" s="474"/>
      <c r="L90" s="474"/>
      <c r="M90" s="474"/>
      <c r="N90" s="474"/>
      <c r="O90" s="474"/>
      <c r="Q90"/>
      <c r="R90"/>
      <c r="T90" s="310" t="str">
        <v>GigaEthernet (450Mbps)</v>
      </c>
      <c r="V90" s="333">
        <v>0</v>
      </c>
      <c r="W90" s="333">
        <v>0</v>
      </c>
      <c r="X90" s="333">
        <v>2.602424830322951E-5</v>
      </c>
      <c r="Y90" s="333">
        <v>0</v>
      </c>
      <c r="Z90" s="333">
        <v>0</v>
      </c>
      <c r="AA90" s="333">
        <v>0</v>
      </c>
      <c r="AB90" s="474"/>
      <c r="AC90" s="474"/>
      <c r="AD90" s="474"/>
      <c r="AE90" s="474"/>
      <c r="AF90" s="474"/>
      <c r="AH90"/>
      <c r="AI90"/>
      <c r="AK90" s="310" t="str">
        <v>GigaEthernet (450Mbps)</v>
      </c>
      <c r="AM90" s="333">
        <v>0</v>
      </c>
      <c r="AN90" s="333">
        <v>0</v>
      </c>
      <c r="AO90" s="333">
        <v>1.7669647137146672E-5</v>
      </c>
      <c r="AP90" s="333">
        <v>0</v>
      </c>
      <c r="AQ90" s="333">
        <v>0</v>
      </c>
      <c r="AR90" s="333">
        <v>0</v>
      </c>
      <c r="AS90" s="474"/>
      <c r="AT90" s="474"/>
      <c r="AU90" s="474"/>
      <c r="AV90" s="474"/>
      <c r="AW90" s="474"/>
      <c r="AY90"/>
      <c r="AZ90"/>
    </row>
    <row r="91" spans="3:52" s="299" customFormat="1">
      <c r="C91" s="310" t="str">
        <v>GigaEthernet (500Mbps)</v>
      </c>
      <c r="E91" s="333">
        <v>0</v>
      </c>
      <c r="F91" s="333">
        <v>0</v>
      </c>
      <c r="G91" s="333">
        <v>0</v>
      </c>
      <c r="H91" s="333">
        <v>0</v>
      </c>
      <c r="I91" s="333">
        <v>0</v>
      </c>
      <c r="J91" s="333">
        <v>0</v>
      </c>
      <c r="K91" s="474"/>
      <c r="L91" s="474"/>
      <c r="M91" s="474"/>
      <c r="N91" s="474"/>
      <c r="O91" s="474"/>
      <c r="Q91"/>
      <c r="R91"/>
      <c r="T91" s="310" t="str">
        <v>GigaEthernet (500Mbps)</v>
      </c>
      <c r="V91" s="333">
        <v>0</v>
      </c>
      <c r="W91" s="333">
        <v>0</v>
      </c>
      <c r="X91" s="333">
        <v>1.8258948406298124E-5</v>
      </c>
      <c r="Y91" s="333">
        <v>5.2789118237481064E-5</v>
      </c>
      <c r="Z91" s="333">
        <v>1.0146712861388881E-4</v>
      </c>
      <c r="AA91" s="333">
        <v>9.8052151639468291E-5</v>
      </c>
      <c r="AB91" s="474"/>
      <c r="AC91" s="474"/>
      <c r="AD91" s="474"/>
      <c r="AE91" s="474"/>
      <c r="AF91" s="474"/>
      <c r="AH91"/>
      <c r="AI91"/>
      <c r="AK91" s="310" t="str">
        <v>GigaEthernet (500Mbps)</v>
      </c>
      <c r="AM91" s="333">
        <v>0</v>
      </c>
      <c r="AN91" s="333">
        <v>0</v>
      </c>
      <c r="AO91" s="333">
        <v>1.2397252426869036E-5</v>
      </c>
      <c r="AP91" s="333">
        <v>3.4530887065989053E-5</v>
      </c>
      <c r="AQ91" s="333">
        <v>7.1825547289026487E-5</v>
      </c>
      <c r="AR91" s="333">
        <v>6.868657003719392E-5</v>
      </c>
      <c r="AS91" s="474"/>
      <c r="AT91" s="474"/>
      <c r="AU91" s="474"/>
      <c r="AV91" s="474"/>
      <c r="AW91" s="474"/>
      <c r="AY91"/>
      <c r="AZ91"/>
    </row>
    <row r="92" spans="3:52" s="299" customFormat="1">
      <c r="C92" s="310" t="str">
        <v>GigaEthernet (550Mbps)</v>
      </c>
      <c r="E92" s="333">
        <v>0</v>
      </c>
      <c r="F92" s="333">
        <v>0</v>
      </c>
      <c r="G92" s="333">
        <v>0</v>
      </c>
      <c r="H92" s="333">
        <v>0</v>
      </c>
      <c r="I92" s="333">
        <v>0</v>
      </c>
      <c r="J92" s="333">
        <v>0</v>
      </c>
      <c r="K92" s="474"/>
      <c r="L92" s="474"/>
      <c r="M92" s="474"/>
      <c r="N92" s="474"/>
      <c r="O92" s="474"/>
      <c r="Q92"/>
      <c r="R92"/>
      <c r="T92" s="310" t="str">
        <v>GigaEthernet (550Mbps)</v>
      </c>
      <c r="V92" s="333">
        <v>0</v>
      </c>
      <c r="W92" s="333">
        <v>0</v>
      </c>
      <c r="X92" s="333">
        <v>0</v>
      </c>
      <c r="Y92" s="333">
        <v>0</v>
      </c>
      <c r="Z92" s="333">
        <v>0</v>
      </c>
      <c r="AA92" s="333">
        <v>0</v>
      </c>
      <c r="AB92" s="474"/>
      <c r="AC92" s="474"/>
      <c r="AD92" s="474"/>
      <c r="AE92" s="474"/>
      <c r="AF92" s="474"/>
      <c r="AH92"/>
      <c r="AI92"/>
      <c r="AK92" s="310" t="str">
        <v>GigaEthernet (550Mbps)</v>
      </c>
      <c r="AM92" s="333">
        <v>0</v>
      </c>
      <c r="AN92" s="333">
        <v>0</v>
      </c>
      <c r="AO92" s="333">
        <v>0</v>
      </c>
      <c r="AP92" s="333">
        <v>0</v>
      </c>
      <c r="AQ92" s="333">
        <v>0</v>
      </c>
      <c r="AR92" s="333">
        <v>0</v>
      </c>
      <c r="AS92" s="474"/>
      <c r="AT92" s="474"/>
      <c r="AU92" s="474"/>
      <c r="AV92" s="474"/>
      <c r="AW92" s="474"/>
      <c r="AY92"/>
      <c r="AZ92"/>
    </row>
    <row r="93" spans="3:52" s="299" customFormat="1">
      <c r="C93" s="310" t="str">
        <v>GigaEthernet (600Mbps)</v>
      </c>
      <c r="E93" s="333">
        <v>0</v>
      </c>
      <c r="F93" s="333">
        <v>0</v>
      </c>
      <c r="G93" s="333">
        <v>0</v>
      </c>
      <c r="H93" s="333">
        <v>0</v>
      </c>
      <c r="I93" s="333">
        <v>0</v>
      </c>
      <c r="J93" s="333">
        <v>0</v>
      </c>
      <c r="K93" s="474"/>
      <c r="L93" s="474"/>
      <c r="M93" s="474"/>
      <c r="N93" s="474"/>
      <c r="O93" s="474"/>
      <c r="Q93"/>
      <c r="R93"/>
      <c r="T93" s="310" t="str">
        <v>GigaEthernet (600Mbps)</v>
      </c>
      <c r="V93" s="333">
        <v>0</v>
      </c>
      <c r="W93" s="333">
        <v>0</v>
      </c>
      <c r="X93" s="333">
        <v>0</v>
      </c>
      <c r="Y93" s="333">
        <v>0</v>
      </c>
      <c r="Z93" s="333">
        <v>0</v>
      </c>
      <c r="AA93" s="333">
        <v>0</v>
      </c>
      <c r="AB93" s="474"/>
      <c r="AC93" s="474"/>
      <c r="AD93" s="474"/>
      <c r="AE93" s="474"/>
      <c r="AF93" s="474"/>
      <c r="AH93"/>
      <c r="AI93"/>
      <c r="AK93" s="310" t="str">
        <v>GigaEthernet (600Mbps)</v>
      </c>
      <c r="AM93" s="333">
        <v>0</v>
      </c>
      <c r="AN93" s="333">
        <v>0</v>
      </c>
      <c r="AO93" s="333">
        <v>0</v>
      </c>
      <c r="AP93" s="333">
        <v>0</v>
      </c>
      <c r="AQ93" s="333">
        <v>0</v>
      </c>
      <c r="AR93" s="333">
        <v>0</v>
      </c>
      <c r="AS93" s="474"/>
      <c r="AT93" s="474"/>
      <c r="AU93" s="474"/>
      <c r="AV93" s="474"/>
      <c r="AW93" s="474"/>
      <c r="AY93"/>
      <c r="AZ93"/>
    </row>
    <row r="94" spans="3:52" s="299" customFormat="1">
      <c r="C94" s="310" t="str">
        <v>GigaEthernet (750Mbps)</v>
      </c>
      <c r="E94" s="333">
        <v>0</v>
      </c>
      <c r="F94" s="333">
        <v>0</v>
      </c>
      <c r="G94" s="333">
        <v>0</v>
      </c>
      <c r="H94" s="333">
        <v>0</v>
      </c>
      <c r="I94" s="333">
        <v>0</v>
      </c>
      <c r="J94" s="333">
        <v>0</v>
      </c>
      <c r="K94" s="474"/>
      <c r="L94" s="474"/>
      <c r="M94" s="474"/>
      <c r="N94" s="474"/>
      <c r="O94" s="474"/>
      <c r="Q94"/>
      <c r="R94"/>
      <c r="T94" s="310" t="str">
        <v>GigaEthernet (750Mbps)</v>
      </c>
      <c r="V94" s="333">
        <v>0</v>
      </c>
      <c r="W94" s="333">
        <v>0</v>
      </c>
      <c r="X94" s="333">
        <v>0</v>
      </c>
      <c r="Y94" s="333">
        <v>0</v>
      </c>
      <c r="Z94" s="333">
        <v>0</v>
      </c>
      <c r="AA94" s="333">
        <v>0</v>
      </c>
      <c r="AB94" s="474"/>
      <c r="AC94" s="474"/>
      <c r="AD94" s="474"/>
      <c r="AE94" s="474"/>
      <c r="AF94" s="474"/>
      <c r="AH94"/>
      <c r="AI94"/>
      <c r="AK94" s="310" t="str">
        <v>GigaEthernet (750Mbps)</v>
      </c>
      <c r="AM94" s="333">
        <v>0</v>
      </c>
      <c r="AN94" s="333">
        <v>0</v>
      </c>
      <c r="AO94" s="333">
        <v>0</v>
      </c>
      <c r="AP94" s="333">
        <v>0</v>
      </c>
      <c r="AQ94" s="333">
        <v>0</v>
      </c>
      <c r="AR94" s="333">
        <v>0</v>
      </c>
      <c r="AS94" s="474"/>
      <c r="AT94" s="474"/>
      <c r="AU94" s="474"/>
      <c r="AV94" s="474"/>
      <c r="AW94" s="474"/>
      <c r="AY94"/>
      <c r="AZ94"/>
    </row>
    <row r="95" spans="3:52" s="299" customFormat="1">
      <c r="C95" s="310" t="str">
        <v>GigaEthernet (1 Gbps)</v>
      </c>
      <c r="E95" s="333">
        <v>0</v>
      </c>
      <c r="F95" s="333">
        <v>0</v>
      </c>
      <c r="G95" s="333">
        <v>0</v>
      </c>
      <c r="H95" s="333">
        <v>0</v>
      </c>
      <c r="I95" s="333">
        <v>0</v>
      </c>
      <c r="J95" s="333">
        <v>0</v>
      </c>
      <c r="K95" s="474"/>
      <c r="L95" s="474"/>
      <c r="M95" s="474"/>
      <c r="N95" s="474"/>
      <c r="O95" s="474"/>
      <c r="Q95"/>
      <c r="R95"/>
      <c r="T95" s="310" t="str">
        <v>GigaEthernet (1 Gbps)</v>
      </c>
      <c r="V95" s="333">
        <v>0</v>
      </c>
      <c r="W95" s="333">
        <v>1.3306118724293849E-4</v>
      </c>
      <c r="X95" s="333">
        <v>1.9098440287047464E-4</v>
      </c>
      <c r="Y95" s="333">
        <v>2.3951768549319841E-4</v>
      </c>
      <c r="Z95" s="333">
        <v>4.1673999252132897E-4</v>
      </c>
      <c r="AA95" s="333">
        <v>4.6403281640077578E-4</v>
      </c>
      <c r="AB95" s="474"/>
      <c r="AC95" s="474"/>
      <c r="AD95" s="474"/>
      <c r="AE95" s="474"/>
      <c r="AF95" s="474"/>
      <c r="AH95"/>
      <c r="AI95"/>
      <c r="AK95" s="310" t="str">
        <v>GigaEthernet (1 Gbps)</v>
      </c>
      <c r="AM95" s="333">
        <v>0</v>
      </c>
      <c r="AN95" s="333">
        <v>8.6232073524495666E-5</v>
      </c>
      <c r="AO95" s="333">
        <v>1.2967241044196349E-4</v>
      </c>
      <c r="AP95" s="333">
        <v>1.5667543660921308E-4</v>
      </c>
      <c r="AQ95" s="333">
        <v>2.9499778350850159E-4</v>
      </c>
      <c r="AR95" s="333">
        <v>3.2505989935297533E-4</v>
      </c>
      <c r="AS95" s="474"/>
      <c r="AT95" s="474"/>
      <c r="AU95" s="474"/>
      <c r="AV95" s="474"/>
      <c r="AW95" s="474"/>
      <c r="AY95"/>
      <c r="AZ95"/>
    </row>
    <row r="96" spans="3:52" s="299" customFormat="1"/>
    <row r="97" spans="2:53" s="299" customFormat="1"/>
    <row r="98" spans="2:53" s="299" customFormat="1"/>
    <row r="99" spans="2:53" s="299" customFormat="1" ht="17.25" thickBot="1">
      <c r="B99" s="308" t="s">
        <v>482</v>
      </c>
      <c r="C99" s="308"/>
      <c r="D99" s="308"/>
      <c r="E99" s="308"/>
      <c r="S99" s="308" t="s">
        <v>560</v>
      </c>
      <c r="T99" s="308"/>
      <c r="U99" s="308"/>
      <c r="V99" s="308"/>
      <c r="W99" s="308"/>
      <c r="X99" s="308"/>
      <c r="AJ99" s="308" t="s">
        <v>564</v>
      </c>
      <c r="AK99" s="308"/>
      <c r="AL99" s="308"/>
      <c r="AM99" s="308"/>
      <c r="AN99" s="308"/>
      <c r="AO99" s="308"/>
    </row>
    <row r="100" spans="2:53" s="299" customFormat="1" ht="18" thickTop="1" thickBot="1">
      <c r="B100" s="308" t="s">
        <v>483</v>
      </c>
      <c r="C100" s="308"/>
      <c r="D100" s="308"/>
      <c r="E100" s="308"/>
      <c r="F100" s="308"/>
      <c r="G100" s="308"/>
      <c r="H100" s="308"/>
      <c r="I100" s="308"/>
      <c r="J100" s="308"/>
      <c r="K100" s="308"/>
      <c r="L100" s="308"/>
      <c r="M100" s="308"/>
      <c r="N100" s="308"/>
      <c r="O100" s="308"/>
      <c r="P100" s="308"/>
      <c r="Q100" s="308"/>
      <c r="S100" s="308" t="s">
        <v>572</v>
      </c>
      <c r="T100" s="308"/>
      <c r="U100" s="308"/>
      <c r="V100" s="308"/>
      <c r="W100" s="308"/>
      <c r="X100" s="308"/>
      <c r="Y100" s="308"/>
      <c r="Z100" s="308"/>
      <c r="AA100" s="308"/>
      <c r="AB100" s="308"/>
      <c r="AC100" s="308"/>
      <c r="AD100" s="308"/>
      <c r="AE100" s="308"/>
      <c r="AF100" s="308"/>
      <c r="AG100" s="308"/>
      <c r="AH100" s="308"/>
      <c r="AJ100" s="308" t="s">
        <v>568</v>
      </c>
      <c r="AK100" s="308"/>
      <c r="AL100" s="308"/>
      <c r="AM100" s="308"/>
      <c r="AN100" s="308"/>
      <c r="AO100" s="308"/>
      <c r="AP100" s="308"/>
      <c r="AQ100" s="308"/>
      <c r="AR100" s="308"/>
      <c r="AS100" s="308"/>
      <c r="AT100" s="308"/>
      <c r="AU100" s="308"/>
      <c r="AV100" s="308"/>
      <c r="AW100" s="308"/>
      <c r="AX100" s="308"/>
      <c r="AY100" s="308"/>
      <c r="AZ100" s="308"/>
      <c r="BA100" s="308"/>
    </row>
    <row r="101" spans="2:53" s="299" customFormat="1" ht="12.75" thickTop="1"/>
    <row r="102" spans="2:53" s="299" customFormat="1" ht="15.75" thickBot="1">
      <c r="C102" s="130" t="s">
        <v>484</v>
      </c>
      <c r="T102" s="130" t="s">
        <v>484</v>
      </c>
      <c r="AK102" s="130" t="s">
        <v>484</v>
      </c>
    </row>
    <row r="103" spans="2:53" s="299" customFormat="1" ht="15.75" thickBot="1">
      <c r="C103" s="130" t="s">
        <v>485</v>
      </c>
      <c r="D103" s="130"/>
      <c r="E103" s="130"/>
      <c r="F103" s="130"/>
      <c r="G103" s="130"/>
      <c r="H103" s="130"/>
      <c r="I103" s="130"/>
      <c r="J103" s="130"/>
      <c r="K103" s="130"/>
      <c r="L103" s="130"/>
      <c r="M103" s="130"/>
      <c r="N103" s="130"/>
      <c r="O103" s="130"/>
      <c r="P103" s="130"/>
      <c r="Q103" s="130"/>
      <c r="T103" s="130" t="s">
        <v>485</v>
      </c>
      <c r="U103" s="130"/>
      <c r="V103" s="130"/>
      <c r="W103" s="130"/>
      <c r="X103" s="130"/>
      <c r="Y103" s="130"/>
      <c r="Z103" s="130"/>
      <c r="AA103" s="130"/>
      <c r="AB103" s="130"/>
      <c r="AC103" s="130"/>
      <c r="AD103" s="130"/>
      <c r="AE103" s="130"/>
      <c r="AF103" s="130"/>
      <c r="AG103" s="130"/>
      <c r="AH103" s="130"/>
      <c r="AK103" s="130" t="s">
        <v>485</v>
      </c>
      <c r="AL103" s="130"/>
      <c r="AM103" s="130"/>
      <c r="AN103" s="130"/>
      <c r="AO103" s="130"/>
      <c r="AP103" s="130"/>
      <c r="AQ103" s="130"/>
      <c r="AR103" s="130"/>
      <c r="AS103" s="130"/>
      <c r="AT103" s="130"/>
      <c r="AU103" s="130"/>
      <c r="AV103" s="130"/>
      <c r="AW103" s="130"/>
      <c r="AX103" s="130"/>
      <c r="AY103" s="130"/>
      <c r="AZ103" s="130"/>
      <c r="BA103" s="130"/>
    </row>
    <row r="104" spans="2:53" s="299" customFormat="1"/>
    <row r="105" spans="2:53" s="299" customFormat="1" ht="15">
      <c r="C105" s="332" t="s">
        <v>499</v>
      </c>
      <c r="T105" s="332" t="s">
        <v>499</v>
      </c>
      <c r="AK105" s="332" t="s">
        <v>499</v>
      </c>
    </row>
    <row r="106" spans="2:53" s="299" customFormat="1" ht="15">
      <c r="C106" s="332" t="s">
        <v>498</v>
      </c>
      <c r="T106" s="332" t="s">
        <v>498</v>
      </c>
      <c r="AK106" s="332" t="s">
        <v>498</v>
      </c>
    </row>
    <row r="107" spans="2:53" s="299" customFormat="1">
      <c r="AY107"/>
      <c r="AZ107"/>
      <c r="BA107"/>
    </row>
    <row r="108" spans="2:53" s="299" customFormat="1">
      <c r="C108" s="326" t="s">
        <v>442</v>
      </c>
      <c r="D108" s="326">
        <f t="array" ref="D108:O108">TRANSPOSE(Years)</f>
        <v>2008</v>
      </c>
      <c r="E108" s="326">
        <v>2009</v>
      </c>
      <c r="F108" s="326">
        <v>2010</v>
      </c>
      <c r="G108" s="326">
        <v>2011</v>
      </c>
      <c r="H108" s="326">
        <v>2012</v>
      </c>
      <c r="I108" s="326">
        <v>2013</v>
      </c>
      <c r="J108" s="326">
        <v>2014</v>
      </c>
      <c r="K108" s="326">
        <v>2015</v>
      </c>
      <c r="L108" s="326">
        <v>2016</v>
      </c>
      <c r="M108" s="326">
        <v>2017</v>
      </c>
      <c r="N108" s="326">
        <v>2018</v>
      </c>
      <c r="O108" s="326">
        <v>2019</v>
      </c>
      <c r="T108" s="338" t="s">
        <v>442</v>
      </c>
      <c r="U108" s="338">
        <f t="array" ref="U108:AF108">TRANSPOSE(Years)</f>
        <v>2008</v>
      </c>
      <c r="V108" s="338">
        <v>2009</v>
      </c>
      <c r="W108" s="338">
        <v>2010</v>
      </c>
      <c r="X108" s="338">
        <v>2011</v>
      </c>
      <c r="Y108" s="338">
        <v>2012</v>
      </c>
      <c r="Z108" s="338">
        <v>2013</v>
      </c>
      <c r="AA108" s="338">
        <v>2014</v>
      </c>
      <c r="AB108" s="338">
        <v>2015</v>
      </c>
      <c r="AC108" s="338">
        <v>2016</v>
      </c>
      <c r="AD108" s="338">
        <v>2017</v>
      </c>
      <c r="AE108" s="338">
        <v>2018</v>
      </c>
      <c r="AF108" s="338">
        <v>2019</v>
      </c>
      <c r="AK108" s="338" t="s">
        <v>442</v>
      </c>
      <c r="AL108" s="338">
        <f t="array" ref="AL108:AW108">TRANSPOSE(Years)</f>
        <v>2008</v>
      </c>
      <c r="AM108" s="338">
        <v>2009</v>
      </c>
      <c r="AN108" s="338">
        <v>2010</v>
      </c>
      <c r="AO108" s="338">
        <v>2011</v>
      </c>
      <c r="AP108" s="338">
        <v>2012</v>
      </c>
      <c r="AQ108" s="338">
        <v>2013</v>
      </c>
      <c r="AR108" s="338">
        <v>2014</v>
      </c>
      <c r="AS108" s="338">
        <v>2015</v>
      </c>
      <c r="AT108" s="338">
        <v>2016</v>
      </c>
      <c r="AU108" s="338">
        <v>2017</v>
      </c>
      <c r="AV108" s="338">
        <v>2018</v>
      </c>
      <c r="AW108" s="338">
        <v>2019</v>
      </c>
      <c r="AY108"/>
      <c r="AZ108"/>
      <c r="BA108"/>
    </row>
    <row r="109" spans="2:53" s="299" customFormat="1">
      <c r="C109" s="310" t="str">
        <f t="array" ref="C109:C146">LL.list</f>
        <v>64 kbps</v>
      </c>
      <c r="E109" s="335">
        <f t="array" ref="E109:J146">National.LL.0.81.km.2009.2014.retail</f>
        <v>1117</v>
      </c>
      <c r="F109" s="335">
        <v>2056.8000000000002</v>
      </c>
      <c r="G109" s="335">
        <v>2255</v>
      </c>
      <c r="H109" s="335">
        <v>1366.75</v>
      </c>
      <c r="I109" s="335">
        <v>1976.6</v>
      </c>
      <c r="J109" s="335">
        <v>1381.12</v>
      </c>
      <c r="K109" s="473"/>
      <c r="L109" s="473"/>
      <c r="M109" s="473"/>
      <c r="N109" s="473"/>
      <c r="O109" s="473"/>
      <c r="T109" s="310" t="str">
        <f t="array" ref="T109:T146">LL.list</f>
        <v>64 kbps</v>
      </c>
      <c r="V109" s="335">
        <f t="array" ref="V109:AA146">National.LL.0.81.km.2009.2014.wholesale</f>
        <v>1118</v>
      </c>
      <c r="W109" s="335">
        <v>2058</v>
      </c>
      <c r="X109" s="335">
        <v>2255</v>
      </c>
      <c r="Y109" s="335">
        <v>1367</v>
      </c>
      <c r="Z109" s="335">
        <v>1978</v>
      </c>
      <c r="AA109" s="335">
        <v>1383</v>
      </c>
      <c r="AB109" s="473"/>
      <c r="AC109" s="473"/>
      <c r="AD109" s="473"/>
      <c r="AE109" s="473"/>
      <c r="AF109" s="473"/>
      <c r="AK109" s="310" t="str">
        <f t="array" ref="AK109:AK146">LL.list</f>
        <v>64 kbps</v>
      </c>
      <c r="AM109" s="335">
        <f t="array" ref="AM109:AR146">National.LL.0.81.km.2009.2014.total</f>
        <v>2235</v>
      </c>
      <c r="AN109" s="335">
        <v>4114.8</v>
      </c>
      <c r="AO109" s="335">
        <v>4510</v>
      </c>
      <c r="AP109" s="335">
        <v>2733.75</v>
      </c>
      <c r="AQ109" s="335">
        <v>3954.6</v>
      </c>
      <c r="AR109" s="335">
        <v>2764.12</v>
      </c>
      <c r="AS109" s="473"/>
      <c r="AT109" s="473"/>
      <c r="AU109" s="473"/>
      <c r="AV109" s="473"/>
      <c r="AW109" s="473"/>
    </row>
    <row r="110" spans="2:53" s="299" customFormat="1">
      <c r="C110" s="310" t="str">
        <v>128 kbps</v>
      </c>
      <c r="E110" s="335">
        <v>1185.3699999999999</v>
      </c>
      <c r="F110" s="335">
        <v>1587</v>
      </c>
      <c r="G110" s="335">
        <v>1482.7599999999998</v>
      </c>
      <c r="H110" s="335">
        <v>940</v>
      </c>
      <c r="I110" s="335">
        <v>758.39999999999986</v>
      </c>
      <c r="J110" s="335">
        <v>834.53</v>
      </c>
      <c r="K110" s="473"/>
      <c r="L110" s="473"/>
      <c r="M110" s="473"/>
      <c r="N110" s="473"/>
      <c r="O110" s="473"/>
      <c r="T110" s="310" t="str">
        <v>128 kbps</v>
      </c>
      <c r="V110" s="335">
        <v>1187</v>
      </c>
      <c r="W110" s="335">
        <v>1588</v>
      </c>
      <c r="X110" s="335">
        <v>1484</v>
      </c>
      <c r="Y110" s="335">
        <v>940</v>
      </c>
      <c r="Z110" s="335">
        <v>760</v>
      </c>
      <c r="AA110" s="335">
        <v>835</v>
      </c>
      <c r="AB110" s="473"/>
      <c r="AC110" s="473"/>
      <c r="AD110" s="473"/>
      <c r="AE110" s="473"/>
      <c r="AF110" s="473"/>
      <c r="AK110" s="310" t="str">
        <v>128 kbps</v>
      </c>
      <c r="AM110" s="335">
        <v>2372.37</v>
      </c>
      <c r="AN110" s="335">
        <v>3175</v>
      </c>
      <c r="AO110" s="335">
        <v>2966.7599999999998</v>
      </c>
      <c r="AP110" s="335">
        <v>1880</v>
      </c>
      <c r="AQ110" s="335">
        <v>1518.3999999999999</v>
      </c>
      <c r="AR110" s="335">
        <v>1669.53</v>
      </c>
      <c r="AS110" s="473"/>
      <c r="AT110" s="473"/>
      <c r="AU110" s="473"/>
      <c r="AV110" s="473"/>
      <c r="AW110" s="473"/>
    </row>
    <row r="111" spans="2:53" s="299" customFormat="1">
      <c r="C111" s="310" t="str">
        <v>192 kbps</v>
      </c>
      <c r="E111" s="335">
        <v>260.36</v>
      </c>
      <c r="F111" s="335">
        <v>350</v>
      </c>
      <c r="G111" s="335">
        <v>330.5</v>
      </c>
      <c r="H111" s="335">
        <v>315.22000000000003</v>
      </c>
      <c r="I111" s="335">
        <v>173.8</v>
      </c>
      <c r="J111" s="335">
        <v>184.75</v>
      </c>
      <c r="K111" s="473"/>
      <c r="L111" s="473"/>
      <c r="M111" s="473"/>
      <c r="N111" s="473"/>
      <c r="O111" s="473"/>
      <c r="T111" s="310" t="str">
        <v>192 kbps</v>
      </c>
      <c r="V111" s="335">
        <v>261</v>
      </c>
      <c r="W111" s="335">
        <v>350</v>
      </c>
      <c r="X111" s="335">
        <v>332</v>
      </c>
      <c r="Y111" s="335">
        <v>317</v>
      </c>
      <c r="Z111" s="335">
        <v>174</v>
      </c>
      <c r="AA111" s="335">
        <v>185</v>
      </c>
      <c r="AB111" s="473"/>
      <c r="AC111" s="473"/>
      <c r="AD111" s="473"/>
      <c r="AE111" s="473"/>
      <c r="AF111" s="473"/>
      <c r="AK111" s="310" t="str">
        <v>192 kbps</v>
      </c>
      <c r="AM111" s="335">
        <v>521.36</v>
      </c>
      <c r="AN111" s="335">
        <v>700</v>
      </c>
      <c r="AO111" s="335">
        <v>662.5</v>
      </c>
      <c r="AP111" s="335">
        <v>632.22</v>
      </c>
      <c r="AQ111" s="335">
        <v>347.8</v>
      </c>
      <c r="AR111" s="335">
        <v>369.75</v>
      </c>
      <c r="AS111" s="473"/>
      <c r="AT111" s="473"/>
      <c r="AU111" s="473"/>
      <c r="AV111" s="473"/>
      <c r="AW111" s="473"/>
    </row>
    <row r="112" spans="2:53" s="299" customFormat="1">
      <c r="C112" s="310" t="str">
        <v>256 kbps</v>
      </c>
      <c r="E112" s="335">
        <v>650</v>
      </c>
      <c r="F112" s="335">
        <v>810.2199999999998</v>
      </c>
      <c r="G112" s="335">
        <v>745</v>
      </c>
      <c r="H112" s="335">
        <v>898.77999999999975</v>
      </c>
      <c r="I112" s="335">
        <v>981.69</v>
      </c>
      <c r="J112" s="335">
        <v>579.25</v>
      </c>
      <c r="K112" s="473"/>
      <c r="L112" s="473"/>
      <c r="M112" s="473"/>
      <c r="N112" s="473"/>
      <c r="O112" s="473"/>
      <c r="T112" s="310" t="str">
        <v>256 kbps</v>
      </c>
      <c r="V112" s="335">
        <v>650</v>
      </c>
      <c r="W112" s="335">
        <v>812</v>
      </c>
      <c r="X112" s="335">
        <v>746</v>
      </c>
      <c r="Y112" s="335">
        <v>899</v>
      </c>
      <c r="Z112" s="335">
        <v>983</v>
      </c>
      <c r="AA112" s="335">
        <v>581</v>
      </c>
      <c r="AB112" s="473"/>
      <c r="AC112" s="473"/>
      <c r="AD112" s="473"/>
      <c r="AE112" s="473"/>
      <c r="AF112" s="473"/>
      <c r="AK112" s="310" t="str">
        <v>256 kbps</v>
      </c>
      <c r="AM112" s="335">
        <v>1300</v>
      </c>
      <c r="AN112" s="335">
        <v>1622.2199999999998</v>
      </c>
      <c r="AO112" s="335">
        <v>1491</v>
      </c>
      <c r="AP112" s="335">
        <v>1797.7799999999997</v>
      </c>
      <c r="AQ112" s="335">
        <v>1964.69</v>
      </c>
      <c r="AR112" s="335">
        <v>1160.25</v>
      </c>
      <c r="AS112" s="473"/>
      <c r="AT112" s="473"/>
      <c r="AU112" s="473"/>
      <c r="AV112" s="473"/>
      <c r="AW112" s="473"/>
    </row>
    <row r="113" spans="3:49" s="299" customFormat="1">
      <c r="C113" s="310" t="str">
        <v>384 kbps</v>
      </c>
      <c r="E113" s="335">
        <v>291.65999999999997</v>
      </c>
      <c r="F113" s="335">
        <v>371.36</v>
      </c>
      <c r="G113" s="335">
        <v>422.90000000000009</v>
      </c>
      <c r="H113" s="335">
        <v>532.96</v>
      </c>
      <c r="I113" s="335">
        <v>408.29999999999995</v>
      </c>
      <c r="J113" s="335">
        <v>511.24</v>
      </c>
      <c r="K113" s="473"/>
      <c r="L113" s="473"/>
      <c r="M113" s="473"/>
      <c r="N113" s="473"/>
      <c r="O113" s="473"/>
      <c r="T113" s="310" t="str">
        <v>384 kbps</v>
      </c>
      <c r="V113" s="335">
        <v>293</v>
      </c>
      <c r="W113" s="335">
        <v>372</v>
      </c>
      <c r="X113" s="335">
        <v>423</v>
      </c>
      <c r="Y113" s="335">
        <v>533</v>
      </c>
      <c r="Z113" s="335">
        <v>410</v>
      </c>
      <c r="AA113" s="335">
        <v>513</v>
      </c>
      <c r="AB113" s="473"/>
      <c r="AC113" s="473"/>
      <c r="AD113" s="473"/>
      <c r="AE113" s="473"/>
      <c r="AF113" s="473"/>
      <c r="AK113" s="310" t="str">
        <v>384 kbps</v>
      </c>
      <c r="AM113" s="335">
        <v>584.66</v>
      </c>
      <c r="AN113" s="335">
        <v>743.36</v>
      </c>
      <c r="AO113" s="335">
        <v>845.90000000000009</v>
      </c>
      <c r="AP113" s="335">
        <v>1065.96</v>
      </c>
      <c r="AQ113" s="335">
        <v>818.3</v>
      </c>
      <c r="AR113" s="335">
        <v>1024.24</v>
      </c>
      <c r="AS113" s="473"/>
      <c r="AT113" s="473"/>
      <c r="AU113" s="473"/>
      <c r="AV113" s="473"/>
      <c r="AW113" s="473"/>
    </row>
    <row r="114" spans="3:49" s="299" customFormat="1">
      <c r="C114" s="310" t="str">
        <v>512 kbps</v>
      </c>
      <c r="E114" s="335">
        <v>566</v>
      </c>
      <c r="F114" s="335">
        <v>436.53999999999996</v>
      </c>
      <c r="G114" s="335">
        <v>538.20000000000005</v>
      </c>
      <c r="H114" s="335">
        <v>408.29000000000008</v>
      </c>
      <c r="I114" s="335">
        <v>473.6</v>
      </c>
      <c r="J114" s="335">
        <v>294.84000000000003</v>
      </c>
      <c r="K114" s="473"/>
      <c r="L114" s="473"/>
      <c r="M114" s="473"/>
      <c r="N114" s="473"/>
      <c r="O114" s="473"/>
      <c r="T114" s="310" t="str">
        <v>512 kbps</v>
      </c>
      <c r="V114" s="335">
        <v>566</v>
      </c>
      <c r="W114" s="335">
        <v>438</v>
      </c>
      <c r="X114" s="335">
        <v>540</v>
      </c>
      <c r="Y114" s="335">
        <v>409</v>
      </c>
      <c r="Z114" s="335">
        <v>475</v>
      </c>
      <c r="AA114" s="335">
        <v>295</v>
      </c>
      <c r="AB114" s="473"/>
      <c r="AC114" s="473"/>
      <c r="AD114" s="473"/>
      <c r="AE114" s="473"/>
      <c r="AF114" s="473"/>
      <c r="AK114" s="310" t="str">
        <v>512 kbps</v>
      </c>
      <c r="AM114" s="335">
        <v>1132</v>
      </c>
      <c r="AN114" s="335">
        <v>874.54</v>
      </c>
      <c r="AO114" s="335">
        <v>1078.2</v>
      </c>
      <c r="AP114" s="335">
        <v>817.29000000000008</v>
      </c>
      <c r="AQ114" s="335">
        <v>948.6</v>
      </c>
      <c r="AR114" s="335">
        <v>589.84</v>
      </c>
      <c r="AS114" s="473"/>
      <c r="AT114" s="473"/>
      <c r="AU114" s="473"/>
      <c r="AV114" s="473"/>
      <c r="AW114" s="473"/>
    </row>
    <row r="115" spans="3:49" s="299" customFormat="1">
      <c r="C115" s="310" t="str">
        <v>768 kbps</v>
      </c>
      <c r="E115" s="335">
        <v>153.45999999999998</v>
      </c>
      <c r="F115" s="335">
        <v>123.19999999999999</v>
      </c>
      <c r="G115" s="335">
        <v>117.44999999999999</v>
      </c>
      <c r="H115" s="335">
        <v>101.85</v>
      </c>
      <c r="I115" s="335">
        <v>99.5</v>
      </c>
      <c r="J115" s="335">
        <v>60.45</v>
      </c>
      <c r="K115" s="473"/>
      <c r="L115" s="473"/>
      <c r="M115" s="473"/>
      <c r="N115" s="473"/>
      <c r="O115" s="473"/>
      <c r="T115" s="310" t="str">
        <v>768 kbps</v>
      </c>
      <c r="V115" s="335">
        <v>155</v>
      </c>
      <c r="W115" s="335">
        <v>125</v>
      </c>
      <c r="X115" s="335">
        <v>118</v>
      </c>
      <c r="Y115" s="335">
        <v>103</v>
      </c>
      <c r="Z115" s="335">
        <v>100</v>
      </c>
      <c r="AA115" s="335">
        <v>62</v>
      </c>
      <c r="AB115" s="473"/>
      <c r="AC115" s="473"/>
      <c r="AD115" s="473"/>
      <c r="AE115" s="473"/>
      <c r="AF115" s="473"/>
      <c r="AK115" s="310" t="str">
        <v>768 kbps</v>
      </c>
      <c r="AM115" s="335">
        <v>308.45999999999998</v>
      </c>
      <c r="AN115" s="335">
        <v>248.2</v>
      </c>
      <c r="AO115" s="335">
        <v>235.45</v>
      </c>
      <c r="AP115" s="335">
        <v>204.85</v>
      </c>
      <c r="AQ115" s="335">
        <v>199.5</v>
      </c>
      <c r="AR115" s="335">
        <v>122.45</v>
      </c>
      <c r="AS115" s="473"/>
      <c r="AT115" s="473"/>
      <c r="AU115" s="473"/>
      <c r="AV115" s="473"/>
      <c r="AW115" s="473"/>
    </row>
    <row r="116" spans="3:49" s="299" customFormat="1">
      <c r="C116" s="310" t="str">
        <v>1024 kbps</v>
      </c>
      <c r="E116" s="335">
        <v>84.69</v>
      </c>
      <c r="F116" s="335">
        <v>126.13</v>
      </c>
      <c r="G116" s="335">
        <v>71.900000000000006</v>
      </c>
      <c r="H116" s="335">
        <v>68.94</v>
      </c>
      <c r="I116" s="335">
        <v>51.03</v>
      </c>
      <c r="J116" s="335">
        <v>32.799999999999997</v>
      </c>
      <c r="K116" s="473"/>
      <c r="L116" s="473"/>
      <c r="M116" s="473"/>
      <c r="N116" s="473"/>
      <c r="O116" s="473"/>
      <c r="T116" s="310" t="str">
        <v>1024 kbps</v>
      </c>
      <c r="V116" s="335">
        <v>85</v>
      </c>
      <c r="W116" s="335">
        <v>128</v>
      </c>
      <c r="X116" s="335">
        <v>73</v>
      </c>
      <c r="Y116" s="335">
        <v>69</v>
      </c>
      <c r="Z116" s="335">
        <v>53</v>
      </c>
      <c r="AA116" s="335">
        <v>33</v>
      </c>
      <c r="AB116" s="473"/>
      <c r="AC116" s="473"/>
      <c r="AD116" s="473"/>
      <c r="AE116" s="473"/>
      <c r="AF116" s="473"/>
      <c r="AK116" s="310" t="str">
        <v>1024 kbps</v>
      </c>
      <c r="AM116" s="335">
        <v>169.69</v>
      </c>
      <c r="AN116" s="335">
        <v>254.13</v>
      </c>
      <c r="AO116" s="335">
        <v>144.9</v>
      </c>
      <c r="AP116" s="335">
        <v>137.94</v>
      </c>
      <c r="AQ116" s="335">
        <v>104.03</v>
      </c>
      <c r="AR116" s="335">
        <v>65.8</v>
      </c>
      <c r="AS116" s="473"/>
      <c r="AT116" s="473"/>
      <c r="AU116" s="473"/>
      <c r="AV116" s="473"/>
      <c r="AW116" s="473"/>
    </row>
    <row r="117" spans="3:49" s="299" customFormat="1">
      <c r="C117" s="331" t="str">
        <v>E1 (2.04 Mbps)</v>
      </c>
      <c r="E117" s="335">
        <v>116.59999999999991</v>
      </c>
      <c r="F117" s="335">
        <v>150.79999999999973</v>
      </c>
      <c r="G117" s="335">
        <v>159.69999999999982</v>
      </c>
      <c r="H117" s="335">
        <v>269.91000000000076</v>
      </c>
      <c r="I117" s="335">
        <v>223.77999999999975</v>
      </c>
      <c r="J117" s="335">
        <v>398</v>
      </c>
      <c r="K117" s="473"/>
      <c r="L117" s="473"/>
      <c r="M117" s="473"/>
      <c r="N117" s="473"/>
      <c r="O117" s="473"/>
      <c r="T117" s="331" t="str">
        <v>E1 (2.04 Mbps)</v>
      </c>
      <c r="V117" s="335">
        <v>2227</v>
      </c>
      <c r="W117" s="335">
        <v>2870</v>
      </c>
      <c r="X117" s="335">
        <v>3038</v>
      </c>
      <c r="Y117" s="335">
        <v>5148</v>
      </c>
      <c r="Z117" s="335">
        <v>4262</v>
      </c>
      <c r="AA117" s="335">
        <v>7567</v>
      </c>
      <c r="AB117" s="473"/>
      <c r="AC117" s="473"/>
      <c r="AD117" s="473"/>
      <c r="AE117" s="473"/>
      <c r="AF117" s="473"/>
      <c r="AK117" s="331" t="str">
        <v>E1 (2.04 Mbps)</v>
      </c>
      <c r="AM117" s="335">
        <v>2343.6</v>
      </c>
      <c r="AN117" s="335">
        <v>3020.7999999999997</v>
      </c>
      <c r="AO117" s="335">
        <v>3197.7</v>
      </c>
      <c r="AP117" s="335">
        <v>5417.9100000000008</v>
      </c>
      <c r="AQ117" s="335">
        <v>4485.78</v>
      </c>
      <c r="AR117" s="335">
        <v>7965</v>
      </c>
      <c r="AS117" s="473"/>
      <c r="AT117" s="473"/>
      <c r="AU117" s="473"/>
      <c r="AV117" s="473"/>
      <c r="AW117" s="473"/>
    </row>
    <row r="118" spans="3:49" s="299" customFormat="1">
      <c r="C118" s="331" t="str">
        <v>E2 *</v>
      </c>
      <c r="E118" s="335">
        <v>0</v>
      </c>
      <c r="F118" s="335">
        <v>0</v>
      </c>
      <c r="G118" s="335">
        <v>0</v>
      </c>
      <c r="H118" s="335">
        <v>0</v>
      </c>
      <c r="I118" s="335">
        <v>0</v>
      </c>
      <c r="J118" s="335">
        <v>0</v>
      </c>
      <c r="K118" s="473"/>
      <c r="L118" s="473"/>
      <c r="M118" s="473"/>
      <c r="N118" s="473"/>
      <c r="O118" s="473"/>
      <c r="T118" s="331" t="str">
        <v>E2 *</v>
      </c>
      <c r="V118" s="335">
        <v>0</v>
      </c>
      <c r="W118" s="335">
        <v>0</v>
      </c>
      <c r="X118" s="335">
        <v>0</v>
      </c>
      <c r="Y118" s="335">
        <v>0</v>
      </c>
      <c r="Z118" s="335">
        <v>0</v>
      </c>
      <c r="AA118" s="335">
        <v>0</v>
      </c>
      <c r="AB118" s="473"/>
      <c r="AC118" s="473"/>
      <c r="AD118" s="473"/>
      <c r="AE118" s="473"/>
      <c r="AF118" s="473"/>
      <c r="AK118" s="331" t="str">
        <v>E2 *</v>
      </c>
      <c r="AM118" s="335">
        <v>0</v>
      </c>
      <c r="AN118" s="335">
        <v>0</v>
      </c>
      <c r="AO118" s="335">
        <v>0</v>
      </c>
      <c r="AP118" s="335">
        <v>0</v>
      </c>
      <c r="AQ118" s="335">
        <v>0</v>
      </c>
      <c r="AR118" s="335">
        <v>0</v>
      </c>
      <c r="AS118" s="473"/>
      <c r="AT118" s="473"/>
      <c r="AU118" s="473"/>
      <c r="AV118" s="473"/>
      <c r="AW118" s="473"/>
    </row>
    <row r="119" spans="3:49" s="299" customFormat="1">
      <c r="C119" s="331" t="str">
        <v>E3 (34 Mbps)</v>
      </c>
      <c r="E119" s="335">
        <v>7.5399999999999991</v>
      </c>
      <c r="F119" s="335">
        <v>9.75</v>
      </c>
      <c r="G119" s="335">
        <v>7.9400000000000013</v>
      </c>
      <c r="H119" s="335">
        <v>11.5</v>
      </c>
      <c r="I119" s="335">
        <v>13.71</v>
      </c>
      <c r="J119" s="335">
        <v>13.119999999999997</v>
      </c>
      <c r="K119" s="473"/>
      <c r="L119" s="473"/>
      <c r="M119" s="473"/>
      <c r="N119" s="473"/>
      <c r="O119" s="473"/>
      <c r="T119" s="331" t="str">
        <v>E3 (34 Mbps)</v>
      </c>
      <c r="V119" s="335">
        <v>8</v>
      </c>
      <c r="W119" s="335">
        <v>10</v>
      </c>
      <c r="X119" s="335">
        <v>9</v>
      </c>
      <c r="Y119" s="335">
        <v>13</v>
      </c>
      <c r="Z119" s="335">
        <v>15</v>
      </c>
      <c r="AA119" s="335">
        <v>14</v>
      </c>
      <c r="AB119" s="473"/>
      <c r="AC119" s="473"/>
      <c r="AD119" s="473"/>
      <c r="AE119" s="473"/>
      <c r="AF119" s="473"/>
      <c r="AK119" s="331" t="str">
        <v>E3 (34 Mbps)</v>
      </c>
      <c r="AM119" s="335">
        <v>15.54</v>
      </c>
      <c r="AN119" s="335">
        <v>19.75</v>
      </c>
      <c r="AO119" s="335">
        <v>16.940000000000001</v>
      </c>
      <c r="AP119" s="335">
        <v>24.5</v>
      </c>
      <c r="AQ119" s="335">
        <v>28.71</v>
      </c>
      <c r="AR119" s="335">
        <v>27.119999999999997</v>
      </c>
      <c r="AS119" s="473"/>
      <c r="AT119" s="473"/>
      <c r="AU119" s="473"/>
      <c r="AV119" s="473"/>
      <c r="AW119" s="473"/>
    </row>
    <row r="120" spans="3:49" s="299" customFormat="1">
      <c r="C120" s="331" t="str">
        <v>STM-1 (155 Mbps)</v>
      </c>
      <c r="E120" s="335">
        <v>0</v>
      </c>
      <c r="F120" s="335">
        <v>0</v>
      </c>
      <c r="G120" s="335">
        <v>0</v>
      </c>
      <c r="H120" s="335">
        <v>0</v>
      </c>
      <c r="I120" s="335">
        <v>0</v>
      </c>
      <c r="J120" s="335">
        <v>0</v>
      </c>
      <c r="K120" s="473"/>
      <c r="L120" s="473"/>
      <c r="M120" s="473"/>
      <c r="N120" s="473"/>
      <c r="O120" s="473"/>
      <c r="T120" s="331" t="str">
        <v>STM-1 (155 Mbps)</v>
      </c>
      <c r="V120" s="335">
        <v>4.5600000000000005</v>
      </c>
      <c r="W120" s="335">
        <v>5.6</v>
      </c>
      <c r="X120" s="335">
        <v>7.26</v>
      </c>
      <c r="Y120" s="335">
        <v>5.3000000000000007</v>
      </c>
      <c r="Z120" s="335">
        <v>2.64</v>
      </c>
      <c r="AA120" s="335">
        <v>3.66</v>
      </c>
      <c r="AB120" s="473"/>
      <c r="AC120" s="473"/>
      <c r="AD120" s="473"/>
      <c r="AE120" s="473"/>
      <c r="AF120" s="473"/>
      <c r="AK120" s="331" t="str">
        <v>STM-1 (155 Mbps)</v>
      </c>
      <c r="AM120" s="335">
        <v>4.5600000000000005</v>
      </c>
      <c r="AN120" s="335">
        <v>5.6</v>
      </c>
      <c r="AO120" s="335">
        <v>7.26</v>
      </c>
      <c r="AP120" s="335">
        <v>5.3000000000000007</v>
      </c>
      <c r="AQ120" s="335">
        <v>2.64</v>
      </c>
      <c r="AR120" s="335">
        <v>3.66</v>
      </c>
      <c r="AS120" s="473"/>
      <c r="AT120" s="473"/>
      <c r="AU120" s="473"/>
      <c r="AV120" s="473"/>
      <c r="AW120" s="473"/>
    </row>
    <row r="121" spans="3:49" s="299" customFormat="1">
      <c r="C121" s="310" t="str">
        <v>STM-4 (622.08 Mbps)</v>
      </c>
      <c r="E121" s="335">
        <v>0</v>
      </c>
      <c r="F121" s="335">
        <v>0</v>
      </c>
      <c r="G121" s="335">
        <v>0</v>
      </c>
      <c r="H121" s="335">
        <v>0</v>
      </c>
      <c r="I121" s="335">
        <v>0</v>
      </c>
      <c r="J121" s="335">
        <v>0</v>
      </c>
      <c r="K121" s="473"/>
      <c r="L121" s="473"/>
      <c r="M121" s="473"/>
      <c r="N121" s="473"/>
      <c r="O121" s="473"/>
      <c r="T121" s="310" t="str">
        <v>STM-4 (622.08 Mbps)</v>
      </c>
      <c r="V121" s="335">
        <v>2.54</v>
      </c>
      <c r="W121" s="335">
        <v>2</v>
      </c>
      <c r="X121" s="335">
        <v>1.98</v>
      </c>
      <c r="Y121" s="335">
        <v>2.36</v>
      </c>
      <c r="Z121" s="335">
        <v>2.42</v>
      </c>
      <c r="AA121" s="335">
        <v>2.14</v>
      </c>
      <c r="AB121" s="473"/>
      <c r="AC121" s="473"/>
      <c r="AD121" s="473"/>
      <c r="AE121" s="473"/>
      <c r="AF121" s="473"/>
      <c r="AK121" s="310" t="str">
        <v>STM-4 (622.08 Mbps)</v>
      </c>
      <c r="AM121" s="335">
        <v>2.54</v>
      </c>
      <c r="AN121" s="335">
        <v>2</v>
      </c>
      <c r="AO121" s="335">
        <v>1.98</v>
      </c>
      <c r="AP121" s="335">
        <v>2.36</v>
      </c>
      <c r="AQ121" s="335">
        <v>2.42</v>
      </c>
      <c r="AR121" s="335">
        <v>2.14</v>
      </c>
      <c r="AS121" s="473"/>
      <c r="AT121" s="473"/>
      <c r="AU121" s="473"/>
      <c r="AV121" s="473"/>
      <c r="AW121" s="473"/>
    </row>
    <row r="122" spans="3:49" s="299" customFormat="1">
      <c r="C122" s="310" t="str">
        <v>STM-16 (2488.32Mbps)</v>
      </c>
      <c r="E122" s="335">
        <v>0</v>
      </c>
      <c r="F122" s="335">
        <v>0</v>
      </c>
      <c r="G122" s="335">
        <v>0</v>
      </c>
      <c r="H122" s="335">
        <v>0</v>
      </c>
      <c r="I122" s="335">
        <v>0</v>
      </c>
      <c r="J122" s="335">
        <v>0</v>
      </c>
      <c r="K122" s="473"/>
      <c r="L122" s="473"/>
      <c r="M122" s="473"/>
      <c r="N122" s="473"/>
      <c r="O122" s="473"/>
      <c r="T122" s="310" t="str">
        <v>STM-16 (2488.32Mbps)</v>
      </c>
      <c r="V122" s="335">
        <v>0</v>
      </c>
      <c r="W122" s="335">
        <v>0</v>
      </c>
      <c r="X122" s="335">
        <v>0</v>
      </c>
      <c r="Y122" s="335">
        <v>0</v>
      </c>
      <c r="Z122" s="335">
        <v>0</v>
      </c>
      <c r="AA122" s="335">
        <v>0</v>
      </c>
      <c r="AB122" s="473"/>
      <c r="AC122" s="473"/>
      <c r="AD122" s="473"/>
      <c r="AE122" s="473"/>
      <c r="AF122" s="473"/>
      <c r="AK122" s="310" t="str">
        <v>STM-16 (2488.32Mbps)</v>
      </c>
      <c r="AM122" s="335">
        <v>0</v>
      </c>
      <c r="AN122" s="335">
        <v>0</v>
      </c>
      <c r="AO122" s="335">
        <v>0</v>
      </c>
      <c r="AP122" s="335">
        <v>0</v>
      </c>
      <c r="AQ122" s="335">
        <v>0</v>
      </c>
      <c r="AR122" s="335">
        <v>0</v>
      </c>
      <c r="AS122" s="473"/>
      <c r="AT122" s="473"/>
      <c r="AU122" s="473"/>
      <c r="AV122" s="473"/>
      <c r="AW122" s="473"/>
    </row>
    <row r="123" spans="3:49" s="299" customFormat="1">
      <c r="C123" s="310" t="str">
        <v>STM-64 (9953.28Mbps)</v>
      </c>
      <c r="E123" s="335">
        <v>0</v>
      </c>
      <c r="F123" s="335">
        <v>0</v>
      </c>
      <c r="G123" s="335">
        <v>0</v>
      </c>
      <c r="H123" s="335">
        <v>0</v>
      </c>
      <c r="I123" s="335">
        <v>0</v>
      </c>
      <c r="J123" s="335">
        <v>0</v>
      </c>
      <c r="K123" s="473"/>
      <c r="L123" s="473"/>
      <c r="M123" s="473"/>
      <c r="N123" s="473"/>
      <c r="O123" s="473"/>
      <c r="T123" s="310" t="str">
        <v>STM-64 (9953.28Mbps)</v>
      </c>
      <c r="V123" s="335">
        <v>0</v>
      </c>
      <c r="W123" s="335">
        <v>0</v>
      </c>
      <c r="X123" s="335">
        <v>0</v>
      </c>
      <c r="Y123" s="335">
        <v>0</v>
      </c>
      <c r="Z123" s="335">
        <v>0</v>
      </c>
      <c r="AA123" s="335">
        <v>0</v>
      </c>
      <c r="AB123" s="473"/>
      <c r="AC123" s="473"/>
      <c r="AD123" s="473"/>
      <c r="AE123" s="473"/>
      <c r="AF123" s="473"/>
      <c r="AK123" s="310" t="str">
        <v>STM-64 (9953.28Mbps)</v>
      </c>
      <c r="AM123" s="335">
        <v>0</v>
      </c>
      <c r="AN123" s="335">
        <v>0</v>
      </c>
      <c r="AO123" s="335">
        <v>0</v>
      </c>
      <c r="AP123" s="335">
        <v>0</v>
      </c>
      <c r="AQ123" s="335">
        <v>0</v>
      </c>
      <c r="AR123" s="335">
        <v>0</v>
      </c>
      <c r="AS123" s="473"/>
      <c r="AT123" s="473"/>
      <c r="AU123" s="473"/>
      <c r="AV123" s="473"/>
      <c r="AW123" s="473"/>
    </row>
    <row r="124" spans="3:49" s="299" customFormat="1">
      <c r="C124" s="310" t="str">
        <v>STM-256 (39813.12 Mbps)*</v>
      </c>
      <c r="E124" s="335">
        <v>0</v>
      </c>
      <c r="F124" s="335">
        <v>0</v>
      </c>
      <c r="G124" s="335">
        <v>0</v>
      </c>
      <c r="H124" s="335">
        <v>0</v>
      </c>
      <c r="I124" s="335">
        <v>0</v>
      </c>
      <c r="J124" s="335">
        <v>0</v>
      </c>
      <c r="K124" s="473"/>
      <c r="L124" s="473"/>
      <c r="M124" s="473"/>
      <c r="N124" s="473"/>
      <c r="O124" s="473"/>
      <c r="T124" s="310" t="str">
        <v>STM-256 (39813.12 Mbps)*</v>
      </c>
      <c r="V124" s="335">
        <v>0</v>
      </c>
      <c r="W124" s="335">
        <v>0</v>
      </c>
      <c r="X124" s="335">
        <v>0</v>
      </c>
      <c r="Y124" s="335">
        <v>0</v>
      </c>
      <c r="Z124" s="335">
        <v>0</v>
      </c>
      <c r="AA124" s="335">
        <v>0</v>
      </c>
      <c r="AB124" s="473"/>
      <c r="AC124" s="473"/>
      <c r="AD124" s="473"/>
      <c r="AE124" s="473"/>
      <c r="AF124" s="473"/>
      <c r="AK124" s="310" t="str">
        <v>STM-256 (39813.12 Mbps)*</v>
      </c>
      <c r="AM124" s="335">
        <v>0</v>
      </c>
      <c r="AN124" s="335">
        <v>0</v>
      </c>
      <c r="AO124" s="335">
        <v>0</v>
      </c>
      <c r="AP124" s="335">
        <v>0</v>
      </c>
      <c r="AQ124" s="335">
        <v>0</v>
      </c>
      <c r="AR124" s="335">
        <v>0</v>
      </c>
      <c r="AS124" s="473"/>
      <c r="AT124" s="473"/>
      <c r="AU124" s="473"/>
      <c r="AV124" s="473"/>
      <c r="AW124" s="473"/>
    </row>
    <row r="125" spans="3:49" s="299" customFormat="1">
      <c r="C125" s="310" t="str">
        <v>Ethernet (10Mbps)</v>
      </c>
      <c r="E125" s="335">
        <v>1.9999999999999574E-2</v>
      </c>
      <c r="F125" s="335">
        <v>0.90000000000000036</v>
      </c>
      <c r="G125" s="335">
        <v>2.3100000000000023</v>
      </c>
      <c r="H125" s="335">
        <v>5.0399999999999991</v>
      </c>
      <c r="I125" s="335">
        <v>13.739999999999981</v>
      </c>
      <c r="J125" s="335">
        <v>29.160000000000025</v>
      </c>
      <c r="K125" s="473"/>
      <c r="L125" s="473"/>
      <c r="M125" s="473"/>
      <c r="N125" s="473"/>
      <c r="O125" s="473"/>
      <c r="T125" s="310" t="str">
        <v>Ethernet (10Mbps)</v>
      </c>
      <c r="V125" s="335">
        <v>6</v>
      </c>
      <c r="W125" s="335">
        <v>12</v>
      </c>
      <c r="X125" s="335">
        <v>21</v>
      </c>
      <c r="Y125" s="335">
        <v>52</v>
      </c>
      <c r="Z125" s="335">
        <v>129</v>
      </c>
      <c r="AA125" s="335">
        <v>270</v>
      </c>
      <c r="AB125" s="473"/>
      <c r="AC125" s="473"/>
      <c r="AD125" s="473"/>
      <c r="AE125" s="473"/>
      <c r="AF125" s="473"/>
      <c r="AK125" s="310" t="str">
        <v>Ethernet (10Mbps)</v>
      </c>
      <c r="AM125" s="335">
        <v>6.02</v>
      </c>
      <c r="AN125" s="335">
        <v>12.9</v>
      </c>
      <c r="AO125" s="335">
        <v>23.310000000000002</v>
      </c>
      <c r="AP125" s="335">
        <v>57.04</v>
      </c>
      <c r="AQ125" s="335">
        <v>142.73999999999998</v>
      </c>
      <c r="AR125" s="335">
        <v>299.16000000000003</v>
      </c>
      <c r="AS125" s="473"/>
      <c r="AT125" s="473"/>
      <c r="AU125" s="473"/>
      <c r="AV125" s="473"/>
      <c r="AW125" s="473"/>
    </row>
    <row r="126" spans="3:49" s="299" customFormat="1">
      <c r="C126" s="310" t="str">
        <v>Ethernet (20Mbps)</v>
      </c>
      <c r="E126" s="335">
        <v>1.0000000000000009E-2</v>
      </c>
      <c r="F126" s="335">
        <v>0.64000000000000012</v>
      </c>
      <c r="G126" s="335">
        <v>2.5</v>
      </c>
      <c r="H126" s="335">
        <v>8.3999999999999986</v>
      </c>
      <c r="I126" s="335">
        <v>22.54</v>
      </c>
      <c r="J126" s="335">
        <v>74.94</v>
      </c>
      <c r="K126" s="473"/>
      <c r="L126" s="473"/>
      <c r="M126" s="473"/>
      <c r="N126" s="473"/>
      <c r="O126" s="473"/>
      <c r="T126" s="310" t="str">
        <v>Ethernet (20Mbps)</v>
      </c>
      <c r="V126" s="335">
        <v>1</v>
      </c>
      <c r="W126" s="335">
        <v>2</v>
      </c>
      <c r="X126" s="335">
        <v>4</v>
      </c>
      <c r="Y126" s="335">
        <v>9</v>
      </c>
      <c r="Z126" s="335">
        <v>23</v>
      </c>
      <c r="AA126" s="335">
        <v>75</v>
      </c>
      <c r="AB126" s="473"/>
      <c r="AC126" s="473"/>
      <c r="AD126" s="473"/>
      <c r="AE126" s="473"/>
      <c r="AF126" s="473"/>
      <c r="AK126" s="310" t="str">
        <v>Ethernet (20Mbps)</v>
      </c>
      <c r="AM126" s="335">
        <v>1.01</v>
      </c>
      <c r="AN126" s="335">
        <v>2.64</v>
      </c>
      <c r="AO126" s="335">
        <v>6.5</v>
      </c>
      <c r="AP126" s="335">
        <v>17.399999999999999</v>
      </c>
      <c r="AQ126" s="335">
        <v>45.54</v>
      </c>
      <c r="AR126" s="335">
        <v>149.94</v>
      </c>
      <c r="AS126" s="473"/>
      <c r="AT126" s="473"/>
      <c r="AU126" s="473"/>
      <c r="AV126" s="473"/>
      <c r="AW126" s="473"/>
    </row>
    <row r="127" spans="3:49" s="299" customFormat="1">
      <c r="C127" s="310" t="str">
        <v>Ethernet (30Mbps)</v>
      </c>
      <c r="E127" s="335">
        <v>0</v>
      </c>
      <c r="F127" s="335">
        <v>-0.26</v>
      </c>
      <c r="G127" s="335">
        <v>-0.3600000000000001</v>
      </c>
      <c r="H127" s="335">
        <v>0.28000000000000025</v>
      </c>
      <c r="I127" s="335">
        <v>0.79999999999999893</v>
      </c>
      <c r="J127" s="335">
        <v>2.759999999999998</v>
      </c>
      <c r="K127" s="473"/>
      <c r="L127" s="473"/>
      <c r="M127" s="473"/>
      <c r="N127" s="473"/>
      <c r="O127" s="473"/>
      <c r="T127" s="310" t="str">
        <v>Ethernet (30Mbps)</v>
      </c>
      <c r="V127" s="335">
        <v>0</v>
      </c>
      <c r="W127" s="335">
        <v>1</v>
      </c>
      <c r="X127" s="335">
        <v>2</v>
      </c>
      <c r="Y127" s="335">
        <v>7</v>
      </c>
      <c r="Z127" s="335">
        <v>13</v>
      </c>
      <c r="AA127" s="335">
        <v>30</v>
      </c>
      <c r="AB127" s="473"/>
      <c r="AC127" s="473"/>
      <c r="AD127" s="473"/>
      <c r="AE127" s="473"/>
      <c r="AF127" s="473"/>
      <c r="AK127" s="310" t="str">
        <v>Ethernet (30Mbps)</v>
      </c>
      <c r="AM127" s="335">
        <v>0</v>
      </c>
      <c r="AN127" s="335">
        <v>0.74</v>
      </c>
      <c r="AO127" s="335">
        <v>1.64</v>
      </c>
      <c r="AP127" s="335">
        <v>7.28</v>
      </c>
      <c r="AQ127" s="335">
        <v>13.799999999999999</v>
      </c>
      <c r="AR127" s="335">
        <v>32.76</v>
      </c>
      <c r="AS127" s="473"/>
      <c r="AT127" s="473"/>
      <c r="AU127" s="473"/>
      <c r="AV127" s="473"/>
      <c r="AW127" s="473"/>
    </row>
    <row r="128" spans="3:49" s="299" customFormat="1">
      <c r="C128" s="310" t="str">
        <v>Ethernet (40Mbps)</v>
      </c>
      <c r="E128" s="335">
        <v>-0.20999999999999996</v>
      </c>
      <c r="F128" s="335">
        <v>0.7</v>
      </c>
      <c r="G128" s="335">
        <v>0.60000000000000009</v>
      </c>
      <c r="H128" s="335">
        <v>1.7999999999999998</v>
      </c>
      <c r="I128" s="335">
        <v>7.6000000000000014</v>
      </c>
      <c r="J128" s="335">
        <v>31.240000000000002</v>
      </c>
      <c r="K128" s="473"/>
      <c r="L128" s="473"/>
      <c r="M128" s="473"/>
      <c r="N128" s="473"/>
      <c r="O128" s="473"/>
      <c r="T128" s="310" t="str">
        <v>Ethernet (40Mbps)</v>
      </c>
      <c r="V128" s="335">
        <v>1</v>
      </c>
      <c r="W128" s="335">
        <v>1</v>
      </c>
      <c r="X128" s="335">
        <v>2</v>
      </c>
      <c r="Y128" s="335">
        <v>2</v>
      </c>
      <c r="Z128" s="335">
        <v>8</v>
      </c>
      <c r="AA128" s="335">
        <v>32</v>
      </c>
      <c r="AB128" s="473"/>
      <c r="AC128" s="473"/>
      <c r="AD128" s="473"/>
      <c r="AE128" s="473"/>
      <c r="AF128" s="473"/>
      <c r="AK128" s="310" t="str">
        <v>Ethernet (40Mbps)</v>
      </c>
      <c r="AM128" s="335">
        <v>0.79</v>
      </c>
      <c r="AN128" s="335">
        <v>1.7</v>
      </c>
      <c r="AO128" s="335">
        <v>2.6</v>
      </c>
      <c r="AP128" s="335">
        <v>3.8</v>
      </c>
      <c r="AQ128" s="335">
        <v>15.600000000000001</v>
      </c>
      <c r="AR128" s="335">
        <v>63.24</v>
      </c>
      <c r="AS128" s="473"/>
      <c r="AT128" s="473"/>
      <c r="AU128" s="473"/>
      <c r="AV128" s="473"/>
      <c r="AW128" s="473"/>
    </row>
    <row r="129" spans="3:49" s="299" customFormat="1">
      <c r="C129" s="310" t="str">
        <v>Ethernet (50Mbps)</v>
      </c>
      <c r="E129" s="335">
        <v>0</v>
      </c>
      <c r="F129" s="335">
        <v>0</v>
      </c>
      <c r="G129" s="335">
        <v>0</v>
      </c>
      <c r="H129" s="335">
        <v>1.0899999999999999</v>
      </c>
      <c r="I129" s="335">
        <v>4.9000000000000004</v>
      </c>
      <c r="J129" s="335">
        <v>6.7700000000000014</v>
      </c>
      <c r="K129" s="473"/>
      <c r="L129" s="473"/>
      <c r="M129" s="473"/>
      <c r="N129" s="473"/>
      <c r="O129" s="473"/>
      <c r="T129" s="310" t="str">
        <v>Ethernet (50Mbps)</v>
      </c>
      <c r="V129" s="335">
        <v>0</v>
      </c>
      <c r="W129" s="335">
        <v>0</v>
      </c>
      <c r="X129" s="335">
        <v>0</v>
      </c>
      <c r="Y129" s="335">
        <v>2</v>
      </c>
      <c r="Z129" s="335">
        <v>5</v>
      </c>
      <c r="AA129" s="335">
        <v>7</v>
      </c>
      <c r="AB129" s="473"/>
      <c r="AC129" s="473"/>
      <c r="AD129" s="473"/>
      <c r="AE129" s="473"/>
      <c r="AF129" s="473"/>
      <c r="AK129" s="310" t="str">
        <v>Ethernet (50Mbps)</v>
      </c>
      <c r="AM129" s="335">
        <v>0</v>
      </c>
      <c r="AN129" s="335">
        <v>0</v>
      </c>
      <c r="AO129" s="335">
        <v>0</v>
      </c>
      <c r="AP129" s="335">
        <v>3.09</v>
      </c>
      <c r="AQ129" s="335">
        <v>9.9</v>
      </c>
      <c r="AR129" s="335">
        <v>13.770000000000001</v>
      </c>
      <c r="AS129" s="473"/>
      <c r="AT129" s="473"/>
      <c r="AU129" s="473"/>
      <c r="AV129" s="473"/>
      <c r="AW129" s="473"/>
    </row>
    <row r="130" spans="3:49" s="299" customFormat="1">
      <c r="C130" s="310" t="str">
        <v>Ethernet (60Mbps)</v>
      </c>
      <c r="E130" s="335">
        <v>0</v>
      </c>
      <c r="F130" s="335">
        <v>0</v>
      </c>
      <c r="G130" s="335">
        <v>0.41999999999999993</v>
      </c>
      <c r="H130" s="335">
        <v>0.56000000000000005</v>
      </c>
      <c r="I130" s="335">
        <v>1.9699999999999998</v>
      </c>
      <c r="J130" s="335">
        <v>5</v>
      </c>
      <c r="K130" s="473"/>
      <c r="L130" s="473"/>
      <c r="M130" s="473"/>
      <c r="N130" s="473"/>
      <c r="O130" s="473"/>
      <c r="T130" s="310" t="str">
        <v>Ethernet (60Mbps)</v>
      </c>
      <c r="V130" s="335">
        <v>0</v>
      </c>
      <c r="W130" s="335">
        <v>0</v>
      </c>
      <c r="X130" s="335">
        <v>1</v>
      </c>
      <c r="Y130" s="335">
        <v>2</v>
      </c>
      <c r="Z130" s="335">
        <v>3</v>
      </c>
      <c r="AA130" s="335">
        <v>5</v>
      </c>
      <c r="AB130" s="473"/>
      <c r="AC130" s="473"/>
      <c r="AD130" s="473"/>
      <c r="AE130" s="473"/>
      <c r="AF130" s="473"/>
      <c r="AK130" s="310" t="str">
        <v>Ethernet (60Mbps)</v>
      </c>
      <c r="AM130" s="335">
        <v>0</v>
      </c>
      <c r="AN130" s="335">
        <v>0</v>
      </c>
      <c r="AO130" s="335">
        <v>1.42</v>
      </c>
      <c r="AP130" s="335">
        <v>2.56</v>
      </c>
      <c r="AQ130" s="335">
        <v>4.97</v>
      </c>
      <c r="AR130" s="335">
        <v>10</v>
      </c>
      <c r="AS130" s="473"/>
      <c r="AT130" s="473"/>
      <c r="AU130" s="473"/>
      <c r="AV130" s="473"/>
      <c r="AW130" s="473"/>
    </row>
    <row r="131" spans="3:49" s="299" customFormat="1">
      <c r="C131" s="310" t="str">
        <v>Ethernet (70Mbps)</v>
      </c>
      <c r="E131" s="335">
        <v>0</v>
      </c>
      <c r="F131" s="335">
        <v>0</v>
      </c>
      <c r="G131" s="335">
        <v>0</v>
      </c>
      <c r="H131" s="335">
        <v>0.22999999999999998</v>
      </c>
      <c r="I131" s="335">
        <v>0.96</v>
      </c>
      <c r="J131" s="335">
        <v>1.42</v>
      </c>
      <c r="K131" s="473"/>
      <c r="L131" s="473"/>
      <c r="M131" s="473"/>
      <c r="N131" s="473"/>
      <c r="O131" s="473"/>
      <c r="T131" s="310" t="str">
        <v>Ethernet (70Mbps)</v>
      </c>
      <c r="V131" s="335">
        <v>0</v>
      </c>
      <c r="W131" s="335">
        <v>0</v>
      </c>
      <c r="X131" s="335">
        <v>0</v>
      </c>
      <c r="Y131" s="335">
        <v>1</v>
      </c>
      <c r="Z131" s="335">
        <v>1</v>
      </c>
      <c r="AA131" s="335">
        <v>2</v>
      </c>
      <c r="AB131" s="473"/>
      <c r="AC131" s="473"/>
      <c r="AD131" s="473"/>
      <c r="AE131" s="473"/>
      <c r="AF131" s="473"/>
      <c r="AK131" s="310" t="str">
        <v>Ethernet (70Mbps)</v>
      </c>
      <c r="AM131" s="335">
        <v>0</v>
      </c>
      <c r="AN131" s="335">
        <v>0</v>
      </c>
      <c r="AO131" s="335">
        <v>0</v>
      </c>
      <c r="AP131" s="335">
        <v>1.23</v>
      </c>
      <c r="AQ131" s="335">
        <v>1.96</v>
      </c>
      <c r="AR131" s="335">
        <v>3.42</v>
      </c>
      <c r="AS131" s="473"/>
      <c r="AT131" s="473"/>
      <c r="AU131" s="473"/>
      <c r="AV131" s="473"/>
      <c r="AW131" s="473"/>
    </row>
    <row r="132" spans="3:49" s="299" customFormat="1">
      <c r="C132" s="310" t="str">
        <v>Ethernet (80Mbps)</v>
      </c>
      <c r="E132" s="335">
        <v>0</v>
      </c>
      <c r="F132" s="335">
        <v>0</v>
      </c>
      <c r="G132" s="335">
        <v>0</v>
      </c>
      <c r="H132" s="335">
        <v>-0.17000000000000004</v>
      </c>
      <c r="I132" s="335">
        <v>-0.16000000000000003</v>
      </c>
      <c r="J132" s="335">
        <v>0.87999999999999989</v>
      </c>
      <c r="K132" s="473"/>
      <c r="L132" s="473"/>
      <c r="M132" s="473"/>
      <c r="N132" s="473"/>
      <c r="O132" s="473"/>
      <c r="T132" s="310" t="str">
        <v>Ethernet (80Mbps)</v>
      </c>
      <c r="V132" s="335">
        <v>0</v>
      </c>
      <c r="W132" s="335">
        <v>0</v>
      </c>
      <c r="X132" s="335">
        <v>0</v>
      </c>
      <c r="Y132" s="335">
        <v>1</v>
      </c>
      <c r="Z132" s="335">
        <v>1</v>
      </c>
      <c r="AA132" s="335">
        <v>1</v>
      </c>
      <c r="AB132" s="473"/>
      <c r="AC132" s="473"/>
      <c r="AD132" s="473"/>
      <c r="AE132" s="473"/>
      <c r="AF132" s="473"/>
      <c r="AK132" s="310" t="str">
        <v>Ethernet (80Mbps)</v>
      </c>
      <c r="AM132" s="335">
        <v>0</v>
      </c>
      <c r="AN132" s="335">
        <v>0</v>
      </c>
      <c r="AO132" s="335">
        <v>0</v>
      </c>
      <c r="AP132" s="335">
        <v>0.83</v>
      </c>
      <c r="AQ132" s="335">
        <v>0.84</v>
      </c>
      <c r="AR132" s="335">
        <v>1.88</v>
      </c>
      <c r="AS132" s="473"/>
      <c r="AT132" s="473"/>
      <c r="AU132" s="473"/>
      <c r="AV132" s="473"/>
      <c r="AW132" s="473"/>
    </row>
    <row r="133" spans="3:49" s="299" customFormat="1">
      <c r="C133" s="310" t="str">
        <v>Ethernet (90Mbps)</v>
      </c>
      <c r="E133" s="335">
        <v>0</v>
      </c>
      <c r="F133" s="335">
        <v>0</v>
      </c>
      <c r="G133" s="335">
        <v>0</v>
      </c>
      <c r="H133" s="335">
        <v>0</v>
      </c>
      <c r="I133" s="335">
        <v>0</v>
      </c>
      <c r="J133" s="335">
        <v>0.33999999999999986</v>
      </c>
      <c r="K133" s="473"/>
      <c r="L133" s="473"/>
      <c r="M133" s="473"/>
      <c r="N133" s="473"/>
      <c r="O133" s="473"/>
      <c r="T133" s="310" t="str">
        <v>Ethernet (90Mbps)</v>
      </c>
      <c r="V133" s="335">
        <v>0</v>
      </c>
      <c r="W133" s="335">
        <v>0</v>
      </c>
      <c r="X133" s="335">
        <v>0</v>
      </c>
      <c r="Y133" s="335">
        <v>0</v>
      </c>
      <c r="Z133" s="335">
        <v>0</v>
      </c>
      <c r="AA133" s="335">
        <v>2</v>
      </c>
      <c r="AB133" s="473"/>
      <c r="AC133" s="473"/>
      <c r="AD133" s="473"/>
      <c r="AE133" s="473"/>
      <c r="AF133" s="473"/>
      <c r="AK133" s="310" t="str">
        <v>Ethernet (90Mbps)</v>
      </c>
      <c r="AM133" s="335">
        <v>0</v>
      </c>
      <c r="AN133" s="335">
        <v>0</v>
      </c>
      <c r="AO133" s="335">
        <v>0</v>
      </c>
      <c r="AP133" s="335">
        <v>0</v>
      </c>
      <c r="AQ133" s="335">
        <v>0</v>
      </c>
      <c r="AR133" s="335">
        <v>2.34</v>
      </c>
      <c r="AS133" s="473"/>
      <c r="AT133" s="473"/>
      <c r="AU133" s="473"/>
      <c r="AV133" s="473"/>
      <c r="AW133" s="473"/>
    </row>
    <row r="134" spans="3:49" s="299" customFormat="1">
      <c r="C134" s="310" t="str">
        <v>GigaEthernet (100Mbps)</v>
      </c>
      <c r="E134" s="335">
        <v>0</v>
      </c>
      <c r="F134" s="335">
        <v>0</v>
      </c>
      <c r="G134" s="335">
        <v>0</v>
      </c>
      <c r="H134" s="335">
        <v>0</v>
      </c>
      <c r="I134" s="335">
        <v>0</v>
      </c>
      <c r="J134" s="335">
        <v>0</v>
      </c>
      <c r="K134" s="473"/>
      <c r="L134" s="473"/>
      <c r="M134" s="473"/>
      <c r="N134" s="473"/>
      <c r="O134" s="473"/>
      <c r="T134" s="310" t="str">
        <v>GigaEthernet (100Mbps)</v>
      </c>
      <c r="V134" s="335">
        <v>1.72</v>
      </c>
      <c r="W134" s="335">
        <v>2.42</v>
      </c>
      <c r="X134" s="335">
        <v>2.7</v>
      </c>
      <c r="Y134" s="335">
        <v>11.850000000000001</v>
      </c>
      <c r="Z134" s="335">
        <v>15.819999999999999</v>
      </c>
      <c r="AA134" s="335">
        <v>13.489999999999998</v>
      </c>
      <c r="AB134" s="473"/>
      <c r="AC134" s="473"/>
      <c r="AD134" s="473"/>
      <c r="AE134" s="473"/>
      <c r="AF134" s="473"/>
      <c r="AK134" s="310" t="str">
        <v>GigaEthernet (100Mbps)</v>
      </c>
      <c r="AM134" s="335">
        <v>1.72</v>
      </c>
      <c r="AN134" s="335">
        <v>2.42</v>
      </c>
      <c r="AO134" s="335">
        <v>2.7</v>
      </c>
      <c r="AP134" s="335">
        <v>11.850000000000001</v>
      </c>
      <c r="AQ134" s="335">
        <v>15.819999999999999</v>
      </c>
      <c r="AR134" s="335">
        <v>13.489999999999998</v>
      </c>
      <c r="AS134" s="473"/>
      <c r="AT134" s="473"/>
      <c r="AU134" s="473"/>
      <c r="AV134" s="473"/>
      <c r="AW134" s="473"/>
    </row>
    <row r="135" spans="3:49" s="299" customFormat="1">
      <c r="C135" s="310" t="str">
        <v>GigaEthernet (150Mbps)</v>
      </c>
      <c r="E135" s="335">
        <v>0</v>
      </c>
      <c r="F135" s="335">
        <v>0</v>
      </c>
      <c r="G135" s="335">
        <v>0</v>
      </c>
      <c r="H135" s="335">
        <v>0</v>
      </c>
      <c r="I135" s="335">
        <v>0</v>
      </c>
      <c r="J135" s="335">
        <v>0</v>
      </c>
      <c r="K135" s="473"/>
      <c r="L135" s="473"/>
      <c r="M135" s="473"/>
      <c r="N135" s="473"/>
      <c r="O135" s="473"/>
      <c r="T135" s="310" t="str">
        <v>GigaEthernet (150Mbps)</v>
      </c>
      <c r="V135" s="335">
        <v>0</v>
      </c>
      <c r="W135" s="335">
        <v>0</v>
      </c>
      <c r="X135" s="335">
        <v>0</v>
      </c>
      <c r="Y135" s="335">
        <v>0</v>
      </c>
      <c r="Z135" s="335">
        <v>0</v>
      </c>
      <c r="AA135" s="335">
        <v>3.9000000000000004</v>
      </c>
      <c r="AB135" s="473"/>
      <c r="AC135" s="473"/>
      <c r="AD135" s="473"/>
      <c r="AE135" s="473"/>
      <c r="AF135" s="473"/>
      <c r="AK135" s="310" t="str">
        <v>GigaEthernet (150Mbps)</v>
      </c>
      <c r="AM135" s="335">
        <v>0</v>
      </c>
      <c r="AN135" s="335">
        <v>0</v>
      </c>
      <c r="AO135" s="335">
        <v>0</v>
      </c>
      <c r="AP135" s="335">
        <v>0</v>
      </c>
      <c r="AQ135" s="335">
        <v>0</v>
      </c>
      <c r="AR135" s="335">
        <v>3.9000000000000004</v>
      </c>
      <c r="AS135" s="473"/>
      <c r="AT135" s="473"/>
      <c r="AU135" s="473"/>
      <c r="AV135" s="473"/>
      <c r="AW135" s="473"/>
    </row>
    <row r="136" spans="3:49" s="299" customFormat="1">
      <c r="C136" s="310" t="str">
        <v>GigaEthernet (200Mbps)</v>
      </c>
      <c r="E136" s="335">
        <v>0</v>
      </c>
      <c r="F136" s="335">
        <v>0</v>
      </c>
      <c r="G136" s="335">
        <v>0</v>
      </c>
      <c r="H136" s="335">
        <v>0</v>
      </c>
      <c r="I136" s="335">
        <v>0</v>
      </c>
      <c r="J136" s="335">
        <v>0</v>
      </c>
      <c r="K136" s="473"/>
      <c r="L136" s="473"/>
      <c r="M136" s="473"/>
      <c r="N136" s="473"/>
      <c r="O136" s="473"/>
      <c r="T136" s="310" t="str">
        <v>GigaEthernet (200Mbps)</v>
      </c>
      <c r="V136" s="335">
        <v>4</v>
      </c>
      <c r="W136" s="335">
        <v>3.92</v>
      </c>
      <c r="X136" s="335">
        <v>2.2200000000000002</v>
      </c>
      <c r="Y136" s="335">
        <v>0.92</v>
      </c>
      <c r="Z136" s="335">
        <v>1.1299999999999999</v>
      </c>
      <c r="AA136" s="335">
        <v>1.92</v>
      </c>
      <c r="AB136" s="473"/>
      <c r="AC136" s="473"/>
      <c r="AD136" s="473"/>
      <c r="AE136" s="473"/>
      <c r="AF136" s="473"/>
      <c r="AK136" s="310" t="str">
        <v>GigaEthernet (200Mbps)</v>
      </c>
      <c r="AM136" s="335">
        <v>4</v>
      </c>
      <c r="AN136" s="335">
        <v>3.92</v>
      </c>
      <c r="AO136" s="335">
        <v>2.2200000000000002</v>
      </c>
      <c r="AP136" s="335">
        <v>0.92</v>
      </c>
      <c r="AQ136" s="335">
        <v>1.1299999999999999</v>
      </c>
      <c r="AR136" s="335">
        <v>1.92</v>
      </c>
      <c r="AS136" s="473"/>
      <c r="AT136" s="473"/>
      <c r="AU136" s="473"/>
      <c r="AV136" s="473"/>
      <c r="AW136" s="473"/>
    </row>
    <row r="137" spans="3:49" s="299" customFormat="1">
      <c r="C137" s="310" t="str">
        <v>GigaEthernet (250Mbps)</v>
      </c>
      <c r="E137" s="335">
        <v>0</v>
      </c>
      <c r="F137" s="335">
        <v>0</v>
      </c>
      <c r="G137" s="335">
        <v>0</v>
      </c>
      <c r="H137" s="335">
        <v>0</v>
      </c>
      <c r="I137" s="335">
        <v>0</v>
      </c>
      <c r="J137" s="335">
        <v>0</v>
      </c>
      <c r="K137" s="473"/>
      <c r="L137" s="473"/>
      <c r="M137" s="473"/>
      <c r="N137" s="473"/>
      <c r="O137" s="473"/>
      <c r="T137" s="310" t="str">
        <v>GigaEthernet (250Mbps)</v>
      </c>
      <c r="V137" s="335">
        <v>0</v>
      </c>
      <c r="W137" s="335">
        <v>0</v>
      </c>
      <c r="X137" s="335">
        <v>0</v>
      </c>
      <c r="Y137" s="335">
        <v>0</v>
      </c>
      <c r="Z137" s="335">
        <v>0</v>
      </c>
      <c r="AA137" s="335">
        <v>0</v>
      </c>
      <c r="AB137" s="473"/>
      <c r="AC137" s="473"/>
      <c r="AD137" s="473"/>
      <c r="AE137" s="473"/>
      <c r="AF137" s="473"/>
      <c r="AK137" s="310" t="str">
        <v>GigaEthernet (250Mbps)</v>
      </c>
      <c r="AM137" s="335">
        <v>0</v>
      </c>
      <c r="AN137" s="335">
        <v>0</v>
      </c>
      <c r="AO137" s="335">
        <v>0</v>
      </c>
      <c r="AP137" s="335">
        <v>0</v>
      </c>
      <c r="AQ137" s="335">
        <v>0</v>
      </c>
      <c r="AR137" s="335">
        <v>0</v>
      </c>
      <c r="AS137" s="473"/>
      <c r="AT137" s="473"/>
      <c r="AU137" s="473"/>
      <c r="AV137" s="473"/>
      <c r="AW137" s="473"/>
    </row>
    <row r="138" spans="3:49" s="299" customFormat="1">
      <c r="C138" s="310" t="str">
        <v>GigaEthernet (300Mbps)</v>
      </c>
      <c r="E138" s="335">
        <v>0</v>
      </c>
      <c r="F138" s="335">
        <v>0</v>
      </c>
      <c r="G138" s="335">
        <v>0</v>
      </c>
      <c r="H138" s="335">
        <v>0</v>
      </c>
      <c r="I138" s="335">
        <v>0</v>
      </c>
      <c r="J138" s="335">
        <v>0</v>
      </c>
      <c r="K138" s="473"/>
      <c r="L138" s="473"/>
      <c r="M138" s="473"/>
      <c r="N138" s="473"/>
      <c r="O138" s="473"/>
      <c r="T138" s="310" t="str">
        <v>GigaEthernet (300Mbps)</v>
      </c>
      <c r="V138" s="335">
        <v>0</v>
      </c>
      <c r="W138" s="335">
        <v>0</v>
      </c>
      <c r="X138" s="335">
        <v>0</v>
      </c>
      <c r="Y138" s="335">
        <v>1.04</v>
      </c>
      <c r="Z138" s="335">
        <v>2.06</v>
      </c>
      <c r="AA138" s="335">
        <v>1.44</v>
      </c>
      <c r="AB138" s="473"/>
      <c r="AC138" s="473"/>
      <c r="AD138" s="473"/>
      <c r="AE138" s="473"/>
      <c r="AF138" s="473"/>
      <c r="AK138" s="310" t="str">
        <v>GigaEthernet (300Mbps)</v>
      </c>
      <c r="AM138" s="335">
        <v>0</v>
      </c>
      <c r="AN138" s="335">
        <v>0</v>
      </c>
      <c r="AO138" s="335">
        <v>0</v>
      </c>
      <c r="AP138" s="335">
        <v>1.04</v>
      </c>
      <c r="AQ138" s="335">
        <v>2.06</v>
      </c>
      <c r="AR138" s="335">
        <v>1.44</v>
      </c>
      <c r="AS138" s="473"/>
      <c r="AT138" s="473"/>
      <c r="AU138" s="473"/>
      <c r="AV138" s="473"/>
      <c r="AW138" s="473"/>
    </row>
    <row r="139" spans="3:49" s="299" customFormat="1">
      <c r="C139" s="310" t="str">
        <v>GigaEthernet (350Mbps)</v>
      </c>
      <c r="E139" s="335">
        <v>0</v>
      </c>
      <c r="F139" s="335">
        <v>0</v>
      </c>
      <c r="G139" s="335">
        <v>0</v>
      </c>
      <c r="H139" s="335">
        <v>0</v>
      </c>
      <c r="I139" s="335">
        <v>0</v>
      </c>
      <c r="J139" s="335">
        <v>0</v>
      </c>
      <c r="K139" s="473"/>
      <c r="L139" s="473"/>
      <c r="M139" s="473"/>
      <c r="N139" s="473"/>
      <c r="O139" s="473"/>
      <c r="T139" s="310" t="str">
        <v>GigaEthernet (350Mbps)</v>
      </c>
      <c r="V139" s="335">
        <v>0</v>
      </c>
      <c r="W139" s="335">
        <v>0</v>
      </c>
      <c r="X139" s="335">
        <v>0</v>
      </c>
      <c r="Y139" s="335">
        <v>0</v>
      </c>
      <c r="Z139" s="335">
        <v>0</v>
      </c>
      <c r="AA139" s="335">
        <v>0</v>
      </c>
      <c r="AB139" s="473"/>
      <c r="AC139" s="473"/>
      <c r="AD139" s="473"/>
      <c r="AE139" s="473"/>
      <c r="AF139" s="473"/>
      <c r="AK139" s="310" t="str">
        <v>GigaEthernet (350Mbps)</v>
      </c>
      <c r="AM139" s="335">
        <v>0</v>
      </c>
      <c r="AN139" s="335">
        <v>0</v>
      </c>
      <c r="AO139" s="335">
        <v>0</v>
      </c>
      <c r="AP139" s="335">
        <v>0</v>
      </c>
      <c r="AQ139" s="335">
        <v>0</v>
      </c>
      <c r="AR139" s="335">
        <v>0</v>
      </c>
      <c r="AS139" s="473"/>
      <c r="AT139" s="473"/>
      <c r="AU139" s="473"/>
      <c r="AV139" s="473"/>
      <c r="AW139" s="473"/>
    </row>
    <row r="140" spans="3:49" s="299" customFormat="1">
      <c r="C140" s="310" t="str">
        <v>GigaEthernet (400Mbps)</v>
      </c>
      <c r="E140" s="335">
        <v>0</v>
      </c>
      <c r="F140" s="335">
        <v>0</v>
      </c>
      <c r="G140" s="335">
        <v>0</v>
      </c>
      <c r="H140" s="335">
        <v>0</v>
      </c>
      <c r="I140" s="335">
        <v>0</v>
      </c>
      <c r="J140" s="335">
        <v>0</v>
      </c>
      <c r="K140" s="473"/>
      <c r="L140" s="473"/>
      <c r="M140" s="473"/>
      <c r="N140" s="473"/>
      <c r="O140" s="473"/>
      <c r="T140" s="310" t="str">
        <v>GigaEthernet (400Mbps)</v>
      </c>
      <c r="V140" s="335">
        <v>0</v>
      </c>
      <c r="W140" s="335">
        <v>0</v>
      </c>
      <c r="X140" s="335">
        <v>0</v>
      </c>
      <c r="Y140" s="335">
        <v>0</v>
      </c>
      <c r="Z140" s="335">
        <v>0</v>
      </c>
      <c r="AA140" s="335">
        <v>0</v>
      </c>
      <c r="AB140" s="473"/>
      <c r="AC140" s="473"/>
      <c r="AD140" s="473"/>
      <c r="AE140" s="473"/>
      <c r="AF140" s="473"/>
      <c r="AK140" s="310" t="str">
        <v>GigaEthernet (400Mbps)</v>
      </c>
      <c r="AM140" s="335">
        <v>0</v>
      </c>
      <c r="AN140" s="335">
        <v>0</v>
      </c>
      <c r="AO140" s="335">
        <v>0</v>
      </c>
      <c r="AP140" s="335">
        <v>0</v>
      </c>
      <c r="AQ140" s="335">
        <v>0</v>
      </c>
      <c r="AR140" s="335">
        <v>0</v>
      </c>
      <c r="AS140" s="473"/>
      <c r="AT140" s="473"/>
      <c r="AU140" s="473"/>
      <c r="AV140" s="473"/>
      <c r="AW140" s="473"/>
    </row>
    <row r="141" spans="3:49" s="299" customFormat="1">
      <c r="C141" s="310" t="str">
        <v>GigaEthernet (450Mbps)</v>
      </c>
      <c r="E141" s="335">
        <v>0</v>
      </c>
      <c r="F141" s="335">
        <v>0</v>
      </c>
      <c r="G141" s="335">
        <v>0</v>
      </c>
      <c r="H141" s="335">
        <v>0</v>
      </c>
      <c r="I141" s="335">
        <v>0</v>
      </c>
      <c r="J141" s="335">
        <v>0</v>
      </c>
      <c r="K141" s="473"/>
      <c r="L141" s="473"/>
      <c r="M141" s="473"/>
      <c r="N141" s="473"/>
      <c r="O141" s="473"/>
      <c r="T141" s="310" t="str">
        <v>GigaEthernet (450Mbps)</v>
      </c>
      <c r="V141" s="335">
        <v>0</v>
      </c>
      <c r="W141" s="335">
        <v>0</v>
      </c>
      <c r="X141" s="335">
        <v>0</v>
      </c>
      <c r="Y141" s="335">
        <v>0</v>
      </c>
      <c r="Z141" s="335">
        <v>0</v>
      </c>
      <c r="AA141" s="335">
        <v>0</v>
      </c>
      <c r="AB141" s="473"/>
      <c r="AC141" s="473"/>
      <c r="AD141" s="473"/>
      <c r="AE141" s="473"/>
      <c r="AF141" s="473"/>
      <c r="AK141" s="310" t="str">
        <v>GigaEthernet (450Mbps)</v>
      </c>
      <c r="AM141" s="335">
        <v>0</v>
      </c>
      <c r="AN141" s="335">
        <v>0</v>
      </c>
      <c r="AO141" s="335">
        <v>0</v>
      </c>
      <c r="AP141" s="335">
        <v>0</v>
      </c>
      <c r="AQ141" s="335">
        <v>0</v>
      </c>
      <c r="AR141" s="335">
        <v>0</v>
      </c>
      <c r="AS141" s="473"/>
      <c r="AT141" s="473"/>
      <c r="AU141" s="473"/>
      <c r="AV141" s="473"/>
      <c r="AW141" s="473"/>
    </row>
    <row r="142" spans="3:49" s="299" customFormat="1">
      <c r="C142" s="310" t="str">
        <v>GigaEthernet (500Mbps)</v>
      </c>
      <c r="E142" s="335">
        <v>0</v>
      </c>
      <c r="F142" s="335">
        <v>0</v>
      </c>
      <c r="G142" s="335">
        <v>0</v>
      </c>
      <c r="H142" s="335">
        <v>0</v>
      </c>
      <c r="I142" s="335">
        <v>0</v>
      </c>
      <c r="J142" s="335">
        <v>0</v>
      </c>
      <c r="K142" s="473"/>
      <c r="L142" s="473"/>
      <c r="M142" s="473"/>
      <c r="N142" s="473"/>
      <c r="O142" s="473"/>
      <c r="T142" s="310" t="str">
        <v>GigaEthernet (500Mbps)</v>
      </c>
      <c r="V142" s="335">
        <v>0</v>
      </c>
      <c r="W142" s="335">
        <v>0</v>
      </c>
      <c r="X142" s="335">
        <v>0</v>
      </c>
      <c r="Y142" s="335">
        <v>0</v>
      </c>
      <c r="Z142" s="335">
        <v>0</v>
      </c>
      <c r="AA142" s="335">
        <v>0</v>
      </c>
      <c r="AB142" s="473"/>
      <c r="AC142" s="473"/>
      <c r="AD142" s="473"/>
      <c r="AE142" s="473"/>
      <c r="AF142" s="473"/>
      <c r="AK142" s="310" t="str">
        <v>GigaEthernet (500Mbps)</v>
      </c>
      <c r="AM142" s="335">
        <v>0</v>
      </c>
      <c r="AN142" s="335">
        <v>0</v>
      </c>
      <c r="AO142" s="335">
        <v>0</v>
      </c>
      <c r="AP142" s="335">
        <v>0</v>
      </c>
      <c r="AQ142" s="335">
        <v>0</v>
      </c>
      <c r="AR142" s="335">
        <v>0</v>
      </c>
      <c r="AS142" s="473"/>
      <c r="AT142" s="473"/>
      <c r="AU142" s="473"/>
      <c r="AV142" s="473"/>
      <c r="AW142" s="473"/>
    </row>
    <row r="143" spans="3:49" s="299" customFormat="1">
      <c r="C143" s="310" t="str">
        <v>GigaEthernet (550Mbps)</v>
      </c>
      <c r="E143" s="336">
        <v>0</v>
      </c>
      <c r="F143" s="335">
        <v>0</v>
      </c>
      <c r="G143" s="335">
        <v>0</v>
      </c>
      <c r="H143" s="335">
        <v>0</v>
      </c>
      <c r="I143" s="335">
        <v>0</v>
      </c>
      <c r="J143" s="335">
        <v>0</v>
      </c>
      <c r="K143" s="473"/>
      <c r="L143" s="473"/>
      <c r="M143" s="473"/>
      <c r="N143" s="473"/>
      <c r="O143" s="473"/>
      <c r="T143" s="310" t="str">
        <v>GigaEthernet (550Mbps)</v>
      </c>
      <c r="V143" s="336">
        <v>0</v>
      </c>
      <c r="W143" s="335">
        <v>0</v>
      </c>
      <c r="X143" s="335">
        <v>0</v>
      </c>
      <c r="Y143" s="335">
        <v>0</v>
      </c>
      <c r="Z143" s="335">
        <v>0</v>
      </c>
      <c r="AA143" s="335">
        <v>0</v>
      </c>
      <c r="AB143" s="473"/>
      <c r="AC143" s="473"/>
      <c r="AD143" s="473"/>
      <c r="AE143" s="473"/>
      <c r="AF143" s="473"/>
      <c r="AK143" s="310" t="str">
        <v>GigaEthernet (550Mbps)</v>
      </c>
      <c r="AM143" s="336">
        <v>0</v>
      </c>
      <c r="AN143" s="335">
        <v>0</v>
      </c>
      <c r="AO143" s="335">
        <v>0</v>
      </c>
      <c r="AP143" s="335">
        <v>0</v>
      </c>
      <c r="AQ143" s="335">
        <v>0</v>
      </c>
      <c r="AR143" s="335">
        <v>0</v>
      </c>
      <c r="AS143" s="473"/>
      <c r="AT143" s="473"/>
      <c r="AU143" s="473"/>
      <c r="AV143" s="473"/>
      <c r="AW143" s="473"/>
    </row>
    <row r="144" spans="3:49" s="299" customFormat="1">
      <c r="C144" s="310" t="str">
        <v>GigaEthernet (600Mbps)</v>
      </c>
      <c r="E144" s="335">
        <v>0</v>
      </c>
      <c r="F144" s="335">
        <v>0</v>
      </c>
      <c r="G144" s="335">
        <v>0</v>
      </c>
      <c r="H144" s="335">
        <v>0</v>
      </c>
      <c r="I144" s="335">
        <v>0</v>
      </c>
      <c r="J144" s="335">
        <v>0</v>
      </c>
      <c r="K144" s="473"/>
      <c r="L144" s="473"/>
      <c r="M144" s="473"/>
      <c r="N144" s="473"/>
      <c r="O144" s="473"/>
      <c r="T144" s="310" t="str">
        <v>GigaEthernet (600Mbps)</v>
      </c>
      <c r="V144" s="335">
        <v>0</v>
      </c>
      <c r="W144" s="335">
        <v>0</v>
      </c>
      <c r="X144" s="335">
        <v>0</v>
      </c>
      <c r="Y144" s="335">
        <v>0</v>
      </c>
      <c r="Z144" s="335">
        <v>0</v>
      </c>
      <c r="AA144" s="335">
        <v>0</v>
      </c>
      <c r="AB144" s="473"/>
      <c r="AC144" s="473"/>
      <c r="AD144" s="473"/>
      <c r="AE144" s="473"/>
      <c r="AF144" s="473"/>
      <c r="AK144" s="310" t="str">
        <v>GigaEthernet (600Mbps)</v>
      </c>
      <c r="AM144" s="335">
        <v>0</v>
      </c>
      <c r="AN144" s="335">
        <v>0</v>
      </c>
      <c r="AO144" s="335">
        <v>0</v>
      </c>
      <c r="AP144" s="335">
        <v>0</v>
      </c>
      <c r="AQ144" s="335">
        <v>0</v>
      </c>
      <c r="AR144" s="335">
        <v>0</v>
      </c>
      <c r="AS144" s="473"/>
      <c r="AT144" s="473"/>
      <c r="AU144" s="473"/>
      <c r="AV144" s="473"/>
      <c r="AW144" s="473"/>
    </row>
    <row r="145" spans="3:52" s="299" customFormat="1">
      <c r="C145" s="310" t="str">
        <v>GigaEthernet (750Mbps)</v>
      </c>
      <c r="E145" s="335">
        <v>0</v>
      </c>
      <c r="F145" s="335">
        <v>0</v>
      </c>
      <c r="G145" s="335">
        <v>0</v>
      </c>
      <c r="H145" s="335">
        <v>0</v>
      </c>
      <c r="I145" s="335">
        <v>0</v>
      </c>
      <c r="J145" s="335">
        <v>0</v>
      </c>
      <c r="K145" s="473"/>
      <c r="L145" s="473"/>
      <c r="M145" s="473"/>
      <c r="N145" s="473"/>
      <c r="O145" s="473"/>
      <c r="T145" s="310" t="str">
        <v>GigaEthernet (750Mbps)</v>
      </c>
      <c r="V145" s="335">
        <v>0</v>
      </c>
      <c r="W145" s="335">
        <v>0</v>
      </c>
      <c r="X145" s="335">
        <v>0</v>
      </c>
      <c r="Y145" s="335">
        <v>0</v>
      </c>
      <c r="Z145" s="335">
        <v>0</v>
      </c>
      <c r="AA145" s="335">
        <v>0</v>
      </c>
      <c r="AB145" s="473"/>
      <c r="AC145" s="473"/>
      <c r="AD145" s="473"/>
      <c r="AE145" s="473"/>
      <c r="AF145" s="473"/>
      <c r="AK145" s="310" t="str">
        <v>GigaEthernet (750Mbps)</v>
      </c>
      <c r="AM145" s="335">
        <v>0</v>
      </c>
      <c r="AN145" s="335">
        <v>0</v>
      </c>
      <c r="AO145" s="335">
        <v>0</v>
      </c>
      <c r="AP145" s="335">
        <v>0</v>
      </c>
      <c r="AQ145" s="335">
        <v>0</v>
      </c>
      <c r="AR145" s="335">
        <v>0</v>
      </c>
      <c r="AS145" s="473"/>
      <c r="AT145" s="473"/>
      <c r="AU145" s="473"/>
      <c r="AV145" s="473"/>
      <c r="AW145" s="473"/>
    </row>
    <row r="146" spans="3:52" s="299" customFormat="1">
      <c r="C146" s="310" t="str">
        <v>GigaEthernet (1 Gbps)</v>
      </c>
      <c r="E146" s="335">
        <v>0</v>
      </c>
      <c r="F146" s="335">
        <v>0</v>
      </c>
      <c r="G146" s="335">
        <v>0</v>
      </c>
      <c r="H146" s="335">
        <v>0</v>
      </c>
      <c r="I146" s="335">
        <v>0</v>
      </c>
      <c r="J146" s="335">
        <v>0</v>
      </c>
      <c r="K146" s="473"/>
      <c r="L146" s="473"/>
      <c r="M146" s="473"/>
      <c r="N146" s="473"/>
      <c r="O146" s="473"/>
      <c r="Q146" s="326" t="s">
        <v>500</v>
      </c>
      <c r="T146" s="310" t="str">
        <v>GigaEthernet (1 Gbps)</v>
      </c>
      <c r="V146" s="335">
        <v>0</v>
      </c>
      <c r="W146" s="335">
        <v>0</v>
      </c>
      <c r="X146" s="335">
        <v>0</v>
      </c>
      <c r="Y146" s="335">
        <v>0</v>
      </c>
      <c r="Z146" s="335">
        <v>0</v>
      </c>
      <c r="AA146" s="335">
        <v>0</v>
      </c>
      <c r="AB146" s="473"/>
      <c r="AC146" s="473"/>
      <c r="AD146" s="473"/>
      <c r="AE146" s="473"/>
      <c r="AF146" s="473"/>
      <c r="AH146" s="338" t="s">
        <v>500</v>
      </c>
      <c r="AK146" s="310" t="str">
        <v>GigaEthernet (1 Gbps)</v>
      </c>
      <c r="AM146" s="335">
        <v>0</v>
      </c>
      <c r="AN146" s="335">
        <v>0</v>
      </c>
      <c r="AO146" s="335">
        <v>0</v>
      </c>
      <c r="AP146" s="335">
        <v>0</v>
      </c>
      <c r="AQ146" s="335">
        <v>0</v>
      </c>
      <c r="AR146" s="335">
        <v>0</v>
      </c>
      <c r="AS146" s="473"/>
      <c r="AT146" s="473"/>
      <c r="AU146" s="473"/>
      <c r="AV146" s="473"/>
      <c r="AW146" s="473"/>
      <c r="AY146" s="338" t="s">
        <v>500</v>
      </c>
    </row>
    <row r="147" spans="3:52" s="299" customFormat="1">
      <c r="E147" s="337">
        <f>SUM(E109:E146)</f>
        <v>4432.5</v>
      </c>
      <c r="F147" s="337">
        <f t="shared" ref="F147" si="5">SUM(F109:F146)</f>
        <v>6023.7799999999988</v>
      </c>
      <c r="G147" s="337">
        <f t="shared" ref="G147" si="6">SUM(G109:G146)</f>
        <v>6136.82</v>
      </c>
      <c r="H147" s="337">
        <f t="shared" ref="H147" si="7">SUM(H109:H146)</f>
        <v>4931.43</v>
      </c>
      <c r="I147" s="337">
        <f t="shared" ref="I147" si="8">SUM(I109:I146)</f>
        <v>5212.76</v>
      </c>
      <c r="J147" s="337">
        <f t="shared" ref="J147:O147" si="9">SUM(J109:J146)</f>
        <v>4442.6099999999997</v>
      </c>
      <c r="K147" s="337">
        <f t="shared" si="9"/>
        <v>0</v>
      </c>
      <c r="L147" s="337">
        <f t="shared" si="9"/>
        <v>0</v>
      </c>
      <c r="M147" s="337">
        <f t="shared" si="9"/>
        <v>0</v>
      </c>
      <c r="N147" s="337">
        <f t="shared" si="9"/>
        <v>0</v>
      </c>
      <c r="O147" s="337">
        <f t="shared" si="9"/>
        <v>0</v>
      </c>
      <c r="P147" s="307" t="s">
        <v>532</v>
      </c>
      <c r="Q147" s="334">
        <f>(J147/E147)^(1/(J108-E108))-1</f>
        <v>4.5576034855465686E-4</v>
      </c>
      <c r="V147" s="337">
        <f>SUM(V109:V146)</f>
        <v>6570.8200000000006</v>
      </c>
      <c r="W147" s="337">
        <f t="shared" ref="W147:AA147" si="10">SUM(W109:W146)</f>
        <v>8780.94</v>
      </c>
      <c r="X147" s="337">
        <f t="shared" si="10"/>
        <v>9062.16</v>
      </c>
      <c r="Y147" s="337">
        <f t="shared" si="10"/>
        <v>9895.4700000000012</v>
      </c>
      <c r="Z147" s="337">
        <f t="shared" si="10"/>
        <v>9417.0699999999979</v>
      </c>
      <c r="AA147" s="337">
        <f t="shared" si="10"/>
        <v>11918.55</v>
      </c>
      <c r="AB147" s="337">
        <f t="shared" ref="AB147:AF147" si="11">SUM(AB109:AB146)</f>
        <v>0</v>
      </c>
      <c r="AC147" s="337">
        <f t="shared" si="11"/>
        <v>0</v>
      </c>
      <c r="AD147" s="337">
        <f t="shared" si="11"/>
        <v>0</v>
      </c>
      <c r="AE147" s="337">
        <f t="shared" si="11"/>
        <v>0</v>
      </c>
      <c r="AF147" s="337">
        <f t="shared" si="11"/>
        <v>0</v>
      </c>
      <c r="AG147" s="307" t="s">
        <v>606</v>
      </c>
      <c r="AH147" s="334">
        <f>(AA147/V147)^(1/(AA108-V108))-1</f>
        <v>0.12647295780038115</v>
      </c>
      <c r="AM147" s="337">
        <f>SUM(AM109:AM146)</f>
        <v>11003.320000000002</v>
      </c>
      <c r="AN147" s="337">
        <f t="shared" ref="AN147:AR147" si="12">SUM(AN109:AN146)</f>
        <v>14804.720000000001</v>
      </c>
      <c r="AO147" s="337">
        <f t="shared" si="12"/>
        <v>15198.98</v>
      </c>
      <c r="AP147" s="337">
        <f t="shared" si="12"/>
        <v>14826.900000000001</v>
      </c>
      <c r="AQ147" s="337">
        <f t="shared" si="12"/>
        <v>14629.829999999996</v>
      </c>
      <c r="AR147" s="337">
        <f t="shared" si="12"/>
        <v>16361.16</v>
      </c>
      <c r="AS147" s="337">
        <f t="shared" ref="AS147:AW147" si="13">SUM(AS109:AS146)</f>
        <v>0</v>
      </c>
      <c r="AT147" s="337">
        <f t="shared" si="13"/>
        <v>0</v>
      </c>
      <c r="AU147" s="337">
        <f t="shared" si="13"/>
        <v>0</v>
      </c>
      <c r="AV147" s="337">
        <f t="shared" si="13"/>
        <v>0</v>
      </c>
      <c r="AW147" s="337">
        <f t="shared" si="13"/>
        <v>0</v>
      </c>
      <c r="AX147" s="307" t="s">
        <v>599</v>
      </c>
      <c r="AY147" s="334">
        <f>(AR147/AM147)^(1/(AR108-AM108))-1</f>
        <v>8.2575189465473597E-2</v>
      </c>
    </row>
    <row r="148" spans="3:52" s="299" customFormat="1"/>
    <row r="149" spans="3:52" s="299" customFormat="1" ht="15">
      <c r="C149" s="332" t="s">
        <v>502</v>
      </c>
      <c r="T149" s="332" t="s">
        <v>502</v>
      </c>
      <c r="AK149" s="332" t="s">
        <v>502</v>
      </c>
    </row>
    <row r="150" spans="3:52" s="299" customFormat="1" ht="15">
      <c r="C150" s="332" t="s">
        <v>501</v>
      </c>
      <c r="T150" s="332" t="s">
        <v>501</v>
      </c>
      <c r="AK150" s="332" t="s">
        <v>501</v>
      </c>
    </row>
    <row r="151" spans="3:52" s="299" customFormat="1">
      <c r="Q151"/>
      <c r="R151"/>
      <c r="AH151"/>
      <c r="AI151"/>
      <c r="AY151"/>
      <c r="AZ151"/>
    </row>
    <row r="152" spans="3:52" s="299" customFormat="1">
      <c r="C152" s="326" t="s">
        <v>442</v>
      </c>
      <c r="D152" s="326">
        <f t="array" ref="D152:O152">TRANSPOSE(Years)</f>
        <v>2008</v>
      </c>
      <c r="E152" s="326">
        <v>2009</v>
      </c>
      <c r="F152" s="326">
        <v>2010</v>
      </c>
      <c r="G152" s="326">
        <v>2011</v>
      </c>
      <c r="H152" s="326">
        <v>2012</v>
      </c>
      <c r="I152" s="326">
        <v>2013</v>
      </c>
      <c r="J152" s="326">
        <v>2014</v>
      </c>
      <c r="K152" s="326">
        <v>2015</v>
      </c>
      <c r="L152" s="326">
        <v>2016</v>
      </c>
      <c r="M152" s="326">
        <v>2017</v>
      </c>
      <c r="N152" s="326">
        <v>2018</v>
      </c>
      <c r="O152" s="326">
        <v>2019</v>
      </c>
      <c r="Q152"/>
      <c r="R152"/>
      <c r="T152" s="338" t="s">
        <v>442</v>
      </c>
      <c r="U152" s="338">
        <f t="array" ref="U152:AF152">TRANSPOSE(Years)</f>
        <v>2008</v>
      </c>
      <c r="V152" s="338">
        <v>2009</v>
      </c>
      <c r="W152" s="338">
        <v>2010</v>
      </c>
      <c r="X152" s="338">
        <v>2011</v>
      </c>
      <c r="Y152" s="338">
        <v>2012</v>
      </c>
      <c r="Z152" s="338">
        <v>2013</v>
      </c>
      <c r="AA152" s="338">
        <v>2014</v>
      </c>
      <c r="AB152" s="338">
        <v>2015</v>
      </c>
      <c r="AC152" s="338">
        <v>2016</v>
      </c>
      <c r="AD152" s="338">
        <v>2017</v>
      </c>
      <c r="AE152" s="338">
        <v>2018</v>
      </c>
      <c r="AF152" s="338">
        <v>2019</v>
      </c>
      <c r="AH152"/>
      <c r="AI152"/>
      <c r="AK152" s="338" t="s">
        <v>442</v>
      </c>
      <c r="AL152" s="338">
        <f t="array" ref="AL152:AW152">TRANSPOSE(Years)</f>
        <v>2008</v>
      </c>
      <c r="AM152" s="338">
        <v>2009</v>
      </c>
      <c r="AN152" s="338">
        <v>2010</v>
      </c>
      <c r="AO152" s="338">
        <v>2011</v>
      </c>
      <c r="AP152" s="338">
        <v>2012</v>
      </c>
      <c r="AQ152" s="338">
        <v>2013</v>
      </c>
      <c r="AR152" s="338">
        <v>2014</v>
      </c>
      <c r="AS152" s="338">
        <v>2015</v>
      </c>
      <c r="AT152" s="338">
        <v>2016</v>
      </c>
      <c r="AU152" s="338">
        <v>2017</v>
      </c>
      <c r="AV152" s="338">
        <v>2018</v>
      </c>
      <c r="AW152" s="338">
        <v>2019</v>
      </c>
      <c r="AY152"/>
      <c r="AZ152"/>
    </row>
    <row r="153" spans="3:52" s="299" customFormat="1">
      <c r="C153" s="310" t="str">
        <f t="array" ref="C153:C190">LL.list</f>
        <v>64 kbps</v>
      </c>
      <c r="E153" s="333">
        <f t="array" ref="E153:E190">E109:E146/E147</f>
        <v>0.25200225606316978</v>
      </c>
      <c r="F153" s="333">
        <f t="array" ref="F153:F190">F109:F146/F147</f>
        <v>0.34144673278240584</v>
      </c>
      <c r="G153" s="333">
        <f t="array" ref="G153:G190">G109:G146/G147</f>
        <v>0.36745415377997076</v>
      </c>
      <c r="H153" s="333">
        <f t="array" ref="H153:H190">H109:H146/H147</f>
        <v>0.27715084671180568</v>
      </c>
      <c r="I153" s="333">
        <f t="array" ref="I153:I190">I109:I146/I147</f>
        <v>0.3791849231501162</v>
      </c>
      <c r="J153" s="333">
        <f t="array" ref="J153:J190">J109:J146/J147</f>
        <v>0.31088031585036724</v>
      </c>
      <c r="K153" s="474"/>
      <c r="L153" s="474"/>
      <c r="M153" s="474"/>
      <c r="N153" s="474"/>
      <c r="O153" s="474"/>
      <c r="Q153"/>
      <c r="R153"/>
      <c r="T153" s="310" t="str">
        <f t="array" ref="T153:T190">LL.list</f>
        <v>64 kbps</v>
      </c>
      <c r="V153" s="333">
        <f t="array" ref="V153:V190">V109:V146/V147</f>
        <v>0.17014619179950141</v>
      </c>
      <c r="W153" s="333">
        <f t="array" ref="W153:W190">W109:W146/W147</f>
        <v>0.23437126321327784</v>
      </c>
      <c r="X153" s="333">
        <f t="array" ref="X153:X190">X109:X146/X147</f>
        <v>0.24883692188175888</v>
      </c>
      <c r="Y153" s="333">
        <f t="array" ref="Y153:Y190">Y109:Y146/Y147</f>
        <v>0.13814401943515567</v>
      </c>
      <c r="Z153" s="333">
        <f t="array" ref="Z153:Z190">Z109:Z146/Z147</f>
        <v>0.21004410076594954</v>
      </c>
      <c r="AA153" s="333">
        <f t="array" ref="AA153:AA190">AA109:AA146/AA147</f>
        <v>0.11603760524560455</v>
      </c>
      <c r="AB153" s="474"/>
      <c r="AC153" s="474"/>
      <c r="AD153" s="474"/>
      <c r="AE153" s="474"/>
      <c r="AF153" s="474"/>
      <c r="AH153"/>
      <c r="AI153"/>
      <c r="AK153" s="310" t="str">
        <f t="array" ref="AK153:AK190">LL.list</f>
        <v>64 kbps</v>
      </c>
      <c r="AM153" s="333">
        <f t="array" ref="AM153:AM190">AM109:AM146/AM147</f>
        <v>0.20312051271797962</v>
      </c>
      <c r="AN153" s="333">
        <f t="array" ref="AN153:AN190">AN109:AN146/AN147</f>
        <v>0.27793838721704966</v>
      </c>
      <c r="AO153" s="333">
        <f t="array" ref="AO153:AO190">AO109:AO146/AO147</f>
        <v>0.29673043848995129</v>
      </c>
      <c r="AP153" s="333">
        <f t="array" ref="AP153:AP190">AP109:AP146/AP147</f>
        <v>0.18437771887582702</v>
      </c>
      <c r="AQ153" s="333">
        <f t="array" ref="AQ153:AQ190">AQ109:AQ146/AQ147</f>
        <v>0.27031072814926771</v>
      </c>
      <c r="AR153" s="333">
        <f t="array" ref="AR153:AR190">AR109:AR146/AR147</f>
        <v>0.16894401130482189</v>
      </c>
      <c r="AS153" s="474"/>
      <c r="AT153" s="474"/>
      <c r="AU153" s="474"/>
      <c r="AV153" s="474"/>
      <c r="AW153" s="474"/>
      <c r="AY153"/>
      <c r="AZ153"/>
    </row>
    <row r="154" spans="3:52" s="299" customFormat="1">
      <c r="C154" s="310" t="str">
        <v>128 kbps</v>
      </c>
      <c r="E154" s="333">
        <v>0.2674269599548787</v>
      </c>
      <c r="F154" s="333">
        <v>0.26345583670054357</v>
      </c>
      <c r="G154" s="333">
        <v>0.24161699381764495</v>
      </c>
      <c r="H154" s="333">
        <v>0.19061408151388134</v>
      </c>
      <c r="I154" s="333">
        <v>0.14548914586514627</v>
      </c>
      <c r="J154" s="333">
        <v>0.18784678375999694</v>
      </c>
      <c r="K154" s="474"/>
      <c r="L154" s="474"/>
      <c r="M154" s="474"/>
      <c r="N154" s="474"/>
      <c r="O154" s="474"/>
      <c r="Q154"/>
      <c r="R154"/>
      <c r="T154" s="310" t="str">
        <v>128 kbps</v>
      </c>
      <c r="V154" s="333">
        <v>0.180647164280866</v>
      </c>
      <c r="W154" s="333">
        <v>0.18084624197409388</v>
      </c>
      <c r="X154" s="333">
        <v>0.1637578678813881</v>
      </c>
      <c r="Y154" s="333">
        <v>9.4992961425783701E-2</v>
      </c>
      <c r="Z154" s="333">
        <v>8.07045078777157E-2</v>
      </c>
      <c r="AA154" s="333">
        <v>7.0058857830860299E-2</v>
      </c>
      <c r="AB154" s="474"/>
      <c r="AC154" s="474"/>
      <c r="AD154" s="474"/>
      <c r="AE154" s="474"/>
      <c r="AF154" s="474"/>
      <c r="AH154"/>
      <c r="AI154"/>
      <c r="AK154" s="310" t="str">
        <v>128 kbps</v>
      </c>
      <c r="AM154" s="333">
        <v>0.21560492651308874</v>
      </c>
      <c r="AN154" s="333">
        <v>0.21445863211192104</v>
      </c>
      <c r="AO154" s="333">
        <v>0.19519467753757158</v>
      </c>
      <c r="AP154" s="333">
        <v>0.12679656570152897</v>
      </c>
      <c r="AQ154" s="333">
        <v>0.1037879455878845</v>
      </c>
      <c r="AR154" s="333">
        <v>0.10204227573106063</v>
      </c>
      <c r="AS154" s="474"/>
      <c r="AT154" s="474"/>
      <c r="AU154" s="474"/>
      <c r="AV154" s="474"/>
      <c r="AW154" s="474"/>
      <c r="AY154"/>
      <c r="AZ154"/>
    </row>
    <row r="155" spans="3:52" s="299" customFormat="1">
      <c r="C155" s="310" t="str">
        <v>192 kbps</v>
      </c>
      <c r="E155" s="333">
        <v>5.8738860688099269E-2</v>
      </c>
      <c r="F155" s="333">
        <v>5.8103051572268589E-2</v>
      </c>
      <c r="G155" s="333">
        <v>5.3855254024071104E-2</v>
      </c>
      <c r="H155" s="333">
        <v>6.392060720724009E-2</v>
      </c>
      <c r="I155" s="333">
        <v>3.3341262594096026E-2</v>
      </c>
      <c r="J155" s="333">
        <v>4.1585914586245477E-2</v>
      </c>
      <c r="K155" s="474"/>
      <c r="L155" s="474"/>
      <c r="M155" s="474"/>
      <c r="N155" s="474"/>
      <c r="O155" s="474"/>
      <c r="Q155"/>
      <c r="R155"/>
      <c r="T155" s="310" t="str">
        <v>192 kbps</v>
      </c>
      <c r="V155" s="333">
        <v>3.9721069820813838E-2</v>
      </c>
      <c r="W155" s="333">
        <v>3.9859058369605072E-2</v>
      </c>
      <c r="X155" s="333">
        <v>3.663585723491971E-2</v>
      </c>
      <c r="Y155" s="333">
        <v>3.2034860395716423E-2</v>
      </c>
      <c r="Z155" s="333">
        <v>1.8477084698319119E-2</v>
      </c>
      <c r="AA155" s="333">
        <v>1.5522022393663659E-2</v>
      </c>
      <c r="AB155" s="474"/>
      <c r="AC155" s="474"/>
      <c r="AD155" s="474"/>
      <c r="AE155" s="474"/>
      <c r="AF155" s="474"/>
      <c r="AH155"/>
      <c r="AI155"/>
      <c r="AK155" s="310" t="str">
        <v>192 kbps</v>
      </c>
      <c r="AM155" s="333">
        <v>4.7382062868297929E-2</v>
      </c>
      <c r="AN155" s="333">
        <v>4.7282218103415666E-2</v>
      </c>
      <c r="AO155" s="333">
        <v>4.3588451330286639E-2</v>
      </c>
      <c r="AP155" s="333">
        <v>4.2640066365862046E-2</v>
      </c>
      <c r="AQ155" s="333">
        <v>2.3773345281524125E-2</v>
      </c>
      <c r="AR155" s="333">
        <v>2.259925335367419E-2</v>
      </c>
      <c r="AS155" s="474"/>
      <c r="AT155" s="474"/>
      <c r="AU155" s="474"/>
      <c r="AV155" s="474"/>
      <c r="AW155" s="474"/>
      <c r="AY155"/>
      <c r="AZ155"/>
    </row>
    <row r="156" spans="3:52" s="299" customFormat="1">
      <c r="C156" s="310" t="str">
        <v>256 kbps</v>
      </c>
      <c r="E156" s="333">
        <v>0.14664410603496897</v>
      </c>
      <c r="F156" s="333">
        <v>0.1345035841282384</v>
      </c>
      <c r="G156" s="333">
        <v>0.12139837896500143</v>
      </c>
      <c r="H156" s="333">
        <v>0.18225545125855983</v>
      </c>
      <c r="I156" s="333">
        <v>0.18832441930954044</v>
      </c>
      <c r="J156" s="333">
        <v>0.13038506643617154</v>
      </c>
      <c r="K156" s="474"/>
      <c r="L156" s="474"/>
      <c r="M156" s="474"/>
      <c r="N156" s="474"/>
      <c r="O156" s="474"/>
      <c r="Q156"/>
      <c r="R156"/>
      <c r="T156" s="310" t="str">
        <v>256 kbps</v>
      </c>
      <c r="V156" s="333">
        <v>9.8922204534593841E-2</v>
      </c>
      <c r="W156" s="333">
        <v>9.2473015417483775E-2</v>
      </c>
      <c r="X156" s="333">
        <v>8.2320329810994283E-2</v>
      </c>
      <c r="Y156" s="333">
        <v>9.0849651406148466E-2</v>
      </c>
      <c r="Z156" s="333">
        <v>0.10438490953130859</v>
      </c>
      <c r="AA156" s="333">
        <v>4.8747540598478842E-2</v>
      </c>
      <c r="AB156" s="474"/>
      <c r="AC156" s="474"/>
      <c r="AD156" s="474"/>
      <c r="AE156" s="474"/>
      <c r="AF156" s="474"/>
      <c r="AH156"/>
      <c r="AI156"/>
      <c r="AK156" s="310" t="str">
        <v>256 kbps</v>
      </c>
      <c r="AM156" s="333">
        <v>0.11814615952276221</v>
      </c>
      <c r="AN156" s="333">
        <v>0.10957451407388992</v>
      </c>
      <c r="AO156" s="333">
        <v>9.80986882014451E-2</v>
      </c>
      <c r="AP156" s="333">
        <v>0.12125123930153973</v>
      </c>
      <c r="AQ156" s="333">
        <v>0.13429342651281667</v>
      </c>
      <c r="AR156" s="333">
        <v>7.0914898454632808E-2</v>
      </c>
      <c r="AS156" s="474"/>
      <c r="AT156" s="474"/>
      <c r="AU156" s="474"/>
      <c r="AV156" s="474"/>
      <c r="AW156" s="474"/>
      <c r="AY156"/>
      <c r="AZ156"/>
    </row>
    <row r="157" spans="3:52" s="299" customFormat="1">
      <c r="C157" s="310" t="str">
        <v>384 kbps</v>
      </c>
      <c r="E157" s="333">
        <v>6.5800338409475453E-2</v>
      </c>
      <c r="F157" s="333">
        <v>6.1648997805364751E-2</v>
      </c>
      <c r="G157" s="333">
        <v>6.8911912032616263E-2</v>
      </c>
      <c r="H157" s="333">
        <v>0.10807412859961513</v>
      </c>
      <c r="I157" s="333">
        <v>7.8327028292113951E-2</v>
      </c>
      <c r="J157" s="333">
        <v>0.11507649782447707</v>
      </c>
      <c r="K157" s="474"/>
      <c r="L157" s="474"/>
      <c r="M157" s="474"/>
      <c r="N157" s="474"/>
      <c r="O157" s="474"/>
      <c r="Q157"/>
      <c r="R157"/>
      <c r="T157" s="310" t="str">
        <v>384 kbps</v>
      </c>
      <c r="V157" s="333">
        <v>4.4591086044055379E-2</v>
      </c>
      <c r="W157" s="333">
        <v>4.2364484895694533E-2</v>
      </c>
      <c r="X157" s="333">
        <v>4.6677613284250116E-2</v>
      </c>
      <c r="Y157" s="333">
        <v>5.386303025525821E-2</v>
      </c>
      <c r="Z157" s="333">
        <v>4.3537958197188732E-2</v>
      </c>
      <c r="AA157" s="333">
        <v>4.3042148583510582E-2</v>
      </c>
      <c r="AB157" s="474"/>
      <c r="AC157" s="474"/>
      <c r="AD157" s="474"/>
      <c r="AE157" s="474"/>
      <c r="AF157" s="474"/>
      <c r="AH157"/>
      <c r="AI157"/>
      <c r="AK157" s="310" t="str">
        <v>384 kbps</v>
      </c>
      <c r="AM157" s="333">
        <v>5.3134872020444729E-2</v>
      </c>
      <c r="AN157" s="333">
        <v>5.0211013784792952E-2</v>
      </c>
      <c r="AO157" s="333">
        <v>5.5655050536285992E-2</v>
      </c>
      <c r="AP157" s="333">
        <v>7.1893652752766921E-2</v>
      </c>
      <c r="AQ157" s="333">
        <v>5.5933664300952243E-2</v>
      </c>
      <c r="AR157" s="333">
        <v>6.2601918201398918E-2</v>
      </c>
      <c r="AS157" s="474"/>
      <c r="AT157" s="474"/>
      <c r="AU157" s="474"/>
      <c r="AV157" s="474"/>
      <c r="AW157" s="474"/>
      <c r="AY157"/>
      <c r="AZ157"/>
    </row>
    <row r="158" spans="3:52" s="299" customFormat="1">
      <c r="C158" s="310" t="str">
        <v>512 kbps</v>
      </c>
      <c r="E158" s="333">
        <v>0.12769317540891145</v>
      </c>
      <c r="F158" s="333">
        <v>7.2469446095308934E-2</v>
      </c>
      <c r="G158" s="333">
        <v>8.7700144374448022E-2</v>
      </c>
      <c r="H158" s="333">
        <v>8.2793429086492162E-2</v>
      </c>
      <c r="I158" s="333">
        <v>9.0853981384141996E-2</v>
      </c>
      <c r="J158" s="333">
        <v>6.6366392728598747E-2</v>
      </c>
      <c r="K158" s="474"/>
      <c r="L158" s="474"/>
      <c r="M158" s="474"/>
      <c r="N158" s="474"/>
      <c r="O158" s="474"/>
      <c r="Q158"/>
      <c r="R158"/>
      <c r="T158" s="310" t="str">
        <v>512 kbps</v>
      </c>
      <c r="V158" s="333">
        <v>8.6138411948584792E-2</v>
      </c>
      <c r="W158" s="333">
        <v>4.9880764473962919E-2</v>
      </c>
      <c r="X158" s="333">
        <v>5.9588442490532058E-2</v>
      </c>
      <c r="Y158" s="333">
        <v>4.1332043854410146E-2</v>
      </c>
      <c r="Z158" s="333">
        <v>5.0440317423572315E-2</v>
      </c>
      <c r="AA158" s="333">
        <v>2.4751333006112323E-2</v>
      </c>
      <c r="AB158" s="474"/>
      <c r="AC158" s="474"/>
      <c r="AD158" s="474"/>
      <c r="AE158" s="474"/>
      <c r="AF158" s="474"/>
      <c r="AH158"/>
      <c r="AI158"/>
      <c r="AK158" s="310" t="str">
        <v>512 kbps</v>
      </c>
      <c r="AM158" s="333">
        <v>0.10287804044597447</v>
      </c>
      <c r="AN158" s="333">
        <v>5.9071701457373046E-2</v>
      </c>
      <c r="AO158" s="333">
        <v>7.0938970904626503E-2</v>
      </c>
      <c r="AP158" s="333">
        <v>5.512210913946948E-2</v>
      </c>
      <c r="AQ158" s="333">
        <v>6.4840124594749235E-2</v>
      </c>
      <c r="AR158" s="333">
        <v>3.6051233531118825E-2</v>
      </c>
      <c r="AS158" s="474"/>
      <c r="AT158" s="474"/>
      <c r="AU158" s="474"/>
      <c r="AV158" s="474"/>
      <c r="AW158" s="474"/>
      <c r="AY158"/>
      <c r="AZ158"/>
    </row>
    <row r="159" spans="3:52" s="299" customFormat="1">
      <c r="C159" s="310" t="str">
        <v>768 kbps</v>
      </c>
      <c r="E159" s="333">
        <v>3.4621545403271288E-2</v>
      </c>
      <c r="F159" s="333">
        <v>2.0452274153438539E-2</v>
      </c>
      <c r="G159" s="333">
        <v>1.913857665696566E-2</v>
      </c>
      <c r="H159" s="333">
        <v>2.0653238512966826E-2</v>
      </c>
      <c r="I159" s="333">
        <v>1.9087776916643005E-2</v>
      </c>
      <c r="J159" s="333">
        <v>1.36068662340381E-2</v>
      </c>
      <c r="K159" s="474"/>
      <c r="L159" s="474"/>
      <c r="M159" s="474"/>
      <c r="N159" s="474"/>
      <c r="O159" s="474"/>
      <c r="Q159"/>
      <c r="R159"/>
      <c r="T159" s="310" t="str">
        <v>768 kbps</v>
      </c>
      <c r="V159" s="333">
        <v>2.3589141081326225E-2</v>
      </c>
      <c r="W159" s="333">
        <v>1.4235377989144669E-2</v>
      </c>
      <c r="X159" s="333">
        <v>1.3021178173857005E-2</v>
      </c>
      <c r="Y159" s="333">
        <v>1.0408803220059279E-2</v>
      </c>
      <c r="Z159" s="333">
        <v>1.0619014194436276E-2</v>
      </c>
      <c r="AA159" s="333">
        <v>5.201975072471064E-3</v>
      </c>
      <c r="AB159" s="474"/>
      <c r="AC159" s="474"/>
      <c r="AD159" s="474"/>
      <c r="AE159" s="474"/>
      <c r="AF159" s="474"/>
      <c r="AH159"/>
      <c r="AI159"/>
      <c r="AK159" s="310" t="str">
        <v>768 kbps</v>
      </c>
      <c r="AM159" s="333">
        <v>2.8033357204916329E-2</v>
      </c>
      <c r="AN159" s="333">
        <v>1.6764923618953952E-2</v>
      </c>
      <c r="AO159" s="333">
        <v>1.5491171118061869E-2</v>
      </c>
      <c r="AP159" s="333">
        <v>1.3816104512743727E-2</v>
      </c>
      <c r="AQ159" s="333">
        <v>1.3636522092191095E-2</v>
      </c>
      <c r="AR159" s="333">
        <v>7.484188162697511E-3</v>
      </c>
      <c r="AS159" s="474"/>
      <c r="AT159" s="474"/>
      <c r="AU159" s="474"/>
      <c r="AV159" s="474"/>
      <c r="AW159" s="474"/>
      <c r="AY159"/>
      <c r="AZ159"/>
    </row>
    <row r="160" spans="3:52" s="299" customFormat="1">
      <c r="C160" s="310" t="str">
        <v>1024 kbps</v>
      </c>
      <c r="E160" s="333">
        <v>1.9106598984771572E-2</v>
      </c>
      <c r="F160" s="333">
        <v>2.093867969945782E-2</v>
      </c>
      <c r="G160" s="333">
        <v>1.1716165701454501E-2</v>
      </c>
      <c r="H160" s="333">
        <v>1.397971785060317E-2</v>
      </c>
      <c r="I160" s="333">
        <v>9.7894397593597249E-3</v>
      </c>
      <c r="J160" s="333">
        <v>7.3830473527948656E-3</v>
      </c>
      <c r="K160" s="474"/>
      <c r="L160" s="474"/>
      <c r="M160" s="474"/>
      <c r="N160" s="474"/>
      <c r="O160" s="474"/>
      <c r="Q160"/>
      <c r="R160"/>
      <c r="T160" s="310" t="str">
        <v>1024 kbps</v>
      </c>
      <c r="V160" s="333">
        <v>1.293598059298535E-2</v>
      </c>
      <c r="W160" s="333">
        <v>1.4577027060884141E-2</v>
      </c>
      <c r="X160" s="333">
        <v>8.0554746329793338E-3</v>
      </c>
      <c r="Y160" s="333">
        <v>6.9728875940202936E-3</v>
      </c>
      <c r="Z160" s="333">
        <v>5.628077523051226E-3</v>
      </c>
      <c r="AA160" s="333">
        <v>2.7687931837345986E-3</v>
      </c>
      <c r="AB160" s="474"/>
      <c r="AC160" s="474"/>
      <c r="AD160" s="474"/>
      <c r="AE160" s="474"/>
      <c r="AF160" s="474"/>
      <c r="AH160"/>
      <c r="AI160"/>
      <c r="AK160" s="310" t="str">
        <v>1024 kbps</v>
      </c>
      <c r="AM160" s="333">
        <v>1.5421709084167321E-2</v>
      </c>
      <c r="AN160" s="333">
        <v>1.7165471552315747E-2</v>
      </c>
      <c r="AO160" s="333">
        <v>9.5335344871826933E-3</v>
      </c>
      <c r="AP160" s="333">
        <v>9.3033607834409077E-3</v>
      </c>
      <c r="AQ160" s="333">
        <v>7.1108140012563388E-3</v>
      </c>
      <c r="AR160" s="333">
        <v>4.0217197313637907E-3</v>
      </c>
      <c r="AS160" s="474"/>
      <c r="AT160" s="474"/>
      <c r="AU160" s="474"/>
      <c r="AV160" s="474"/>
      <c r="AW160" s="474"/>
      <c r="AY160"/>
      <c r="AZ160"/>
    </row>
    <row r="161" spans="3:52" s="299" customFormat="1">
      <c r="C161" s="331" t="str">
        <v>E1 (2.04 Mbps)</v>
      </c>
      <c r="E161" s="333">
        <v>2.6305696559503645E-2</v>
      </c>
      <c r="F161" s="333">
        <v>2.503411479170882E-2</v>
      </c>
      <c r="G161" s="333">
        <v>2.6023249826457321E-2</v>
      </c>
      <c r="H161" s="333">
        <v>5.4732602916395597E-2</v>
      </c>
      <c r="I161" s="333">
        <v>4.2929273551822786E-2</v>
      </c>
      <c r="J161" s="333">
        <v>8.9586977024766978E-2</v>
      </c>
      <c r="K161" s="474"/>
      <c r="L161" s="474"/>
      <c r="M161" s="474"/>
      <c r="N161" s="474"/>
      <c r="O161" s="474"/>
      <c r="Q161"/>
      <c r="R161"/>
      <c r="T161" s="331" t="str">
        <v>E1 (2.04 Mbps)</v>
      </c>
      <c r="V161" s="333">
        <v>0.33892269153621613</v>
      </c>
      <c r="W161" s="333">
        <v>0.3268442786307616</v>
      </c>
      <c r="X161" s="333">
        <v>0.33524016349303037</v>
      </c>
      <c r="Y161" s="333">
        <v>0.52023804831907927</v>
      </c>
      <c r="Z161" s="333">
        <v>0.45258238496687409</v>
      </c>
      <c r="AA161" s="333">
        <v>0.63489266731271843</v>
      </c>
      <c r="AB161" s="474"/>
      <c r="AC161" s="474"/>
      <c r="AD161" s="474"/>
      <c r="AE161" s="474"/>
      <c r="AF161" s="474"/>
      <c r="AH161"/>
      <c r="AI161"/>
      <c r="AK161" s="331" t="str">
        <v>E1 (2.04 Mbps)</v>
      </c>
      <c r="AM161" s="333">
        <v>0.21299026112118885</v>
      </c>
      <c r="AN161" s="333">
        <v>0.20404303492399717</v>
      </c>
      <c r="AO161" s="333">
        <v>0.21038911821714351</v>
      </c>
      <c r="AP161" s="333">
        <v>0.36541084110636751</v>
      </c>
      <c r="AQ161" s="333">
        <v>0.30661873719653621</v>
      </c>
      <c r="AR161" s="333">
        <v>0.48682367264912757</v>
      </c>
      <c r="AS161" s="474"/>
      <c r="AT161" s="474"/>
      <c r="AU161" s="474"/>
      <c r="AV161" s="474"/>
      <c r="AW161" s="474"/>
      <c r="AY161"/>
      <c r="AZ161"/>
    </row>
    <row r="162" spans="3:52" s="299" customFormat="1">
      <c r="C162" s="331" t="str">
        <v>E2 *</v>
      </c>
      <c r="E162" s="333">
        <v>0</v>
      </c>
      <c r="F162" s="333">
        <v>0</v>
      </c>
      <c r="G162" s="333">
        <v>0</v>
      </c>
      <c r="H162" s="333">
        <v>0</v>
      </c>
      <c r="I162" s="333">
        <v>0</v>
      </c>
      <c r="J162" s="333">
        <v>0</v>
      </c>
      <c r="K162" s="474"/>
      <c r="L162" s="474"/>
      <c r="M162" s="474"/>
      <c r="N162" s="474"/>
      <c r="O162" s="474"/>
      <c r="Q162"/>
      <c r="R162"/>
      <c r="T162" s="331" t="str">
        <v>E2 *</v>
      </c>
      <c r="V162" s="333">
        <v>0</v>
      </c>
      <c r="W162" s="333">
        <v>0</v>
      </c>
      <c r="X162" s="333">
        <v>0</v>
      </c>
      <c r="Y162" s="333">
        <v>0</v>
      </c>
      <c r="Z162" s="333">
        <v>0</v>
      </c>
      <c r="AA162" s="333">
        <v>0</v>
      </c>
      <c r="AB162" s="474"/>
      <c r="AC162" s="474"/>
      <c r="AD162" s="474"/>
      <c r="AE162" s="474"/>
      <c r="AF162" s="474"/>
      <c r="AH162"/>
      <c r="AI162"/>
      <c r="AK162" s="331" t="str">
        <v>E2 *</v>
      </c>
      <c r="AM162" s="333">
        <v>0</v>
      </c>
      <c r="AN162" s="333">
        <v>0</v>
      </c>
      <c r="AO162" s="333">
        <v>0</v>
      </c>
      <c r="AP162" s="333">
        <v>0</v>
      </c>
      <c r="AQ162" s="333">
        <v>0</v>
      </c>
      <c r="AR162" s="333">
        <v>0</v>
      </c>
      <c r="AS162" s="474"/>
      <c r="AT162" s="474"/>
      <c r="AU162" s="474"/>
      <c r="AV162" s="474"/>
      <c r="AW162" s="474"/>
      <c r="AY162"/>
      <c r="AZ162"/>
    </row>
    <row r="163" spans="3:52" s="299" customFormat="1">
      <c r="C163" s="331" t="str">
        <v>E3 (34 Mbps)</v>
      </c>
      <c r="E163" s="333">
        <v>1.7010716300056401E-3</v>
      </c>
      <c r="F163" s="333">
        <v>1.6185850080846248E-3</v>
      </c>
      <c r="G163" s="333">
        <v>1.2938297033316933E-3</v>
      </c>
      <c r="H163" s="333">
        <v>2.3319807844783356E-3</v>
      </c>
      <c r="I163" s="333">
        <v>2.6300846384640767E-3</v>
      </c>
      <c r="J163" s="333">
        <v>2.9532189411179462E-3</v>
      </c>
      <c r="K163" s="474"/>
      <c r="L163" s="474"/>
      <c r="M163" s="474"/>
      <c r="N163" s="474"/>
      <c r="O163" s="474"/>
      <c r="Q163"/>
      <c r="R163"/>
      <c r="T163" s="331" t="str">
        <v>E3 (34 Mbps)</v>
      </c>
      <c r="V163" s="333">
        <v>1.2175040558103857E-3</v>
      </c>
      <c r="W163" s="333">
        <v>1.1388302391315734E-3</v>
      </c>
      <c r="X163" s="333">
        <v>9.9314070817553427E-4</v>
      </c>
      <c r="Y163" s="333">
        <v>1.3137324452502002E-3</v>
      </c>
      <c r="Z163" s="333">
        <v>1.5928521291654414E-3</v>
      </c>
      <c r="AA163" s="333">
        <v>1.1746395324934661E-3</v>
      </c>
      <c r="AB163" s="474"/>
      <c r="AC163" s="474"/>
      <c r="AD163" s="474"/>
      <c r="AE163" s="474"/>
      <c r="AF163" s="474"/>
      <c r="AH163"/>
      <c r="AI163"/>
      <c r="AK163" s="331" t="str">
        <v>E3 (34 Mbps)</v>
      </c>
      <c r="AM163" s="333">
        <v>1.4123010146028651E-3</v>
      </c>
      <c r="AN163" s="333">
        <v>1.3340340107749419E-3</v>
      </c>
      <c r="AO163" s="333">
        <v>1.1145484762793295E-3</v>
      </c>
      <c r="AP163" s="333">
        <v>1.6524020530252444E-3</v>
      </c>
      <c r="AQ163" s="333">
        <v>1.9624288183799818E-3</v>
      </c>
      <c r="AR163" s="333">
        <v>1.6575841810727355E-3</v>
      </c>
      <c r="AS163" s="474"/>
      <c r="AT163" s="474"/>
      <c r="AU163" s="474"/>
      <c r="AV163" s="474"/>
      <c r="AW163" s="474"/>
      <c r="AY163"/>
      <c r="AZ163"/>
    </row>
    <row r="164" spans="3:52" s="299" customFormat="1">
      <c r="C164" s="331" t="str">
        <v>STM-1 (155 Mbps)</v>
      </c>
      <c r="E164" s="333">
        <v>0</v>
      </c>
      <c r="F164" s="333">
        <v>0</v>
      </c>
      <c r="G164" s="333">
        <v>0</v>
      </c>
      <c r="H164" s="333">
        <v>0</v>
      </c>
      <c r="I164" s="333">
        <v>0</v>
      </c>
      <c r="J164" s="333">
        <v>0</v>
      </c>
      <c r="K164" s="474"/>
      <c r="L164" s="474"/>
      <c r="M164" s="474"/>
      <c r="N164" s="474"/>
      <c r="O164" s="474"/>
      <c r="Q164"/>
      <c r="R164"/>
      <c r="T164" s="331" t="str">
        <v>STM-1 (155 Mbps)</v>
      </c>
      <c r="V164" s="333">
        <v>6.9397731181191995E-4</v>
      </c>
      <c r="W164" s="333">
        <v>6.3774493391368118E-4</v>
      </c>
      <c r="X164" s="333">
        <v>8.0113350459493104E-4</v>
      </c>
      <c r="Y164" s="333">
        <v>5.3559861229431245E-4</v>
      </c>
      <c r="Z164" s="333">
        <v>2.8034197473311771E-4</v>
      </c>
      <c r="AA164" s="333">
        <v>3.0708433492329185E-4</v>
      </c>
      <c r="AB164" s="474"/>
      <c r="AC164" s="474"/>
      <c r="AD164" s="474"/>
      <c r="AE164" s="474"/>
      <c r="AF164" s="474"/>
      <c r="AH164"/>
      <c r="AI164"/>
      <c r="AK164" s="331" t="str">
        <v>STM-1 (155 Mbps)</v>
      </c>
      <c r="AM164" s="333">
        <v>4.1442037494138131E-4</v>
      </c>
      <c r="AN164" s="333">
        <v>3.7825774482732531E-4</v>
      </c>
      <c r="AO164" s="333">
        <v>4.7766363269114109E-4</v>
      </c>
      <c r="AP164" s="333">
        <v>3.5745840330750193E-4</v>
      </c>
      <c r="AQ164" s="333">
        <v>1.8045322467861901E-4</v>
      </c>
      <c r="AR164" s="333">
        <v>2.2370052001202849E-4</v>
      </c>
      <c r="AS164" s="474"/>
      <c r="AT164" s="474"/>
      <c r="AU164" s="474"/>
      <c r="AV164" s="474"/>
      <c r="AW164" s="474"/>
      <c r="AY164"/>
      <c r="AZ164"/>
    </row>
    <row r="165" spans="3:52" s="299" customFormat="1">
      <c r="C165" s="310" t="str">
        <v>STM-4 (622.08 Mbps)</v>
      </c>
      <c r="E165" s="333">
        <v>0</v>
      </c>
      <c r="F165" s="333">
        <v>0</v>
      </c>
      <c r="G165" s="333">
        <v>0</v>
      </c>
      <c r="H165" s="333">
        <v>0</v>
      </c>
      <c r="I165" s="333">
        <v>0</v>
      </c>
      <c r="J165" s="333">
        <v>0</v>
      </c>
      <c r="K165" s="474"/>
      <c r="L165" s="474"/>
      <c r="M165" s="474"/>
      <c r="N165" s="474"/>
      <c r="O165" s="474"/>
      <c r="Q165"/>
      <c r="R165"/>
      <c r="T165" s="310" t="str">
        <v>STM-4 (622.08 Mbps)</v>
      </c>
      <c r="V165" s="333">
        <v>3.865575377197975E-4</v>
      </c>
      <c r="W165" s="333">
        <v>2.277660478263147E-4</v>
      </c>
      <c r="X165" s="333">
        <v>2.1849095579861756E-4</v>
      </c>
      <c r="Y165" s="333">
        <v>2.3849296698388249E-4</v>
      </c>
      <c r="Z165" s="333">
        <v>2.5698014350535785E-4</v>
      </c>
      <c r="AA165" s="333">
        <v>1.7955204282400127E-4</v>
      </c>
      <c r="AB165" s="474"/>
      <c r="AC165" s="474"/>
      <c r="AD165" s="474"/>
      <c r="AE165" s="474"/>
      <c r="AF165" s="474"/>
      <c r="AH165"/>
      <c r="AI165"/>
      <c r="AK165" s="310" t="str">
        <v>STM-4 (622.08 Mbps)</v>
      </c>
      <c r="AM165" s="333">
        <v>2.3083941937524307E-4</v>
      </c>
      <c r="AN165" s="333">
        <v>1.3509205172404477E-4</v>
      </c>
      <c r="AO165" s="333">
        <v>1.3027189982485666E-4</v>
      </c>
      <c r="AP165" s="333">
        <v>1.5917015694447251E-4</v>
      </c>
      <c r="AQ165" s="333">
        <v>1.6541545595540074E-4</v>
      </c>
      <c r="AR165" s="333">
        <v>1.3079757181031173E-4</v>
      </c>
      <c r="AS165" s="474"/>
      <c r="AT165" s="474"/>
      <c r="AU165" s="474"/>
      <c r="AV165" s="474"/>
      <c r="AW165" s="474"/>
      <c r="AY165"/>
      <c r="AZ165"/>
    </row>
    <row r="166" spans="3:52" s="299" customFormat="1">
      <c r="C166" s="310" t="str">
        <v>STM-16 (2488.32Mbps)</v>
      </c>
      <c r="E166" s="333">
        <v>0</v>
      </c>
      <c r="F166" s="333">
        <v>0</v>
      </c>
      <c r="G166" s="333">
        <v>0</v>
      </c>
      <c r="H166" s="333">
        <v>0</v>
      </c>
      <c r="I166" s="333">
        <v>0</v>
      </c>
      <c r="J166" s="333">
        <v>0</v>
      </c>
      <c r="K166" s="474"/>
      <c r="L166" s="474"/>
      <c r="M166" s="474"/>
      <c r="N166" s="474"/>
      <c r="O166" s="474"/>
      <c r="Q166"/>
      <c r="R166"/>
      <c r="T166" s="310" t="str">
        <v>STM-16 (2488.32Mbps)</v>
      </c>
      <c r="V166" s="333">
        <v>0</v>
      </c>
      <c r="W166" s="333">
        <v>0</v>
      </c>
      <c r="X166" s="333">
        <v>0</v>
      </c>
      <c r="Y166" s="333">
        <v>0</v>
      </c>
      <c r="Z166" s="333">
        <v>0</v>
      </c>
      <c r="AA166" s="333">
        <v>0</v>
      </c>
      <c r="AB166" s="474"/>
      <c r="AC166" s="474"/>
      <c r="AD166" s="474"/>
      <c r="AE166" s="474"/>
      <c r="AF166" s="474"/>
      <c r="AH166"/>
      <c r="AI166"/>
      <c r="AK166" s="310" t="str">
        <v>STM-16 (2488.32Mbps)</v>
      </c>
      <c r="AM166" s="333">
        <v>0</v>
      </c>
      <c r="AN166" s="333">
        <v>0</v>
      </c>
      <c r="AO166" s="333">
        <v>0</v>
      </c>
      <c r="AP166" s="333">
        <v>0</v>
      </c>
      <c r="AQ166" s="333">
        <v>0</v>
      </c>
      <c r="AR166" s="333">
        <v>0</v>
      </c>
      <c r="AS166" s="474"/>
      <c r="AT166" s="474"/>
      <c r="AU166" s="474"/>
      <c r="AV166" s="474"/>
      <c r="AW166" s="474"/>
      <c r="AY166"/>
      <c r="AZ166"/>
    </row>
    <row r="167" spans="3:52" s="299" customFormat="1">
      <c r="C167" s="310" t="str">
        <v>STM-64 (9953.28Mbps)</v>
      </c>
      <c r="E167" s="333">
        <v>0</v>
      </c>
      <c r="F167" s="333">
        <v>0</v>
      </c>
      <c r="G167" s="333">
        <v>0</v>
      </c>
      <c r="H167" s="333">
        <v>0</v>
      </c>
      <c r="I167" s="333">
        <v>0</v>
      </c>
      <c r="J167" s="333">
        <v>0</v>
      </c>
      <c r="K167" s="474"/>
      <c r="L167" s="474"/>
      <c r="M167" s="474"/>
      <c r="N167" s="474"/>
      <c r="O167" s="474"/>
      <c r="Q167"/>
      <c r="R167"/>
      <c r="T167" s="310" t="str">
        <v>STM-64 (9953.28Mbps)</v>
      </c>
      <c r="V167" s="333">
        <v>0</v>
      </c>
      <c r="W167" s="333">
        <v>0</v>
      </c>
      <c r="X167" s="333">
        <v>0</v>
      </c>
      <c r="Y167" s="333">
        <v>0</v>
      </c>
      <c r="Z167" s="333">
        <v>0</v>
      </c>
      <c r="AA167" s="333">
        <v>0</v>
      </c>
      <c r="AB167" s="474"/>
      <c r="AC167" s="474"/>
      <c r="AD167" s="474"/>
      <c r="AE167" s="474"/>
      <c r="AF167" s="474"/>
      <c r="AH167"/>
      <c r="AI167"/>
      <c r="AK167" s="310" t="str">
        <v>STM-64 (9953.28Mbps)</v>
      </c>
      <c r="AM167" s="333">
        <v>0</v>
      </c>
      <c r="AN167" s="333">
        <v>0</v>
      </c>
      <c r="AO167" s="333">
        <v>0</v>
      </c>
      <c r="AP167" s="333">
        <v>0</v>
      </c>
      <c r="AQ167" s="333">
        <v>0</v>
      </c>
      <c r="AR167" s="333">
        <v>0</v>
      </c>
      <c r="AS167" s="474"/>
      <c r="AT167" s="474"/>
      <c r="AU167" s="474"/>
      <c r="AV167" s="474"/>
      <c r="AW167" s="474"/>
      <c r="AY167"/>
      <c r="AZ167"/>
    </row>
    <row r="168" spans="3:52" s="299" customFormat="1">
      <c r="C168" s="310" t="str">
        <v>STM-256 (39813.12 Mbps)*</v>
      </c>
      <c r="E168" s="333">
        <v>0</v>
      </c>
      <c r="F168" s="333">
        <v>0</v>
      </c>
      <c r="G168" s="333">
        <v>0</v>
      </c>
      <c r="H168" s="333">
        <v>0</v>
      </c>
      <c r="I168" s="333">
        <v>0</v>
      </c>
      <c r="J168" s="333">
        <v>0</v>
      </c>
      <c r="K168" s="474"/>
      <c r="L168" s="474"/>
      <c r="M168" s="474"/>
      <c r="N168" s="474"/>
      <c r="O168" s="474"/>
      <c r="Q168"/>
      <c r="R168"/>
      <c r="T168" s="310" t="str">
        <v>STM-256 (39813.12 Mbps)*</v>
      </c>
      <c r="V168" s="333">
        <v>0</v>
      </c>
      <c r="W168" s="333">
        <v>0</v>
      </c>
      <c r="X168" s="333">
        <v>0</v>
      </c>
      <c r="Y168" s="333">
        <v>0</v>
      </c>
      <c r="Z168" s="333">
        <v>0</v>
      </c>
      <c r="AA168" s="333">
        <v>0</v>
      </c>
      <c r="AB168" s="474"/>
      <c r="AC168" s="474"/>
      <c r="AD168" s="474"/>
      <c r="AE168" s="474"/>
      <c r="AF168" s="474"/>
      <c r="AH168"/>
      <c r="AI168"/>
      <c r="AK168" s="310" t="str">
        <v>STM-256 (39813.12 Mbps)*</v>
      </c>
      <c r="AM168" s="333">
        <v>0</v>
      </c>
      <c r="AN168" s="333">
        <v>0</v>
      </c>
      <c r="AO168" s="333">
        <v>0</v>
      </c>
      <c r="AP168" s="333">
        <v>0</v>
      </c>
      <c r="AQ168" s="333">
        <v>0</v>
      </c>
      <c r="AR168" s="333">
        <v>0</v>
      </c>
      <c r="AS168" s="474"/>
      <c r="AT168" s="474"/>
      <c r="AU168" s="474"/>
      <c r="AV168" s="474"/>
      <c r="AW168" s="474"/>
      <c r="AY168"/>
      <c r="AZ168"/>
    </row>
    <row r="169" spans="3:52" s="299" customFormat="1">
      <c r="C169" s="310" t="str">
        <v>Ethernet (10Mbps)</v>
      </c>
      <c r="E169" s="333">
        <v>4.5121263395374105E-6</v>
      </c>
      <c r="F169" s="333">
        <v>1.4940784690011929E-4</v>
      </c>
      <c r="G169" s="333">
        <v>3.7641645021362893E-4</v>
      </c>
      <c r="H169" s="333">
        <v>1.0220159264148531E-3</v>
      </c>
      <c r="I169" s="333">
        <v>2.6358397470821562E-3</v>
      </c>
      <c r="J169" s="333">
        <v>6.5637091709603197E-3</v>
      </c>
      <c r="K169" s="474"/>
      <c r="L169" s="474"/>
      <c r="M169" s="474"/>
      <c r="N169" s="474"/>
      <c r="O169" s="474"/>
      <c r="Q169"/>
      <c r="R169"/>
      <c r="T169" s="310" t="str">
        <v>Ethernet (10Mbps)</v>
      </c>
      <c r="V169" s="333">
        <v>9.131280418577894E-4</v>
      </c>
      <c r="W169" s="333">
        <v>1.3665962869578883E-3</v>
      </c>
      <c r="X169" s="333">
        <v>2.3173283190762468E-3</v>
      </c>
      <c r="Y169" s="333">
        <v>5.2549297810008007E-3</v>
      </c>
      <c r="Z169" s="333">
        <v>1.3698528310822796E-2</v>
      </c>
      <c r="AA169" s="333">
        <v>2.265376241237399E-2</v>
      </c>
      <c r="AB169" s="474"/>
      <c r="AC169" s="474"/>
      <c r="AD169" s="474"/>
      <c r="AE169" s="474"/>
      <c r="AF169" s="474"/>
      <c r="AH169"/>
      <c r="AI169"/>
      <c r="AK169" s="310" t="str">
        <v>Ethernet (10Mbps)</v>
      </c>
      <c r="AM169" s="333">
        <v>5.4710760025156028E-4</v>
      </c>
      <c r="AN169" s="333">
        <v>8.7134373362008873E-4</v>
      </c>
      <c r="AO169" s="333">
        <v>1.5336555479380856E-3</v>
      </c>
      <c r="AP169" s="333">
        <v>3.8470617593697938E-3</v>
      </c>
      <c r="AQ169" s="333">
        <v>9.7567777616007854E-3</v>
      </c>
      <c r="AR169" s="333">
        <v>1.8284767094753674E-2</v>
      </c>
      <c r="AS169" s="474"/>
      <c r="AT169" s="474"/>
      <c r="AU169" s="474"/>
      <c r="AV169" s="474"/>
      <c r="AW169" s="474"/>
      <c r="AY169"/>
      <c r="AZ169"/>
    </row>
    <row r="170" spans="3:52" s="299" customFormat="1">
      <c r="C170" s="310" t="str">
        <v>Ethernet (20Mbps)</v>
      </c>
      <c r="E170" s="333">
        <v>2.2560631697687557E-6</v>
      </c>
      <c r="F170" s="333">
        <v>1.0624558001786258E-4</v>
      </c>
      <c r="G170" s="333">
        <v>4.0737711062081015E-4</v>
      </c>
      <c r="H170" s="333">
        <v>1.7033598773580885E-3</v>
      </c>
      <c r="I170" s="333">
        <v>4.3240049417199332E-3</v>
      </c>
      <c r="J170" s="333">
        <v>1.6868462457879492E-2</v>
      </c>
      <c r="K170" s="474"/>
      <c r="L170" s="474"/>
      <c r="M170" s="474"/>
      <c r="N170" s="474"/>
      <c r="O170" s="474"/>
      <c r="Q170"/>
      <c r="R170"/>
      <c r="T170" s="310" t="str">
        <v>Ethernet (20Mbps)</v>
      </c>
      <c r="V170" s="333">
        <v>1.5218800697629822E-4</v>
      </c>
      <c r="W170" s="333">
        <v>2.277660478263147E-4</v>
      </c>
      <c r="X170" s="333">
        <v>4.413958703002375E-4</v>
      </c>
      <c r="Y170" s="333">
        <v>9.095070774809078E-4</v>
      </c>
      <c r="Z170" s="333">
        <v>2.4423732647203436E-3</v>
      </c>
      <c r="AA170" s="333">
        <v>6.2927117812149975E-3</v>
      </c>
      <c r="AB170" s="474"/>
      <c r="AC170" s="474"/>
      <c r="AD170" s="474"/>
      <c r="AE170" s="474"/>
      <c r="AF170" s="474"/>
      <c r="AH170"/>
      <c r="AI170"/>
      <c r="AK170" s="310" t="str">
        <v>Ethernet (20Mbps)</v>
      </c>
      <c r="AM170" s="333">
        <v>9.1790477783069104E-5</v>
      </c>
      <c r="AN170" s="333">
        <v>1.7832150827573907E-4</v>
      </c>
      <c r="AO170" s="333">
        <v>4.2766027720281231E-4</v>
      </c>
      <c r="AP170" s="333">
        <v>1.1735426825567042E-3</v>
      </c>
      <c r="AQ170" s="333">
        <v>3.1128181257061779E-3</v>
      </c>
      <c r="AR170" s="333">
        <v>9.1643868772140844E-3</v>
      </c>
      <c r="AS170" s="474"/>
      <c r="AT170" s="474"/>
      <c r="AU170" s="474"/>
      <c r="AV170" s="474"/>
      <c r="AW170" s="474"/>
      <c r="AY170"/>
      <c r="AZ170"/>
    </row>
    <row r="171" spans="3:52" s="299" customFormat="1">
      <c r="C171" s="310" t="str">
        <v>Ethernet (30Mbps)</v>
      </c>
      <c r="E171" s="333">
        <v>0</v>
      </c>
      <c r="F171" s="333">
        <v>-4.3162266882256669E-5</v>
      </c>
      <c r="G171" s="333">
        <v>-5.866230392939668E-5</v>
      </c>
      <c r="H171" s="333">
        <v>5.6778662578603011E-5</v>
      </c>
      <c r="I171" s="333">
        <v>1.534695631488883E-4</v>
      </c>
      <c r="J171" s="333">
        <v>6.2125642358883593E-4</v>
      </c>
      <c r="K171" s="474"/>
      <c r="L171" s="474"/>
      <c r="M171" s="474"/>
      <c r="N171" s="474"/>
      <c r="O171" s="474"/>
      <c r="Q171"/>
      <c r="R171"/>
      <c r="T171" s="310" t="str">
        <v>Ethernet (30Mbps)</v>
      </c>
      <c r="V171" s="333">
        <v>0</v>
      </c>
      <c r="W171" s="333">
        <v>1.1388302391315735E-4</v>
      </c>
      <c r="X171" s="333">
        <v>2.2069793515011875E-4</v>
      </c>
      <c r="Y171" s="333">
        <v>7.0739439359626167E-4</v>
      </c>
      <c r="Z171" s="333">
        <v>1.3804718452767159E-3</v>
      </c>
      <c r="AA171" s="333">
        <v>2.5170847124859987E-3</v>
      </c>
      <c r="AB171" s="474"/>
      <c r="AC171" s="474"/>
      <c r="AD171" s="474"/>
      <c r="AE171" s="474"/>
      <c r="AF171" s="474"/>
      <c r="AH171"/>
      <c r="AI171"/>
      <c r="AK171" s="310" t="str">
        <v>Ethernet (30Mbps)</v>
      </c>
      <c r="AM171" s="333">
        <v>0</v>
      </c>
      <c r="AN171" s="333">
        <v>4.998405913789656E-5</v>
      </c>
      <c r="AO171" s="333">
        <v>1.0790197763270956E-4</v>
      </c>
      <c r="AP171" s="333">
        <v>4.9099946718464405E-4</v>
      </c>
      <c r="AQ171" s="333">
        <v>9.432782199109629E-4</v>
      </c>
      <c r="AR171" s="333">
        <v>2.0023030151896321E-3</v>
      </c>
      <c r="AS171" s="474"/>
      <c r="AT171" s="474"/>
      <c r="AU171" s="474"/>
      <c r="AV171" s="474"/>
      <c r="AW171" s="474"/>
      <c r="AY171"/>
      <c r="AZ171"/>
    </row>
    <row r="172" spans="3:52" s="299" customFormat="1">
      <c r="C172" s="310" t="str">
        <v>Ethernet (40Mbps)</v>
      </c>
      <c r="E172" s="333">
        <v>-4.7377326565143814E-5</v>
      </c>
      <c r="F172" s="333">
        <v>1.1620610314453716E-4</v>
      </c>
      <c r="G172" s="333">
        <v>9.7770506548994449E-5</v>
      </c>
      <c r="H172" s="333">
        <v>3.650056880053047E-4</v>
      </c>
      <c r="I172" s="333">
        <v>1.457960849914441E-3</v>
      </c>
      <c r="J172" s="333">
        <v>7.0319024177229158E-3</v>
      </c>
      <c r="K172" s="474"/>
      <c r="L172" s="474"/>
      <c r="M172" s="474"/>
      <c r="N172" s="474"/>
      <c r="O172" s="474"/>
      <c r="Q172"/>
      <c r="R172"/>
      <c r="T172" s="310" t="str">
        <v>Ethernet (40Mbps)</v>
      </c>
      <c r="V172" s="333">
        <v>1.5218800697629822E-4</v>
      </c>
      <c r="W172" s="333">
        <v>1.1388302391315735E-4</v>
      </c>
      <c r="X172" s="333">
        <v>2.2069793515011875E-4</v>
      </c>
      <c r="Y172" s="333">
        <v>2.0211268388464618E-4</v>
      </c>
      <c r="Z172" s="333">
        <v>8.4952113555490205E-4</v>
      </c>
      <c r="AA172" s="333">
        <v>2.6848903599850653E-3</v>
      </c>
      <c r="AB172" s="474"/>
      <c r="AC172" s="474"/>
      <c r="AD172" s="474"/>
      <c r="AE172" s="474"/>
      <c r="AF172" s="474"/>
      <c r="AH172"/>
      <c r="AI172"/>
      <c r="AK172" s="310" t="str">
        <v>Ethernet (40Mbps)</v>
      </c>
      <c r="AM172" s="333">
        <v>7.1796512325370877E-5</v>
      </c>
      <c r="AN172" s="333">
        <v>1.1482824396543804E-4</v>
      </c>
      <c r="AO172" s="333">
        <v>1.7106411088112493E-4</v>
      </c>
      <c r="AP172" s="333">
        <v>2.5629093067330324E-4</v>
      </c>
      <c r="AQ172" s="333">
        <v>1.066314509464567E-3</v>
      </c>
      <c r="AR172" s="333">
        <v>3.8652516080766889E-3</v>
      </c>
      <c r="AS172" s="474"/>
      <c r="AT172" s="474"/>
      <c r="AU172" s="474"/>
      <c r="AV172" s="474"/>
      <c r="AW172" s="474"/>
      <c r="AY172"/>
      <c r="AZ172"/>
    </row>
    <row r="173" spans="3:52" s="299" customFormat="1">
      <c r="C173" s="310" t="str">
        <v>Ethernet (50Mbps)</v>
      </c>
      <c r="E173" s="333">
        <v>0</v>
      </c>
      <c r="F173" s="333">
        <v>0</v>
      </c>
      <c r="G173" s="333">
        <v>0</v>
      </c>
      <c r="H173" s="333">
        <v>2.2103122218099006E-4</v>
      </c>
      <c r="I173" s="333">
        <v>9.4000107428694204E-4</v>
      </c>
      <c r="J173" s="333">
        <v>1.5238789810494285E-3</v>
      </c>
      <c r="K173" s="474"/>
      <c r="L173" s="474"/>
      <c r="M173" s="474"/>
      <c r="N173" s="474"/>
      <c r="O173" s="474"/>
      <c r="Q173"/>
      <c r="R173"/>
      <c r="T173" s="310" t="str">
        <v>Ethernet (50Mbps)</v>
      </c>
      <c r="V173" s="333">
        <v>0</v>
      </c>
      <c r="W173" s="333">
        <v>0</v>
      </c>
      <c r="X173" s="333">
        <v>0</v>
      </c>
      <c r="Y173" s="333">
        <v>2.0211268388464618E-4</v>
      </c>
      <c r="Z173" s="333">
        <v>5.3095070972181385E-4</v>
      </c>
      <c r="AA173" s="333">
        <v>5.8731976624673305E-4</v>
      </c>
      <c r="AB173" s="474"/>
      <c r="AC173" s="474"/>
      <c r="AD173" s="474"/>
      <c r="AE173" s="474"/>
      <c r="AF173" s="474"/>
      <c r="AH173"/>
      <c r="AI173"/>
      <c r="AK173" s="310" t="str">
        <v>Ethernet (50Mbps)</v>
      </c>
      <c r="AM173" s="333">
        <v>0</v>
      </c>
      <c r="AN173" s="333">
        <v>0</v>
      </c>
      <c r="AO173" s="333">
        <v>0</v>
      </c>
      <c r="AP173" s="333">
        <v>2.0840499362644919E-4</v>
      </c>
      <c r="AQ173" s="333">
        <v>6.7669959254482127E-4</v>
      </c>
      <c r="AR173" s="333">
        <v>8.4162736627476297E-4</v>
      </c>
      <c r="AS173" s="474"/>
      <c r="AT173" s="474"/>
      <c r="AU173" s="474"/>
      <c r="AV173" s="474"/>
      <c r="AW173" s="474"/>
      <c r="AY173"/>
      <c r="AZ173"/>
    </row>
    <row r="174" spans="3:52" s="299" customFormat="1">
      <c r="C174" s="310" t="str">
        <v>Ethernet (60Mbps)</v>
      </c>
      <c r="E174" s="333">
        <v>0</v>
      </c>
      <c r="F174" s="333">
        <v>0</v>
      </c>
      <c r="G174" s="333">
        <v>6.8439354584296088E-5</v>
      </c>
      <c r="H174" s="333">
        <v>1.1355732515720593E-4</v>
      </c>
      <c r="I174" s="333">
        <v>3.7791879925413784E-4</v>
      </c>
      <c r="J174" s="333">
        <v>1.1254645354870224E-3</v>
      </c>
      <c r="K174" s="474"/>
      <c r="L174" s="474"/>
      <c r="M174" s="474"/>
      <c r="N174" s="474"/>
      <c r="O174" s="474"/>
      <c r="Q174"/>
      <c r="R174"/>
      <c r="T174" s="310" t="str">
        <v>Ethernet (60Mbps)</v>
      </c>
      <c r="V174" s="333">
        <v>0</v>
      </c>
      <c r="W174" s="333">
        <v>0</v>
      </c>
      <c r="X174" s="333">
        <v>1.1034896757505938E-4</v>
      </c>
      <c r="Y174" s="333">
        <v>2.0211268388464618E-4</v>
      </c>
      <c r="Z174" s="333">
        <v>3.1857042583308831E-4</v>
      </c>
      <c r="AA174" s="333">
        <v>4.1951411874766649E-4</v>
      </c>
      <c r="AB174" s="474"/>
      <c r="AC174" s="474"/>
      <c r="AD174" s="474"/>
      <c r="AE174" s="474"/>
      <c r="AF174" s="474"/>
      <c r="AH174"/>
      <c r="AI174"/>
      <c r="AK174" s="310" t="str">
        <v>Ethernet (60Mbps)</v>
      </c>
      <c r="AM174" s="333">
        <v>0</v>
      </c>
      <c r="AN174" s="333">
        <v>0</v>
      </c>
      <c r="AO174" s="333">
        <v>9.342732209661438E-5</v>
      </c>
      <c r="AP174" s="333">
        <v>1.7265915329569903E-4</v>
      </c>
      <c r="AQ174" s="333">
        <v>3.3971686615633958E-4</v>
      </c>
      <c r="AR174" s="333">
        <v>6.1120360659024174E-4</v>
      </c>
      <c r="AS174" s="474"/>
      <c r="AT174" s="474"/>
      <c r="AU174" s="474"/>
      <c r="AV174" s="474"/>
      <c r="AW174" s="474"/>
      <c r="AY174"/>
      <c r="AZ174"/>
    </row>
    <row r="175" spans="3:52" s="299" customFormat="1">
      <c r="C175" s="310" t="str">
        <v>Ethernet (70Mbps)</v>
      </c>
      <c r="E175" s="333">
        <v>0</v>
      </c>
      <c r="F175" s="333">
        <v>0</v>
      </c>
      <c r="G175" s="333">
        <v>0</v>
      </c>
      <c r="H175" s="333">
        <v>4.6639615689566711E-5</v>
      </c>
      <c r="I175" s="333">
        <v>1.8416347577866619E-4</v>
      </c>
      <c r="J175" s="333">
        <v>3.1963192807831436E-4</v>
      </c>
      <c r="K175" s="474"/>
      <c r="L175" s="474"/>
      <c r="M175" s="474"/>
      <c r="N175" s="474"/>
      <c r="O175" s="474"/>
      <c r="Q175"/>
      <c r="R175"/>
      <c r="T175" s="310" t="str">
        <v>Ethernet (70Mbps)</v>
      </c>
      <c r="V175" s="333">
        <v>0</v>
      </c>
      <c r="W175" s="333">
        <v>0</v>
      </c>
      <c r="X175" s="333">
        <v>0</v>
      </c>
      <c r="Y175" s="333">
        <v>1.0105634194232309E-4</v>
      </c>
      <c r="Z175" s="333">
        <v>1.0619014194436276E-4</v>
      </c>
      <c r="AA175" s="333">
        <v>1.6780564749906658E-4</v>
      </c>
      <c r="AB175" s="474"/>
      <c r="AC175" s="474"/>
      <c r="AD175" s="474"/>
      <c r="AE175" s="474"/>
      <c r="AF175" s="474"/>
      <c r="AH175"/>
      <c r="AI175"/>
      <c r="AK175" s="310" t="str">
        <v>Ethernet (70Mbps)</v>
      </c>
      <c r="AM175" s="333">
        <v>0</v>
      </c>
      <c r="AN175" s="333">
        <v>0</v>
      </c>
      <c r="AO175" s="333">
        <v>0</v>
      </c>
      <c r="AP175" s="333">
        <v>8.2957327560042891E-5</v>
      </c>
      <c r="AQ175" s="333">
        <v>1.3397284862503531E-4</v>
      </c>
      <c r="AR175" s="333">
        <v>2.0903163345386267E-4</v>
      </c>
      <c r="AS175" s="474"/>
      <c r="AT175" s="474"/>
      <c r="AU175" s="474"/>
      <c r="AV175" s="474"/>
      <c r="AW175" s="474"/>
      <c r="AY175"/>
      <c r="AZ175"/>
    </row>
    <row r="176" spans="3:52" s="299" customFormat="1">
      <c r="C176" s="310" t="str">
        <v>Ethernet (80Mbps)</v>
      </c>
      <c r="E176" s="333">
        <v>0</v>
      </c>
      <c r="F176" s="333">
        <v>0</v>
      </c>
      <c r="G176" s="333">
        <v>0</v>
      </c>
      <c r="H176" s="333">
        <v>-3.4472759422723232E-5</v>
      </c>
      <c r="I176" s="333">
        <v>-3.0693912629777704E-5</v>
      </c>
      <c r="J176" s="333">
        <v>1.9808175824571591E-4</v>
      </c>
      <c r="K176" s="474"/>
      <c r="L176" s="474"/>
      <c r="M176" s="474"/>
      <c r="N176" s="474"/>
      <c r="O176" s="474"/>
      <c r="Q176"/>
      <c r="R176"/>
      <c r="T176" s="310" t="str">
        <v>Ethernet (80Mbps)</v>
      </c>
      <c r="V176" s="333">
        <v>0</v>
      </c>
      <c r="W176" s="333">
        <v>0</v>
      </c>
      <c r="X176" s="333">
        <v>0</v>
      </c>
      <c r="Y176" s="333">
        <v>1.0105634194232309E-4</v>
      </c>
      <c r="Z176" s="333">
        <v>1.0619014194436276E-4</v>
      </c>
      <c r="AA176" s="333">
        <v>8.3902823749533291E-5</v>
      </c>
      <c r="AB176" s="474"/>
      <c r="AC176" s="474"/>
      <c r="AD176" s="474"/>
      <c r="AE176" s="474"/>
      <c r="AF176" s="474"/>
      <c r="AH176"/>
      <c r="AI176"/>
      <c r="AK176" s="310" t="str">
        <v>Ethernet (80Mbps)</v>
      </c>
      <c r="AM176" s="333">
        <v>0</v>
      </c>
      <c r="AN176" s="333">
        <v>0</v>
      </c>
      <c r="AO176" s="333">
        <v>0</v>
      </c>
      <c r="AP176" s="333">
        <v>5.5979334857589913E-5</v>
      </c>
      <c r="AQ176" s="333">
        <v>5.7416935125015136E-5</v>
      </c>
      <c r="AR176" s="333">
        <v>1.1490627803896544E-4</v>
      </c>
      <c r="AS176" s="474"/>
      <c r="AT176" s="474"/>
      <c r="AU176" s="474"/>
      <c r="AV176" s="474"/>
      <c r="AW176" s="474"/>
      <c r="AY176"/>
      <c r="AZ176"/>
    </row>
    <row r="177" spans="3:52" s="299" customFormat="1">
      <c r="C177" s="310" t="str">
        <v>Ethernet (90Mbps)</v>
      </c>
      <c r="E177" s="333">
        <v>0</v>
      </c>
      <c r="F177" s="333">
        <v>0</v>
      </c>
      <c r="G177" s="333">
        <v>0</v>
      </c>
      <c r="H177" s="333">
        <v>0</v>
      </c>
      <c r="I177" s="333">
        <v>0</v>
      </c>
      <c r="J177" s="333">
        <v>7.6531588413117482E-5</v>
      </c>
      <c r="K177" s="474"/>
      <c r="L177" s="474"/>
      <c r="M177" s="474"/>
      <c r="N177" s="474"/>
      <c r="O177" s="474"/>
      <c r="Q177"/>
      <c r="R177"/>
      <c r="T177" s="310" t="str">
        <v>Ethernet (90Mbps)</v>
      </c>
      <c r="V177" s="333">
        <v>0</v>
      </c>
      <c r="W177" s="333">
        <v>0</v>
      </c>
      <c r="X177" s="333">
        <v>0</v>
      </c>
      <c r="Y177" s="333">
        <v>0</v>
      </c>
      <c r="Z177" s="333">
        <v>0</v>
      </c>
      <c r="AA177" s="333">
        <v>1.6780564749906658E-4</v>
      </c>
      <c r="AB177" s="474"/>
      <c r="AC177" s="474"/>
      <c r="AD177" s="474"/>
      <c r="AE177" s="474"/>
      <c r="AF177" s="474"/>
      <c r="AH177"/>
      <c r="AI177"/>
      <c r="AK177" s="310" t="str">
        <v>Ethernet (90Mbps)</v>
      </c>
      <c r="AM177" s="333">
        <v>0</v>
      </c>
      <c r="AN177" s="333">
        <v>0</v>
      </c>
      <c r="AO177" s="333">
        <v>0</v>
      </c>
      <c r="AP177" s="333">
        <v>0</v>
      </c>
      <c r="AQ177" s="333">
        <v>0</v>
      </c>
      <c r="AR177" s="333">
        <v>1.4302164394211657E-4</v>
      </c>
      <c r="AS177" s="474"/>
      <c r="AT177" s="474"/>
      <c r="AU177" s="474"/>
      <c r="AV177" s="474"/>
      <c r="AW177" s="474"/>
      <c r="AY177"/>
      <c r="AZ177"/>
    </row>
    <row r="178" spans="3:52" s="299" customFormat="1">
      <c r="C178" s="310" t="str">
        <v>GigaEthernet (100Mbps)</v>
      </c>
      <c r="E178" s="333">
        <v>0</v>
      </c>
      <c r="F178" s="333">
        <v>0</v>
      </c>
      <c r="G178" s="333">
        <v>0</v>
      </c>
      <c r="H178" s="333">
        <v>0</v>
      </c>
      <c r="I178" s="333">
        <v>0</v>
      </c>
      <c r="J178" s="333">
        <v>0</v>
      </c>
      <c r="K178" s="474"/>
      <c r="L178" s="474"/>
      <c r="M178" s="474"/>
      <c r="N178" s="474"/>
      <c r="O178" s="474"/>
      <c r="Q178"/>
      <c r="R178"/>
      <c r="T178" s="310" t="str">
        <v>GigaEthernet (100Mbps)</v>
      </c>
      <c r="V178" s="333">
        <v>2.6176337199923294E-4</v>
      </c>
      <c r="W178" s="333">
        <v>2.7559691786984081E-4</v>
      </c>
      <c r="X178" s="333">
        <v>2.9794221245266032E-4</v>
      </c>
      <c r="Y178" s="333">
        <v>1.1975176520165288E-3</v>
      </c>
      <c r="Z178" s="333">
        <v>1.6799280455598187E-3</v>
      </c>
      <c r="AA178" s="333">
        <v>1.1318490923812041E-3</v>
      </c>
      <c r="AB178" s="474"/>
      <c r="AC178" s="474"/>
      <c r="AD178" s="474"/>
      <c r="AE178" s="474"/>
      <c r="AF178" s="474"/>
      <c r="AH178"/>
      <c r="AI178"/>
      <c r="AK178" s="310" t="str">
        <v>GigaEthernet (100Mbps)</v>
      </c>
      <c r="AM178" s="333">
        <v>1.5631645721473153E-4</v>
      </c>
      <c r="AN178" s="333">
        <v>1.6346138258609415E-4</v>
      </c>
      <c r="AO178" s="333">
        <v>1.7764349976116819E-4</v>
      </c>
      <c r="AP178" s="333">
        <v>7.9922303381016935E-4</v>
      </c>
      <c r="AQ178" s="333">
        <v>1.0813522781877849E-3</v>
      </c>
      <c r="AR178" s="333">
        <v>8.2451366529023601E-4</v>
      </c>
      <c r="AS178" s="474"/>
      <c r="AT178" s="474"/>
      <c r="AU178" s="474"/>
      <c r="AV178" s="474"/>
      <c r="AW178" s="474"/>
      <c r="AY178"/>
      <c r="AZ178"/>
    </row>
    <row r="179" spans="3:52" s="299" customFormat="1">
      <c r="C179" s="310" t="str">
        <v>GigaEthernet (150Mbps)</v>
      </c>
      <c r="E179" s="333">
        <v>0</v>
      </c>
      <c r="F179" s="333">
        <v>0</v>
      </c>
      <c r="G179" s="333">
        <v>0</v>
      </c>
      <c r="H179" s="333">
        <v>0</v>
      </c>
      <c r="I179" s="333">
        <v>0</v>
      </c>
      <c r="J179" s="333">
        <v>0</v>
      </c>
      <c r="K179" s="474"/>
      <c r="L179" s="474"/>
      <c r="M179" s="474"/>
      <c r="N179" s="474"/>
      <c r="O179" s="474"/>
      <c r="Q179"/>
      <c r="R179"/>
      <c r="T179" s="310" t="str">
        <v>GigaEthernet (150Mbps)</v>
      </c>
      <c r="V179" s="333">
        <v>0</v>
      </c>
      <c r="W179" s="333">
        <v>0</v>
      </c>
      <c r="X179" s="333">
        <v>0</v>
      </c>
      <c r="Y179" s="333">
        <v>0</v>
      </c>
      <c r="Z179" s="333">
        <v>0</v>
      </c>
      <c r="AA179" s="333">
        <v>3.2722101262317989E-4</v>
      </c>
      <c r="AB179" s="474"/>
      <c r="AC179" s="474"/>
      <c r="AD179" s="474"/>
      <c r="AE179" s="474"/>
      <c r="AF179" s="474"/>
      <c r="AH179"/>
      <c r="AI179"/>
      <c r="AK179" s="310" t="str">
        <v>GigaEthernet (150Mbps)</v>
      </c>
      <c r="AM179" s="333">
        <v>0</v>
      </c>
      <c r="AN179" s="333">
        <v>0</v>
      </c>
      <c r="AO179" s="333">
        <v>0</v>
      </c>
      <c r="AP179" s="333">
        <v>0</v>
      </c>
      <c r="AQ179" s="333">
        <v>0</v>
      </c>
      <c r="AR179" s="333">
        <v>2.3836940657019431E-4</v>
      </c>
      <c r="AS179" s="474"/>
      <c r="AT179" s="474"/>
      <c r="AU179" s="474"/>
      <c r="AV179" s="474"/>
      <c r="AW179" s="474"/>
      <c r="AY179"/>
      <c r="AZ179"/>
    </row>
    <row r="180" spans="3:52" s="299" customFormat="1">
      <c r="C180" s="310" t="str">
        <v>GigaEthernet (200Mbps)</v>
      </c>
      <c r="E180" s="333">
        <v>0</v>
      </c>
      <c r="F180" s="333">
        <v>0</v>
      </c>
      <c r="G180" s="333">
        <v>0</v>
      </c>
      <c r="H180" s="333">
        <v>0</v>
      </c>
      <c r="I180" s="333">
        <v>0</v>
      </c>
      <c r="J180" s="333">
        <v>0</v>
      </c>
      <c r="K180" s="474"/>
      <c r="L180" s="474"/>
      <c r="M180" s="474"/>
      <c r="N180" s="474"/>
      <c r="O180" s="474"/>
      <c r="Q180"/>
      <c r="R180"/>
      <c r="T180" s="310" t="str">
        <v>GigaEthernet (200Mbps)</v>
      </c>
      <c r="V180" s="333">
        <v>6.0875202790519286E-4</v>
      </c>
      <c r="W180" s="333">
        <v>4.464214537395768E-4</v>
      </c>
      <c r="X180" s="333">
        <v>2.4497470801663183E-4</v>
      </c>
      <c r="Y180" s="333">
        <v>9.2971834586937254E-5</v>
      </c>
      <c r="Z180" s="333">
        <v>1.199948603971299E-4</v>
      </c>
      <c r="AA180" s="333">
        <v>1.6109342159910392E-4</v>
      </c>
      <c r="AB180" s="474"/>
      <c r="AC180" s="474"/>
      <c r="AD180" s="474"/>
      <c r="AE180" s="474"/>
      <c r="AF180" s="474"/>
      <c r="AH180"/>
      <c r="AI180"/>
      <c r="AK180" s="310" t="str">
        <v>GigaEthernet (200Mbps)</v>
      </c>
      <c r="AM180" s="333">
        <v>3.6352664468542215E-4</v>
      </c>
      <c r="AN180" s="333">
        <v>2.6478042137912771E-4</v>
      </c>
      <c r="AO180" s="333">
        <v>1.4606243313696051E-4</v>
      </c>
      <c r="AP180" s="333">
        <v>6.2049383215641838E-5</v>
      </c>
      <c r="AQ180" s="333">
        <v>7.7239448441984647E-5</v>
      </c>
      <c r="AR180" s="333">
        <v>1.1735109246532642E-4</v>
      </c>
      <c r="AS180" s="474"/>
      <c r="AT180" s="474"/>
      <c r="AU180" s="474"/>
      <c r="AV180" s="474"/>
      <c r="AW180" s="474"/>
      <c r="AY180"/>
      <c r="AZ180"/>
    </row>
    <row r="181" spans="3:52" s="299" customFormat="1">
      <c r="C181" s="310" t="str">
        <v>GigaEthernet (250Mbps)</v>
      </c>
      <c r="E181" s="333">
        <v>0</v>
      </c>
      <c r="F181" s="333">
        <v>0</v>
      </c>
      <c r="G181" s="333">
        <v>0</v>
      </c>
      <c r="H181" s="333">
        <v>0</v>
      </c>
      <c r="I181" s="333">
        <v>0</v>
      </c>
      <c r="J181" s="333">
        <v>0</v>
      </c>
      <c r="K181" s="474"/>
      <c r="L181" s="474"/>
      <c r="M181" s="474"/>
      <c r="N181" s="474"/>
      <c r="O181" s="474"/>
      <c r="Q181"/>
      <c r="R181"/>
      <c r="T181" s="310" t="str">
        <v>GigaEthernet (250Mbps)</v>
      </c>
      <c r="V181" s="333">
        <v>0</v>
      </c>
      <c r="W181" s="333">
        <v>0</v>
      </c>
      <c r="X181" s="333">
        <v>0</v>
      </c>
      <c r="Y181" s="333">
        <v>0</v>
      </c>
      <c r="Z181" s="333">
        <v>0</v>
      </c>
      <c r="AA181" s="333">
        <v>0</v>
      </c>
      <c r="AB181" s="474"/>
      <c r="AC181" s="474"/>
      <c r="AD181" s="474"/>
      <c r="AE181" s="474"/>
      <c r="AF181" s="474"/>
      <c r="AH181"/>
      <c r="AI181"/>
      <c r="AK181" s="310" t="str">
        <v>GigaEthernet (250Mbps)</v>
      </c>
      <c r="AM181" s="333">
        <v>0</v>
      </c>
      <c r="AN181" s="333">
        <v>0</v>
      </c>
      <c r="AO181" s="333">
        <v>0</v>
      </c>
      <c r="AP181" s="333">
        <v>0</v>
      </c>
      <c r="AQ181" s="333">
        <v>0</v>
      </c>
      <c r="AR181" s="333">
        <v>0</v>
      </c>
      <c r="AS181" s="474"/>
      <c r="AT181" s="474"/>
      <c r="AU181" s="474"/>
      <c r="AV181" s="474"/>
      <c r="AW181" s="474"/>
      <c r="AY181"/>
      <c r="AZ181"/>
    </row>
    <row r="182" spans="3:52" s="299" customFormat="1">
      <c r="C182" s="310" t="str">
        <v>GigaEthernet (300Mbps)</v>
      </c>
      <c r="E182" s="333">
        <v>0</v>
      </c>
      <c r="F182" s="333">
        <v>0</v>
      </c>
      <c r="G182" s="333">
        <v>0</v>
      </c>
      <c r="H182" s="333">
        <v>0</v>
      </c>
      <c r="I182" s="333">
        <v>0</v>
      </c>
      <c r="J182" s="333">
        <v>0</v>
      </c>
      <c r="K182" s="474"/>
      <c r="L182" s="474"/>
      <c r="M182" s="474"/>
      <c r="N182" s="474"/>
      <c r="O182" s="474"/>
      <c r="Q182"/>
      <c r="R182"/>
      <c r="T182" s="310" t="str">
        <v>GigaEthernet (300Mbps)</v>
      </c>
      <c r="V182" s="333">
        <v>0</v>
      </c>
      <c r="W182" s="333">
        <v>0</v>
      </c>
      <c r="X182" s="333">
        <v>0</v>
      </c>
      <c r="Y182" s="333">
        <v>1.0509859562001603E-4</v>
      </c>
      <c r="Z182" s="333">
        <v>2.1875169240538731E-4</v>
      </c>
      <c r="AA182" s="333">
        <v>1.2082006619932795E-4</v>
      </c>
      <c r="AB182" s="474"/>
      <c r="AC182" s="474"/>
      <c r="AD182" s="474"/>
      <c r="AE182" s="474"/>
      <c r="AF182" s="474"/>
      <c r="AH182"/>
      <c r="AI182"/>
      <c r="AK182" s="310" t="str">
        <v>GigaEthernet (300Mbps)</v>
      </c>
      <c r="AM182" s="333">
        <v>0</v>
      </c>
      <c r="AN182" s="333">
        <v>0</v>
      </c>
      <c r="AO182" s="333">
        <v>0</v>
      </c>
      <c r="AP182" s="333">
        <v>7.0142781026377734E-5</v>
      </c>
      <c r="AQ182" s="333">
        <v>1.4080819804467999E-4</v>
      </c>
      <c r="AR182" s="333">
        <v>8.8013319348994811E-5</v>
      </c>
      <c r="AS182" s="474"/>
      <c r="AT182" s="474"/>
      <c r="AU182" s="474"/>
      <c r="AV182" s="474"/>
      <c r="AW182" s="474"/>
      <c r="AY182"/>
      <c r="AZ182"/>
    </row>
    <row r="183" spans="3:52" s="299" customFormat="1">
      <c r="C183" s="310" t="str">
        <v>GigaEthernet (350Mbps)</v>
      </c>
      <c r="E183" s="333">
        <v>0</v>
      </c>
      <c r="F183" s="333">
        <v>0</v>
      </c>
      <c r="G183" s="333">
        <v>0</v>
      </c>
      <c r="H183" s="333">
        <v>0</v>
      </c>
      <c r="I183" s="333">
        <v>0</v>
      </c>
      <c r="J183" s="333">
        <v>0</v>
      </c>
      <c r="K183" s="474"/>
      <c r="L183" s="474"/>
      <c r="M183" s="474"/>
      <c r="N183" s="474"/>
      <c r="O183" s="474"/>
      <c r="Q183"/>
      <c r="R183"/>
      <c r="T183" s="310" t="str">
        <v>GigaEthernet (350Mbps)</v>
      </c>
      <c r="V183" s="333">
        <v>0</v>
      </c>
      <c r="W183" s="333">
        <v>0</v>
      </c>
      <c r="X183" s="333">
        <v>0</v>
      </c>
      <c r="Y183" s="333">
        <v>0</v>
      </c>
      <c r="Z183" s="333">
        <v>0</v>
      </c>
      <c r="AA183" s="333">
        <v>0</v>
      </c>
      <c r="AB183" s="474"/>
      <c r="AC183" s="474"/>
      <c r="AD183" s="474"/>
      <c r="AE183" s="474"/>
      <c r="AF183" s="474"/>
      <c r="AH183"/>
      <c r="AI183"/>
      <c r="AK183" s="310" t="str">
        <v>GigaEthernet (350Mbps)</v>
      </c>
      <c r="AM183" s="333">
        <v>0</v>
      </c>
      <c r="AN183" s="333">
        <v>0</v>
      </c>
      <c r="AO183" s="333">
        <v>0</v>
      </c>
      <c r="AP183" s="333">
        <v>0</v>
      </c>
      <c r="AQ183" s="333">
        <v>0</v>
      </c>
      <c r="AR183" s="333">
        <v>0</v>
      </c>
      <c r="AS183" s="474"/>
      <c r="AT183" s="474"/>
      <c r="AU183" s="474"/>
      <c r="AV183" s="474"/>
      <c r="AW183" s="474"/>
      <c r="AY183"/>
      <c r="AZ183"/>
    </row>
    <row r="184" spans="3:52" s="299" customFormat="1">
      <c r="C184" s="310" t="str">
        <v>GigaEthernet (400Mbps)</v>
      </c>
      <c r="E184" s="333">
        <v>0</v>
      </c>
      <c r="F184" s="333">
        <v>0</v>
      </c>
      <c r="G184" s="333">
        <v>0</v>
      </c>
      <c r="H184" s="333">
        <v>0</v>
      </c>
      <c r="I184" s="333">
        <v>0</v>
      </c>
      <c r="J184" s="333">
        <v>0</v>
      </c>
      <c r="K184" s="474"/>
      <c r="L184" s="474"/>
      <c r="M184" s="474"/>
      <c r="N184" s="474"/>
      <c r="O184" s="474"/>
      <c r="Q184"/>
      <c r="R184"/>
      <c r="T184" s="310" t="str">
        <v>GigaEthernet (400Mbps)</v>
      </c>
      <c r="V184" s="333">
        <v>0</v>
      </c>
      <c r="W184" s="333">
        <v>0</v>
      </c>
      <c r="X184" s="333">
        <v>0</v>
      </c>
      <c r="Y184" s="333">
        <v>0</v>
      </c>
      <c r="Z184" s="333">
        <v>0</v>
      </c>
      <c r="AA184" s="333">
        <v>0</v>
      </c>
      <c r="AB184" s="474"/>
      <c r="AC184" s="474"/>
      <c r="AD184" s="474"/>
      <c r="AE184" s="474"/>
      <c r="AF184" s="474"/>
      <c r="AH184"/>
      <c r="AI184"/>
      <c r="AK184" s="310" t="str">
        <v>GigaEthernet (400Mbps)</v>
      </c>
      <c r="AM184" s="333">
        <v>0</v>
      </c>
      <c r="AN184" s="333">
        <v>0</v>
      </c>
      <c r="AO184" s="333">
        <v>0</v>
      </c>
      <c r="AP184" s="333">
        <v>0</v>
      </c>
      <c r="AQ184" s="333">
        <v>0</v>
      </c>
      <c r="AR184" s="333">
        <v>0</v>
      </c>
      <c r="AS184" s="474"/>
      <c r="AT184" s="474"/>
      <c r="AU184" s="474"/>
      <c r="AV184" s="474"/>
      <c r="AW184" s="474"/>
      <c r="AY184"/>
      <c r="AZ184"/>
    </row>
    <row r="185" spans="3:52" s="299" customFormat="1">
      <c r="C185" s="310" t="str">
        <v>GigaEthernet (450Mbps)</v>
      </c>
      <c r="E185" s="333">
        <v>0</v>
      </c>
      <c r="F185" s="333">
        <v>0</v>
      </c>
      <c r="G185" s="333">
        <v>0</v>
      </c>
      <c r="H185" s="333">
        <v>0</v>
      </c>
      <c r="I185" s="333">
        <v>0</v>
      </c>
      <c r="J185" s="333">
        <v>0</v>
      </c>
      <c r="K185" s="474"/>
      <c r="L185" s="474"/>
      <c r="M185" s="474"/>
      <c r="N185" s="474"/>
      <c r="O185" s="474"/>
      <c r="Q185"/>
      <c r="R185"/>
      <c r="T185" s="310" t="str">
        <v>GigaEthernet (450Mbps)</v>
      </c>
      <c r="V185" s="333">
        <v>0</v>
      </c>
      <c r="W185" s="333">
        <v>0</v>
      </c>
      <c r="X185" s="333">
        <v>0</v>
      </c>
      <c r="Y185" s="333">
        <v>0</v>
      </c>
      <c r="Z185" s="333">
        <v>0</v>
      </c>
      <c r="AA185" s="333">
        <v>0</v>
      </c>
      <c r="AB185" s="474"/>
      <c r="AC185" s="474"/>
      <c r="AD185" s="474"/>
      <c r="AE185" s="474"/>
      <c r="AF185" s="474"/>
      <c r="AH185"/>
      <c r="AI185"/>
      <c r="AK185" s="310" t="str">
        <v>GigaEthernet (450Mbps)</v>
      </c>
      <c r="AM185" s="333">
        <v>0</v>
      </c>
      <c r="AN185" s="333">
        <v>0</v>
      </c>
      <c r="AO185" s="333">
        <v>0</v>
      </c>
      <c r="AP185" s="333">
        <v>0</v>
      </c>
      <c r="AQ185" s="333">
        <v>0</v>
      </c>
      <c r="AR185" s="333">
        <v>0</v>
      </c>
      <c r="AS185" s="474"/>
      <c r="AT185" s="474"/>
      <c r="AU185" s="474"/>
      <c r="AV185" s="474"/>
      <c r="AW185" s="474"/>
      <c r="AY185"/>
      <c r="AZ185"/>
    </row>
    <row r="186" spans="3:52" s="299" customFormat="1">
      <c r="C186" s="310" t="str">
        <v>GigaEthernet (500Mbps)</v>
      </c>
      <c r="E186" s="333">
        <v>0</v>
      </c>
      <c r="F186" s="333">
        <v>0</v>
      </c>
      <c r="G186" s="333">
        <v>0</v>
      </c>
      <c r="H186" s="333">
        <v>0</v>
      </c>
      <c r="I186" s="333">
        <v>0</v>
      </c>
      <c r="J186" s="333">
        <v>0</v>
      </c>
      <c r="K186" s="474"/>
      <c r="L186" s="474"/>
      <c r="M186" s="474"/>
      <c r="N186" s="474"/>
      <c r="O186" s="474"/>
      <c r="Q186"/>
      <c r="R186"/>
      <c r="T186" s="310" t="str">
        <v>GigaEthernet (500Mbps)</v>
      </c>
      <c r="V186" s="333">
        <v>0</v>
      </c>
      <c r="W186" s="333">
        <v>0</v>
      </c>
      <c r="X186" s="333">
        <v>0</v>
      </c>
      <c r="Y186" s="333">
        <v>0</v>
      </c>
      <c r="Z186" s="333">
        <v>0</v>
      </c>
      <c r="AA186" s="333">
        <v>0</v>
      </c>
      <c r="AB186" s="474"/>
      <c r="AC186" s="474"/>
      <c r="AD186" s="474"/>
      <c r="AE186" s="474"/>
      <c r="AF186" s="474"/>
      <c r="AH186"/>
      <c r="AI186"/>
      <c r="AK186" s="310" t="str">
        <v>GigaEthernet (500Mbps)</v>
      </c>
      <c r="AM186" s="333">
        <v>0</v>
      </c>
      <c r="AN186" s="333">
        <v>0</v>
      </c>
      <c r="AO186" s="333">
        <v>0</v>
      </c>
      <c r="AP186" s="333">
        <v>0</v>
      </c>
      <c r="AQ186" s="333">
        <v>0</v>
      </c>
      <c r="AR186" s="333">
        <v>0</v>
      </c>
      <c r="AS186" s="474"/>
      <c r="AT186" s="474"/>
      <c r="AU186" s="474"/>
      <c r="AV186" s="474"/>
      <c r="AW186" s="474"/>
      <c r="AY186"/>
      <c r="AZ186"/>
    </row>
    <row r="187" spans="3:52" s="299" customFormat="1">
      <c r="C187" s="310" t="str">
        <v>GigaEthernet (550Mbps)</v>
      </c>
      <c r="E187" s="333">
        <v>0</v>
      </c>
      <c r="F187" s="333">
        <v>0</v>
      </c>
      <c r="G187" s="333">
        <v>0</v>
      </c>
      <c r="H187" s="333">
        <v>0</v>
      </c>
      <c r="I187" s="333">
        <v>0</v>
      </c>
      <c r="J187" s="333">
        <v>0</v>
      </c>
      <c r="K187" s="474"/>
      <c r="L187" s="474"/>
      <c r="M187" s="474"/>
      <c r="N187" s="474"/>
      <c r="O187" s="474"/>
      <c r="Q187"/>
      <c r="R187"/>
      <c r="T187" s="310" t="str">
        <v>GigaEthernet (550Mbps)</v>
      </c>
      <c r="V187" s="333">
        <v>0</v>
      </c>
      <c r="W187" s="333">
        <v>0</v>
      </c>
      <c r="X187" s="333">
        <v>0</v>
      </c>
      <c r="Y187" s="333">
        <v>0</v>
      </c>
      <c r="Z187" s="333">
        <v>0</v>
      </c>
      <c r="AA187" s="333">
        <v>0</v>
      </c>
      <c r="AB187" s="474"/>
      <c r="AC187" s="474"/>
      <c r="AD187" s="474"/>
      <c r="AE187" s="474"/>
      <c r="AF187" s="474"/>
      <c r="AH187"/>
      <c r="AI187"/>
      <c r="AK187" s="310" t="str">
        <v>GigaEthernet (550Mbps)</v>
      </c>
      <c r="AM187" s="333">
        <v>0</v>
      </c>
      <c r="AN187" s="333">
        <v>0</v>
      </c>
      <c r="AO187" s="333">
        <v>0</v>
      </c>
      <c r="AP187" s="333">
        <v>0</v>
      </c>
      <c r="AQ187" s="333">
        <v>0</v>
      </c>
      <c r="AR187" s="333">
        <v>0</v>
      </c>
      <c r="AS187" s="474"/>
      <c r="AT187" s="474"/>
      <c r="AU187" s="474"/>
      <c r="AV187" s="474"/>
      <c r="AW187" s="474"/>
      <c r="AY187"/>
      <c r="AZ187"/>
    </row>
    <row r="188" spans="3:52" s="299" customFormat="1">
      <c r="C188" s="310" t="str">
        <v>GigaEthernet (600Mbps)</v>
      </c>
      <c r="E188" s="333">
        <v>0</v>
      </c>
      <c r="F188" s="333">
        <v>0</v>
      </c>
      <c r="G188" s="333">
        <v>0</v>
      </c>
      <c r="H188" s="333">
        <v>0</v>
      </c>
      <c r="I188" s="333">
        <v>0</v>
      </c>
      <c r="J188" s="333">
        <v>0</v>
      </c>
      <c r="K188" s="474"/>
      <c r="L188" s="474"/>
      <c r="M188" s="474"/>
      <c r="N188" s="474"/>
      <c r="O188" s="474"/>
      <c r="Q188"/>
      <c r="R188"/>
      <c r="T188" s="310" t="str">
        <v>GigaEthernet (600Mbps)</v>
      </c>
      <c r="V188" s="333">
        <v>0</v>
      </c>
      <c r="W188" s="333">
        <v>0</v>
      </c>
      <c r="X188" s="333">
        <v>0</v>
      </c>
      <c r="Y188" s="333">
        <v>0</v>
      </c>
      <c r="Z188" s="333">
        <v>0</v>
      </c>
      <c r="AA188" s="333">
        <v>0</v>
      </c>
      <c r="AB188" s="474"/>
      <c r="AC188" s="474"/>
      <c r="AD188" s="474"/>
      <c r="AE188" s="474"/>
      <c r="AF188" s="474"/>
      <c r="AH188"/>
      <c r="AI188"/>
      <c r="AK188" s="310" t="str">
        <v>GigaEthernet (600Mbps)</v>
      </c>
      <c r="AM188" s="333">
        <v>0</v>
      </c>
      <c r="AN188" s="333">
        <v>0</v>
      </c>
      <c r="AO188" s="333">
        <v>0</v>
      </c>
      <c r="AP188" s="333">
        <v>0</v>
      </c>
      <c r="AQ188" s="333">
        <v>0</v>
      </c>
      <c r="AR188" s="333">
        <v>0</v>
      </c>
      <c r="AS188" s="474"/>
      <c r="AT188" s="474"/>
      <c r="AU188" s="474"/>
      <c r="AV188" s="474"/>
      <c r="AW188" s="474"/>
      <c r="AY188"/>
      <c r="AZ188"/>
    </row>
    <row r="189" spans="3:52" s="299" customFormat="1">
      <c r="C189" s="310" t="str">
        <v>GigaEthernet (750Mbps)</v>
      </c>
      <c r="E189" s="333">
        <v>0</v>
      </c>
      <c r="F189" s="333">
        <v>0</v>
      </c>
      <c r="G189" s="333">
        <v>0</v>
      </c>
      <c r="H189" s="333">
        <v>0</v>
      </c>
      <c r="I189" s="333">
        <v>0</v>
      </c>
      <c r="J189" s="333">
        <v>0</v>
      </c>
      <c r="K189" s="474"/>
      <c r="L189" s="474"/>
      <c r="M189" s="474"/>
      <c r="N189" s="474"/>
      <c r="O189" s="474"/>
      <c r="Q189"/>
      <c r="R189"/>
      <c r="T189" s="310" t="str">
        <v>GigaEthernet (750Mbps)</v>
      </c>
      <c r="V189" s="333">
        <v>0</v>
      </c>
      <c r="W189" s="333">
        <v>0</v>
      </c>
      <c r="X189" s="333">
        <v>0</v>
      </c>
      <c r="Y189" s="333">
        <v>0</v>
      </c>
      <c r="Z189" s="333">
        <v>0</v>
      </c>
      <c r="AA189" s="333">
        <v>0</v>
      </c>
      <c r="AB189" s="474"/>
      <c r="AC189" s="474"/>
      <c r="AD189" s="474"/>
      <c r="AE189" s="474"/>
      <c r="AF189" s="474"/>
      <c r="AH189"/>
      <c r="AI189"/>
      <c r="AK189" s="310" t="str">
        <v>GigaEthernet (750Mbps)</v>
      </c>
      <c r="AM189" s="333">
        <v>0</v>
      </c>
      <c r="AN189" s="333">
        <v>0</v>
      </c>
      <c r="AO189" s="333">
        <v>0</v>
      </c>
      <c r="AP189" s="333">
        <v>0</v>
      </c>
      <c r="AQ189" s="333">
        <v>0</v>
      </c>
      <c r="AR189" s="333">
        <v>0</v>
      </c>
      <c r="AS189" s="474"/>
      <c r="AT189" s="474"/>
      <c r="AU189" s="474"/>
      <c r="AV189" s="474"/>
      <c r="AW189" s="474"/>
      <c r="AY189"/>
      <c r="AZ189"/>
    </row>
    <row r="190" spans="3:52" s="299" customFormat="1">
      <c r="C190" s="310" t="str">
        <v>GigaEthernet (1 Gbps)</v>
      </c>
      <c r="E190" s="333">
        <v>0</v>
      </c>
      <c r="F190" s="333">
        <v>0</v>
      </c>
      <c r="G190" s="333">
        <v>0</v>
      </c>
      <c r="H190" s="333">
        <v>0</v>
      </c>
      <c r="I190" s="333">
        <v>0</v>
      </c>
      <c r="J190" s="333">
        <v>0</v>
      </c>
      <c r="K190" s="474"/>
      <c r="L190" s="474"/>
      <c r="M190" s="474"/>
      <c r="N190" s="474"/>
      <c r="O190" s="474"/>
      <c r="Q190"/>
      <c r="R190"/>
      <c r="T190" s="310" t="str">
        <v>GigaEthernet (1 Gbps)</v>
      </c>
      <c r="V190" s="333">
        <v>0</v>
      </c>
      <c r="W190" s="333">
        <v>0</v>
      </c>
      <c r="X190" s="333">
        <v>0</v>
      </c>
      <c r="Y190" s="333">
        <v>0</v>
      </c>
      <c r="Z190" s="333">
        <v>0</v>
      </c>
      <c r="AA190" s="333">
        <v>0</v>
      </c>
      <c r="AB190" s="474"/>
      <c r="AC190" s="474"/>
      <c r="AD190" s="474"/>
      <c r="AE190" s="474"/>
      <c r="AF190" s="474"/>
      <c r="AH190"/>
      <c r="AI190"/>
      <c r="AK190" s="310" t="str">
        <v>GigaEthernet (1 Gbps)</v>
      </c>
      <c r="AM190" s="333">
        <v>0</v>
      </c>
      <c r="AN190" s="333">
        <v>0</v>
      </c>
      <c r="AO190" s="333">
        <v>0</v>
      </c>
      <c r="AP190" s="333">
        <v>0</v>
      </c>
      <c r="AQ190" s="333">
        <v>0</v>
      </c>
      <c r="AR190" s="333">
        <v>0</v>
      </c>
      <c r="AS190" s="474"/>
      <c r="AT190" s="474"/>
      <c r="AU190" s="474"/>
      <c r="AV190" s="474"/>
      <c r="AW190" s="474"/>
      <c r="AY190"/>
      <c r="AZ190"/>
    </row>
    <row r="191" spans="3:52" s="299" customFormat="1">
      <c r="AH191"/>
      <c r="AI191"/>
      <c r="AY191"/>
      <c r="AZ191"/>
    </row>
    <row r="192" spans="3:52" s="299" customFormat="1">
      <c r="AY192"/>
      <c r="AZ192"/>
    </row>
    <row r="193" spans="3:53" s="299" customFormat="1" ht="15.75" thickBot="1">
      <c r="C193" s="130" t="s">
        <v>486</v>
      </c>
      <c r="T193" s="130" t="s">
        <v>486</v>
      </c>
      <c r="AK193" s="130" t="s">
        <v>486</v>
      </c>
      <c r="AY193"/>
      <c r="AZ193"/>
    </row>
    <row r="194" spans="3:53" s="299" customFormat="1" ht="15.75" thickBot="1">
      <c r="C194" s="130" t="s">
        <v>487</v>
      </c>
      <c r="D194" s="130"/>
      <c r="E194" s="130"/>
      <c r="F194" s="130"/>
      <c r="G194" s="130"/>
      <c r="H194" s="130"/>
      <c r="I194" s="130"/>
      <c r="J194" s="130"/>
      <c r="K194" s="130"/>
      <c r="L194" s="130"/>
      <c r="M194" s="130"/>
      <c r="N194" s="130"/>
      <c r="O194" s="130"/>
      <c r="P194" s="130"/>
      <c r="Q194" s="130"/>
      <c r="T194" s="130" t="s">
        <v>487</v>
      </c>
      <c r="U194" s="130"/>
      <c r="V194" s="130"/>
      <c r="W194" s="130"/>
      <c r="X194" s="130"/>
      <c r="Y194" s="130"/>
      <c r="Z194" s="130"/>
      <c r="AA194" s="130"/>
      <c r="AB194" s="130"/>
      <c r="AC194" s="130"/>
      <c r="AD194" s="130"/>
      <c r="AE194" s="130"/>
      <c r="AF194" s="130"/>
      <c r="AG194" s="130"/>
      <c r="AH194" s="130"/>
      <c r="AK194" s="130" t="s">
        <v>487</v>
      </c>
      <c r="AL194" s="130"/>
      <c r="AM194" s="130"/>
      <c r="AN194" s="130"/>
      <c r="AO194" s="130"/>
      <c r="AP194" s="130"/>
      <c r="AQ194" s="130"/>
      <c r="AR194" s="130"/>
      <c r="AS194" s="130"/>
      <c r="AT194" s="130"/>
      <c r="AU194" s="130"/>
      <c r="AV194" s="130"/>
      <c r="AW194" s="130"/>
      <c r="AX194" s="130"/>
      <c r="AY194" s="130"/>
      <c r="AZ194" s="130"/>
      <c r="BA194" s="130"/>
    </row>
    <row r="195" spans="3:53" s="299" customFormat="1"/>
    <row r="196" spans="3:53" s="299" customFormat="1" ht="15">
      <c r="C196" s="332" t="s">
        <v>499</v>
      </c>
      <c r="T196" s="332" t="s">
        <v>499</v>
      </c>
      <c r="AK196" s="332" t="s">
        <v>499</v>
      </c>
    </row>
    <row r="197" spans="3:53" s="299" customFormat="1" ht="15">
      <c r="C197" s="332" t="s">
        <v>498</v>
      </c>
      <c r="T197" s="332" t="s">
        <v>498</v>
      </c>
      <c r="AK197" s="332" t="s">
        <v>498</v>
      </c>
    </row>
    <row r="198" spans="3:53" s="299" customFormat="1"/>
    <row r="199" spans="3:53" s="299" customFormat="1">
      <c r="C199" s="326" t="s">
        <v>442</v>
      </c>
      <c r="D199" s="326">
        <f t="array" ref="D199:O199">TRANSPOSE(Years)</f>
        <v>2008</v>
      </c>
      <c r="E199" s="326">
        <v>2009</v>
      </c>
      <c r="F199" s="326">
        <v>2010</v>
      </c>
      <c r="G199" s="326">
        <v>2011</v>
      </c>
      <c r="H199" s="326">
        <v>2012</v>
      </c>
      <c r="I199" s="326">
        <v>2013</v>
      </c>
      <c r="J199" s="326">
        <v>2014</v>
      </c>
      <c r="K199" s="326">
        <v>2015</v>
      </c>
      <c r="L199" s="326">
        <v>2016</v>
      </c>
      <c r="M199" s="326">
        <v>2017</v>
      </c>
      <c r="N199" s="326">
        <v>2018</v>
      </c>
      <c r="O199" s="326">
        <v>2019</v>
      </c>
      <c r="T199" s="338" t="s">
        <v>442</v>
      </c>
      <c r="U199" s="338">
        <f t="array" ref="U199:AF199">TRANSPOSE(Years)</f>
        <v>2008</v>
      </c>
      <c r="V199" s="338">
        <v>2009</v>
      </c>
      <c r="W199" s="338">
        <v>2010</v>
      </c>
      <c r="X199" s="338">
        <v>2011</v>
      </c>
      <c r="Y199" s="338">
        <v>2012</v>
      </c>
      <c r="Z199" s="338">
        <v>2013</v>
      </c>
      <c r="AA199" s="338">
        <v>2014</v>
      </c>
      <c r="AB199" s="338">
        <v>2015</v>
      </c>
      <c r="AC199" s="338">
        <v>2016</v>
      </c>
      <c r="AD199" s="338">
        <v>2017</v>
      </c>
      <c r="AE199" s="338">
        <v>2018</v>
      </c>
      <c r="AF199" s="338">
        <v>2019</v>
      </c>
      <c r="AK199" s="338" t="s">
        <v>442</v>
      </c>
      <c r="AL199" s="338">
        <f t="array" ref="AL199:AW199">TRANSPOSE(Years)</f>
        <v>2008</v>
      </c>
      <c r="AM199" s="338">
        <v>2009</v>
      </c>
      <c r="AN199" s="338">
        <v>2010</v>
      </c>
      <c r="AO199" s="338">
        <v>2011</v>
      </c>
      <c r="AP199" s="338">
        <v>2012</v>
      </c>
      <c r="AQ199" s="338">
        <v>2013</v>
      </c>
      <c r="AR199" s="338">
        <v>2014</v>
      </c>
      <c r="AS199" s="338">
        <v>2015</v>
      </c>
      <c r="AT199" s="338">
        <v>2016</v>
      </c>
      <c r="AU199" s="338">
        <v>2017</v>
      </c>
      <c r="AV199" s="338">
        <v>2018</v>
      </c>
      <c r="AW199" s="338">
        <v>2019</v>
      </c>
    </row>
    <row r="200" spans="3:53" s="299" customFormat="1">
      <c r="C200" s="310" t="str">
        <f t="array" ref="C200:C237">LL.list</f>
        <v>64 kbps</v>
      </c>
      <c r="E200" s="335">
        <f t="array" ref="E200:J237">National.LL.81.161.km.2009.2014.retail</f>
        <v>552.76</v>
      </c>
      <c r="F200" s="335">
        <v>668.7</v>
      </c>
      <c r="G200" s="335">
        <v>520.22</v>
      </c>
      <c r="H200" s="335">
        <v>724.8</v>
      </c>
      <c r="I200" s="335">
        <v>642.76000000000022</v>
      </c>
      <c r="J200" s="335">
        <v>656.24</v>
      </c>
      <c r="K200" s="473"/>
      <c r="L200" s="473"/>
      <c r="M200" s="473"/>
      <c r="N200" s="473"/>
      <c r="O200" s="473"/>
      <c r="T200" s="310" t="str">
        <f t="array" ref="T200:T237">LL.list</f>
        <v>64 kbps</v>
      </c>
      <c r="V200" s="335">
        <f t="array" ref="V200:AA237">National.LL.81.161.km.2009.2014.wholesale</f>
        <v>554</v>
      </c>
      <c r="W200" s="335">
        <v>670</v>
      </c>
      <c r="X200" s="335">
        <v>521</v>
      </c>
      <c r="Y200" s="335">
        <v>726</v>
      </c>
      <c r="Z200" s="335">
        <v>643</v>
      </c>
      <c r="AA200" s="335">
        <v>658</v>
      </c>
      <c r="AB200" s="473"/>
      <c r="AC200" s="473"/>
      <c r="AD200" s="473"/>
      <c r="AE200" s="473"/>
      <c r="AF200" s="473"/>
      <c r="AK200" s="310" t="str">
        <f t="array" ref="AK200:AK237">LL.list</f>
        <v>64 kbps</v>
      </c>
      <c r="AM200" s="335">
        <f t="array" ref="AM200:AR237">National.LL.81.161.km.2009.2014.total</f>
        <v>1106.76</v>
      </c>
      <c r="AN200" s="335">
        <v>1338.7</v>
      </c>
      <c r="AO200" s="335">
        <v>1041.22</v>
      </c>
      <c r="AP200" s="335">
        <v>1450.8</v>
      </c>
      <c r="AQ200" s="335">
        <v>1285.7600000000002</v>
      </c>
      <c r="AR200" s="335">
        <v>1314.24</v>
      </c>
      <c r="AS200" s="473"/>
      <c r="AT200" s="473"/>
      <c r="AU200" s="473"/>
      <c r="AV200" s="473"/>
      <c r="AW200" s="473"/>
    </row>
    <row r="201" spans="3:53" s="299" customFormat="1">
      <c r="C201" s="310" t="str">
        <v>128 kbps</v>
      </c>
      <c r="E201" s="335">
        <v>703.34999999999991</v>
      </c>
      <c r="F201" s="335">
        <v>645</v>
      </c>
      <c r="G201" s="335">
        <v>456.03999999999996</v>
      </c>
      <c r="H201" s="335">
        <v>390.69000000000005</v>
      </c>
      <c r="I201" s="335">
        <v>482.20000000000005</v>
      </c>
      <c r="J201" s="335">
        <v>439.74</v>
      </c>
      <c r="K201" s="473"/>
      <c r="L201" s="473"/>
      <c r="M201" s="473"/>
      <c r="N201" s="473"/>
      <c r="O201" s="473"/>
      <c r="T201" s="310" t="str">
        <v>128 kbps</v>
      </c>
      <c r="V201" s="335">
        <v>705</v>
      </c>
      <c r="W201" s="335">
        <v>645</v>
      </c>
      <c r="X201" s="335">
        <v>457</v>
      </c>
      <c r="Y201" s="335">
        <v>391</v>
      </c>
      <c r="Z201" s="335">
        <v>483</v>
      </c>
      <c r="AA201" s="335">
        <v>441</v>
      </c>
      <c r="AB201" s="473"/>
      <c r="AC201" s="473"/>
      <c r="AD201" s="473"/>
      <c r="AE201" s="473"/>
      <c r="AF201" s="473"/>
      <c r="AK201" s="310" t="str">
        <v>128 kbps</v>
      </c>
      <c r="AM201" s="335">
        <v>1408.35</v>
      </c>
      <c r="AN201" s="335">
        <v>1290</v>
      </c>
      <c r="AO201" s="335">
        <v>913.04</v>
      </c>
      <c r="AP201" s="335">
        <v>781.69</v>
      </c>
      <c r="AQ201" s="335">
        <v>965.2</v>
      </c>
      <c r="AR201" s="335">
        <v>880.74</v>
      </c>
      <c r="AS201" s="473"/>
      <c r="AT201" s="473"/>
      <c r="AU201" s="473"/>
      <c r="AV201" s="473"/>
      <c r="AW201" s="473"/>
    </row>
    <row r="202" spans="3:53" s="299" customFormat="1">
      <c r="C202" s="310" t="str">
        <v>192 kbps</v>
      </c>
      <c r="E202" s="335">
        <v>113.51999999999998</v>
      </c>
      <c r="F202" s="335">
        <v>115</v>
      </c>
      <c r="G202" s="335">
        <v>113.73999999999998</v>
      </c>
      <c r="H202" s="335">
        <v>78.949999999999989</v>
      </c>
      <c r="I202" s="335">
        <v>90.299999999999983</v>
      </c>
      <c r="J202" s="335">
        <v>66.639999999999986</v>
      </c>
      <c r="K202" s="473"/>
      <c r="L202" s="473"/>
      <c r="M202" s="473"/>
      <c r="N202" s="473"/>
      <c r="O202" s="473"/>
      <c r="T202" s="310" t="str">
        <v>192 kbps</v>
      </c>
      <c r="V202" s="335">
        <v>114</v>
      </c>
      <c r="W202" s="335">
        <v>116</v>
      </c>
      <c r="X202" s="335">
        <v>114</v>
      </c>
      <c r="Y202" s="335">
        <v>80</v>
      </c>
      <c r="Z202" s="335">
        <v>91</v>
      </c>
      <c r="AA202" s="335">
        <v>68</v>
      </c>
      <c r="AB202" s="473"/>
      <c r="AC202" s="473"/>
      <c r="AD202" s="473"/>
      <c r="AE202" s="473"/>
      <c r="AF202" s="473"/>
      <c r="AK202" s="310" t="str">
        <v>192 kbps</v>
      </c>
      <c r="AM202" s="335">
        <v>227.51999999999998</v>
      </c>
      <c r="AN202" s="335">
        <v>231</v>
      </c>
      <c r="AO202" s="335">
        <v>227.73999999999998</v>
      </c>
      <c r="AP202" s="335">
        <v>158.94999999999999</v>
      </c>
      <c r="AQ202" s="335">
        <v>181.29999999999998</v>
      </c>
      <c r="AR202" s="335">
        <v>134.63999999999999</v>
      </c>
      <c r="AS202" s="473"/>
      <c r="AT202" s="473"/>
      <c r="AU202" s="473"/>
      <c r="AV202" s="473"/>
      <c r="AW202" s="473"/>
    </row>
    <row r="203" spans="3:53" s="299" customFormat="1">
      <c r="C203" s="310" t="str">
        <v>256 kbps</v>
      </c>
      <c r="E203" s="335">
        <v>186.01</v>
      </c>
      <c r="F203" s="335">
        <v>307.85000000000002</v>
      </c>
      <c r="G203" s="335">
        <v>237.20000000000005</v>
      </c>
      <c r="H203" s="335">
        <v>236.55</v>
      </c>
      <c r="I203" s="335">
        <v>367.41999999999996</v>
      </c>
      <c r="J203" s="335">
        <v>249.98999999999995</v>
      </c>
      <c r="K203" s="473"/>
      <c r="L203" s="473"/>
      <c r="M203" s="473"/>
      <c r="N203" s="473"/>
      <c r="O203" s="473"/>
      <c r="T203" s="310" t="str">
        <v>256 kbps</v>
      </c>
      <c r="V203" s="335">
        <v>188</v>
      </c>
      <c r="W203" s="335">
        <v>308</v>
      </c>
      <c r="X203" s="335">
        <v>238</v>
      </c>
      <c r="Y203" s="335">
        <v>237</v>
      </c>
      <c r="Z203" s="335">
        <v>368</v>
      </c>
      <c r="AA203" s="335">
        <v>251</v>
      </c>
      <c r="AB203" s="473"/>
      <c r="AC203" s="473"/>
      <c r="AD203" s="473"/>
      <c r="AE203" s="473"/>
      <c r="AF203" s="473"/>
      <c r="AK203" s="310" t="str">
        <v>256 kbps</v>
      </c>
      <c r="AM203" s="335">
        <v>374.01</v>
      </c>
      <c r="AN203" s="335">
        <v>615.85</v>
      </c>
      <c r="AO203" s="335">
        <v>475.20000000000005</v>
      </c>
      <c r="AP203" s="335">
        <v>473.55</v>
      </c>
      <c r="AQ203" s="335">
        <v>735.42</v>
      </c>
      <c r="AR203" s="335">
        <v>500.98999999999995</v>
      </c>
      <c r="AS203" s="473"/>
      <c r="AT203" s="473"/>
      <c r="AU203" s="473"/>
      <c r="AV203" s="473"/>
      <c r="AW203" s="473"/>
    </row>
    <row r="204" spans="3:53" s="299" customFormat="1">
      <c r="C204" s="310" t="str">
        <v>384 kbps</v>
      </c>
      <c r="E204" s="335">
        <v>190.52999999999997</v>
      </c>
      <c r="F204" s="335">
        <v>127.20000000000002</v>
      </c>
      <c r="G204" s="335">
        <v>151.05000000000001</v>
      </c>
      <c r="H204" s="335">
        <v>183.52000000000004</v>
      </c>
      <c r="I204" s="335">
        <v>214.86</v>
      </c>
      <c r="J204" s="335">
        <v>160.89999999999998</v>
      </c>
      <c r="K204" s="473"/>
      <c r="L204" s="473"/>
      <c r="M204" s="473"/>
      <c r="N204" s="473"/>
      <c r="O204" s="473"/>
      <c r="T204" s="310" t="str">
        <v>384 kbps</v>
      </c>
      <c r="V204" s="335">
        <v>192</v>
      </c>
      <c r="W204" s="335">
        <v>128</v>
      </c>
      <c r="X204" s="335">
        <v>152</v>
      </c>
      <c r="Y204" s="335">
        <v>185</v>
      </c>
      <c r="Z204" s="335">
        <v>216</v>
      </c>
      <c r="AA204" s="335">
        <v>161</v>
      </c>
      <c r="AB204" s="473"/>
      <c r="AC204" s="473"/>
      <c r="AD204" s="473"/>
      <c r="AE204" s="473"/>
      <c r="AF204" s="473"/>
      <c r="AK204" s="310" t="str">
        <v>384 kbps</v>
      </c>
      <c r="AM204" s="335">
        <v>382.53</v>
      </c>
      <c r="AN204" s="335">
        <v>255.20000000000002</v>
      </c>
      <c r="AO204" s="335">
        <v>303.05</v>
      </c>
      <c r="AP204" s="335">
        <v>368.52000000000004</v>
      </c>
      <c r="AQ204" s="335">
        <v>430.86</v>
      </c>
      <c r="AR204" s="335">
        <v>321.89999999999998</v>
      </c>
      <c r="AS204" s="473"/>
      <c r="AT204" s="473"/>
      <c r="AU204" s="473"/>
      <c r="AV204" s="473"/>
      <c r="AW204" s="473"/>
    </row>
    <row r="205" spans="3:53" s="299" customFormat="1">
      <c r="C205" s="310" t="str">
        <v>512 kbps</v>
      </c>
      <c r="E205" s="335">
        <v>311.61</v>
      </c>
      <c r="F205" s="335">
        <v>279.61</v>
      </c>
      <c r="G205" s="335">
        <v>246.5</v>
      </c>
      <c r="H205" s="335">
        <v>270.64</v>
      </c>
      <c r="I205" s="335">
        <v>178.51999999999998</v>
      </c>
      <c r="J205" s="335">
        <v>224.07999999999998</v>
      </c>
      <c r="K205" s="473"/>
      <c r="L205" s="473"/>
      <c r="M205" s="473"/>
      <c r="N205" s="473"/>
      <c r="O205" s="473"/>
      <c r="T205" s="310" t="str">
        <v>512 kbps</v>
      </c>
      <c r="V205" s="335">
        <v>312</v>
      </c>
      <c r="W205" s="335">
        <v>280</v>
      </c>
      <c r="X205" s="335">
        <v>247</v>
      </c>
      <c r="Y205" s="335">
        <v>272</v>
      </c>
      <c r="Z205" s="335">
        <v>179</v>
      </c>
      <c r="AA205" s="335">
        <v>226</v>
      </c>
      <c r="AB205" s="473"/>
      <c r="AC205" s="473"/>
      <c r="AD205" s="473"/>
      <c r="AE205" s="473"/>
      <c r="AF205" s="473"/>
      <c r="AK205" s="310" t="str">
        <v>512 kbps</v>
      </c>
      <c r="AM205" s="335">
        <v>623.61</v>
      </c>
      <c r="AN205" s="335">
        <v>559.61</v>
      </c>
      <c r="AO205" s="335">
        <v>493.5</v>
      </c>
      <c r="AP205" s="335">
        <v>542.64</v>
      </c>
      <c r="AQ205" s="335">
        <v>357.52</v>
      </c>
      <c r="AR205" s="335">
        <v>450.08</v>
      </c>
      <c r="AS205" s="473"/>
      <c r="AT205" s="473"/>
      <c r="AU205" s="473"/>
      <c r="AV205" s="473"/>
      <c r="AW205" s="473"/>
    </row>
    <row r="206" spans="3:53" s="299" customFormat="1">
      <c r="C206" s="310" t="str">
        <v>768 kbps</v>
      </c>
      <c r="E206" s="335">
        <v>74.960000000000008</v>
      </c>
      <c r="F206" s="335">
        <v>55.600000000000009</v>
      </c>
      <c r="G206" s="335">
        <v>75.22</v>
      </c>
      <c r="H206" s="335">
        <v>41.480000000000004</v>
      </c>
      <c r="I206" s="335">
        <v>37.799999999999997</v>
      </c>
      <c r="J206" s="335">
        <v>32.539999999999992</v>
      </c>
      <c r="K206" s="473"/>
      <c r="L206" s="473"/>
      <c r="M206" s="473"/>
      <c r="N206" s="473"/>
      <c r="O206" s="473"/>
      <c r="T206" s="310" t="str">
        <v>768 kbps</v>
      </c>
      <c r="V206" s="335">
        <v>76</v>
      </c>
      <c r="W206" s="335">
        <v>56</v>
      </c>
      <c r="X206" s="335">
        <v>77</v>
      </c>
      <c r="Y206" s="335">
        <v>43</v>
      </c>
      <c r="Z206" s="335">
        <v>39</v>
      </c>
      <c r="AA206" s="335">
        <v>33</v>
      </c>
      <c r="AB206" s="473"/>
      <c r="AC206" s="473"/>
      <c r="AD206" s="473"/>
      <c r="AE206" s="473"/>
      <c r="AF206" s="473"/>
      <c r="AK206" s="310" t="str">
        <v>768 kbps</v>
      </c>
      <c r="AM206" s="335">
        <v>150.96</v>
      </c>
      <c r="AN206" s="335">
        <v>111.60000000000001</v>
      </c>
      <c r="AO206" s="335">
        <v>152.22</v>
      </c>
      <c r="AP206" s="335">
        <v>84.48</v>
      </c>
      <c r="AQ206" s="335">
        <v>76.8</v>
      </c>
      <c r="AR206" s="335">
        <v>65.539999999999992</v>
      </c>
      <c r="AS206" s="473"/>
      <c r="AT206" s="473"/>
      <c r="AU206" s="473"/>
      <c r="AV206" s="473"/>
      <c r="AW206" s="473"/>
    </row>
    <row r="207" spans="3:53" s="299" customFormat="1">
      <c r="C207" s="310" t="str">
        <v>1024 kbps</v>
      </c>
      <c r="E207" s="335">
        <v>44</v>
      </c>
      <c r="F207" s="335">
        <v>50.600000000000009</v>
      </c>
      <c r="G207" s="335">
        <v>38.019999999999996</v>
      </c>
      <c r="H207" s="335">
        <v>39.56</v>
      </c>
      <c r="I207" s="335">
        <v>27.549999999999997</v>
      </c>
      <c r="J207" s="335">
        <v>28.660000000000004</v>
      </c>
      <c r="K207" s="473"/>
      <c r="L207" s="473"/>
      <c r="M207" s="473"/>
      <c r="N207" s="473"/>
      <c r="O207" s="473"/>
      <c r="T207" s="310" t="str">
        <v>1024 kbps</v>
      </c>
      <c r="V207" s="335">
        <v>44</v>
      </c>
      <c r="W207" s="335">
        <v>52</v>
      </c>
      <c r="X207" s="335">
        <v>40</v>
      </c>
      <c r="Y207" s="335">
        <v>40</v>
      </c>
      <c r="Z207" s="335">
        <v>29</v>
      </c>
      <c r="AA207" s="335">
        <v>29</v>
      </c>
      <c r="AB207" s="473"/>
      <c r="AC207" s="473"/>
      <c r="AD207" s="473"/>
      <c r="AE207" s="473"/>
      <c r="AF207" s="473"/>
      <c r="AK207" s="310" t="str">
        <v>1024 kbps</v>
      </c>
      <c r="AM207" s="335">
        <v>88</v>
      </c>
      <c r="AN207" s="335">
        <v>102.60000000000001</v>
      </c>
      <c r="AO207" s="335">
        <v>78.02</v>
      </c>
      <c r="AP207" s="335">
        <v>79.56</v>
      </c>
      <c r="AQ207" s="335">
        <v>56.55</v>
      </c>
      <c r="AR207" s="335">
        <v>57.660000000000004</v>
      </c>
      <c r="AS207" s="473"/>
      <c r="AT207" s="473"/>
      <c r="AU207" s="473"/>
      <c r="AV207" s="473"/>
      <c r="AW207" s="473"/>
    </row>
    <row r="208" spans="3:53" s="299" customFormat="1">
      <c r="C208" s="331" t="str">
        <v>E1 (2.04 Mbps)</v>
      </c>
      <c r="E208" s="335">
        <v>54.799999999999955</v>
      </c>
      <c r="F208" s="335">
        <v>106.59000000000015</v>
      </c>
      <c r="G208" s="335">
        <v>117.72000000000003</v>
      </c>
      <c r="H208" s="335">
        <v>196.07999999999993</v>
      </c>
      <c r="I208" s="335">
        <v>155.17000000000007</v>
      </c>
      <c r="J208" s="335">
        <v>302.32000000000016</v>
      </c>
      <c r="K208" s="473"/>
      <c r="L208" s="473"/>
      <c r="M208" s="473"/>
      <c r="N208" s="473"/>
      <c r="O208" s="473"/>
      <c r="T208" s="331" t="str">
        <v>E1 (2.04 Mbps)</v>
      </c>
      <c r="V208" s="335">
        <v>501</v>
      </c>
      <c r="W208" s="335">
        <v>969</v>
      </c>
      <c r="X208" s="335">
        <v>1065</v>
      </c>
      <c r="Y208" s="335">
        <v>1767</v>
      </c>
      <c r="Z208" s="335">
        <v>1401</v>
      </c>
      <c r="AA208" s="335">
        <v>2730</v>
      </c>
      <c r="AB208" s="473"/>
      <c r="AC208" s="473"/>
      <c r="AD208" s="473"/>
      <c r="AE208" s="473"/>
      <c r="AF208" s="473"/>
      <c r="AK208" s="331" t="str">
        <v>E1 (2.04 Mbps)</v>
      </c>
      <c r="AM208" s="335">
        <v>555.79999999999995</v>
      </c>
      <c r="AN208" s="335">
        <v>1075.5900000000001</v>
      </c>
      <c r="AO208" s="335">
        <v>1182.72</v>
      </c>
      <c r="AP208" s="335">
        <v>1963.08</v>
      </c>
      <c r="AQ208" s="335">
        <v>1556.17</v>
      </c>
      <c r="AR208" s="335">
        <v>3032.32</v>
      </c>
      <c r="AS208" s="473"/>
      <c r="AT208" s="473"/>
      <c r="AU208" s="473"/>
      <c r="AV208" s="473"/>
      <c r="AW208" s="473"/>
    </row>
    <row r="209" spans="3:49" s="299" customFormat="1">
      <c r="C209" s="331" t="str">
        <v>E2 *</v>
      </c>
      <c r="E209" s="335">
        <v>0</v>
      </c>
      <c r="F209" s="335">
        <v>0</v>
      </c>
      <c r="G209" s="335">
        <v>0</v>
      </c>
      <c r="H209" s="335">
        <v>0</v>
      </c>
      <c r="I209" s="335">
        <v>0</v>
      </c>
      <c r="J209" s="335">
        <v>0</v>
      </c>
      <c r="K209" s="473"/>
      <c r="L209" s="473"/>
      <c r="M209" s="473"/>
      <c r="N209" s="473"/>
      <c r="O209" s="473"/>
      <c r="T209" s="331" t="str">
        <v>E2 *</v>
      </c>
      <c r="V209" s="335">
        <v>0</v>
      </c>
      <c r="W209" s="335">
        <v>0</v>
      </c>
      <c r="X209" s="335">
        <v>0</v>
      </c>
      <c r="Y209" s="335">
        <v>0</v>
      </c>
      <c r="Z209" s="335">
        <v>0</v>
      </c>
      <c r="AA209" s="335">
        <v>0</v>
      </c>
      <c r="AB209" s="473"/>
      <c r="AC209" s="473"/>
      <c r="AD209" s="473"/>
      <c r="AE209" s="473"/>
      <c r="AF209" s="473"/>
      <c r="AK209" s="331" t="str">
        <v>E2 *</v>
      </c>
      <c r="AM209" s="335">
        <v>0</v>
      </c>
      <c r="AN209" s="335">
        <v>0</v>
      </c>
      <c r="AO209" s="335">
        <v>0</v>
      </c>
      <c r="AP209" s="335">
        <v>0</v>
      </c>
      <c r="AQ209" s="335">
        <v>0</v>
      </c>
      <c r="AR209" s="335">
        <v>0</v>
      </c>
      <c r="AS209" s="473"/>
      <c r="AT209" s="473"/>
      <c r="AU209" s="473"/>
      <c r="AV209" s="473"/>
      <c r="AW209" s="473"/>
    </row>
    <row r="210" spans="3:49" s="299" customFormat="1">
      <c r="C210" s="331" t="str">
        <v>E3 (34 Mbps)</v>
      </c>
      <c r="E210" s="335">
        <v>1.04</v>
      </c>
      <c r="F210" s="335">
        <v>3.6300000000000008</v>
      </c>
      <c r="G210" s="335">
        <v>5.3999999999999986</v>
      </c>
      <c r="H210" s="335">
        <v>5.6</v>
      </c>
      <c r="I210" s="335">
        <v>6.6899999999999977</v>
      </c>
      <c r="J210" s="335">
        <v>5.52</v>
      </c>
      <c r="K210" s="473"/>
      <c r="L210" s="473"/>
      <c r="M210" s="473"/>
      <c r="N210" s="473"/>
      <c r="O210" s="473"/>
      <c r="T210" s="331" t="str">
        <v>E3 (34 Mbps)</v>
      </c>
      <c r="V210" s="335">
        <v>3</v>
      </c>
      <c r="W210" s="335">
        <v>4</v>
      </c>
      <c r="X210" s="335">
        <v>6</v>
      </c>
      <c r="Y210" s="335">
        <v>6</v>
      </c>
      <c r="Z210" s="335">
        <v>8</v>
      </c>
      <c r="AA210" s="335">
        <v>6</v>
      </c>
      <c r="AB210" s="473"/>
      <c r="AC210" s="473"/>
      <c r="AD210" s="473"/>
      <c r="AE210" s="473"/>
      <c r="AF210" s="473"/>
      <c r="AK210" s="331" t="str">
        <v>E3 (34 Mbps)</v>
      </c>
      <c r="AM210" s="335">
        <v>4.04</v>
      </c>
      <c r="AN210" s="335">
        <v>7.6300000000000008</v>
      </c>
      <c r="AO210" s="335">
        <v>11.399999999999999</v>
      </c>
      <c r="AP210" s="335">
        <v>11.6</v>
      </c>
      <c r="AQ210" s="335">
        <v>14.689999999999998</v>
      </c>
      <c r="AR210" s="335">
        <v>11.52</v>
      </c>
      <c r="AS210" s="473"/>
      <c r="AT210" s="473"/>
      <c r="AU210" s="473"/>
      <c r="AV210" s="473"/>
      <c r="AW210" s="473"/>
    </row>
    <row r="211" spans="3:49" s="299" customFormat="1">
      <c r="C211" s="331" t="str">
        <v>STM-1 (155 Mbps)</v>
      </c>
      <c r="E211" s="335">
        <v>0</v>
      </c>
      <c r="F211" s="335">
        <v>0</v>
      </c>
      <c r="G211" s="335">
        <v>0</v>
      </c>
      <c r="H211" s="335">
        <v>0</v>
      </c>
      <c r="I211" s="335">
        <v>0</v>
      </c>
      <c r="J211" s="335">
        <v>0</v>
      </c>
      <c r="K211" s="473"/>
      <c r="L211" s="473"/>
      <c r="M211" s="473"/>
      <c r="N211" s="473"/>
      <c r="O211" s="473"/>
      <c r="T211" s="331" t="str">
        <v>STM-1 (155 Mbps)</v>
      </c>
      <c r="V211" s="335">
        <v>3.9000000000000004</v>
      </c>
      <c r="W211" s="335">
        <v>3.85</v>
      </c>
      <c r="X211" s="335">
        <v>4.68</v>
      </c>
      <c r="Y211" s="335">
        <v>5.45</v>
      </c>
      <c r="Z211" s="335">
        <v>5.16</v>
      </c>
      <c r="AA211" s="335">
        <v>5.75</v>
      </c>
      <c r="AB211" s="473"/>
      <c r="AC211" s="473"/>
      <c r="AD211" s="473"/>
      <c r="AE211" s="473"/>
      <c r="AF211" s="473"/>
      <c r="AK211" s="331" t="str">
        <v>STM-1 (155 Mbps)</v>
      </c>
      <c r="AM211" s="335">
        <v>3.9000000000000004</v>
      </c>
      <c r="AN211" s="335">
        <v>3.85</v>
      </c>
      <c r="AO211" s="335">
        <v>4.68</v>
      </c>
      <c r="AP211" s="335">
        <v>5.45</v>
      </c>
      <c r="AQ211" s="335">
        <v>5.16</v>
      </c>
      <c r="AR211" s="335">
        <v>5.75</v>
      </c>
      <c r="AS211" s="473"/>
      <c r="AT211" s="473"/>
      <c r="AU211" s="473"/>
      <c r="AV211" s="473"/>
      <c r="AW211" s="473"/>
    </row>
    <row r="212" spans="3:49" s="299" customFormat="1">
      <c r="C212" s="310" t="str">
        <v>STM-4 (622.08 Mbps)</v>
      </c>
      <c r="E212" s="335">
        <v>0</v>
      </c>
      <c r="F212" s="335">
        <v>0</v>
      </c>
      <c r="G212" s="335">
        <v>0</v>
      </c>
      <c r="H212" s="335">
        <v>0</v>
      </c>
      <c r="I212" s="335">
        <v>0</v>
      </c>
      <c r="J212" s="335">
        <v>0</v>
      </c>
      <c r="K212" s="473"/>
      <c r="L212" s="473"/>
      <c r="M212" s="473"/>
      <c r="N212" s="473"/>
      <c r="O212" s="473"/>
      <c r="T212" s="310" t="str">
        <v>STM-4 (622.08 Mbps)</v>
      </c>
      <c r="V212" s="335">
        <v>0</v>
      </c>
      <c r="W212" s="335">
        <v>0</v>
      </c>
      <c r="X212" s="335">
        <v>0</v>
      </c>
      <c r="Y212" s="335">
        <v>0</v>
      </c>
      <c r="Z212" s="335">
        <v>0</v>
      </c>
      <c r="AA212" s="335">
        <v>0</v>
      </c>
      <c r="AB212" s="473"/>
      <c r="AC212" s="473"/>
      <c r="AD212" s="473"/>
      <c r="AE212" s="473"/>
      <c r="AF212" s="473"/>
      <c r="AK212" s="310" t="str">
        <v>STM-4 (622.08 Mbps)</v>
      </c>
      <c r="AM212" s="335">
        <v>0</v>
      </c>
      <c r="AN212" s="335">
        <v>0</v>
      </c>
      <c r="AO212" s="335">
        <v>0</v>
      </c>
      <c r="AP212" s="335">
        <v>0</v>
      </c>
      <c r="AQ212" s="335">
        <v>0</v>
      </c>
      <c r="AR212" s="335">
        <v>0</v>
      </c>
      <c r="AS212" s="473"/>
      <c r="AT212" s="473"/>
      <c r="AU212" s="473"/>
      <c r="AV212" s="473"/>
      <c r="AW212" s="473"/>
    </row>
    <row r="213" spans="3:49" s="299" customFormat="1">
      <c r="C213" s="310" t="str">
        <v>STM-16 (2488.32Mbps)</v>
      </c>
      <c r="E213" s="335">
        <v>0</v>
      </c>
      <c r="F213" s="335">
        <v>0</v>
      </c>
      <c r="G213" s="335">
        <v>0</v>
      </c>
      <c r="H213" s="335">
        <v>0</v>
      </c>
      <c r="I213" s="335">
        <v>0</v>
      </c>
      <c r="J213" s="335">
        <v>0</v>
      </c>
      <c r="K213" s="473"/>
      <c r="L213" s="473"/>
      <c r="M213" s="473"/>
      <c r="N213" s="473"/>
      <c r="O213" s="473"/>
      <c r="T213" s="310" t="str">
        <v>STM-16 (2488.32Mbps)</v>
      </c>
      <c r="V213" s="335">
        <v>0</v>
      </c>
      <c r="W213" s="335">
        <v>0</v>
      </c>
      <c r="X213" s="335">
        <v>0</v>
      </c>
      <c r="Y213" s="335">
        <v>0</v>
      </c>
      <c r="Z213" s="335">
        <v>0</v>
      </c>
      <c r="AA213" s="335">
        <v>0</v>
      </c>
      <c r="AB213" s="473"/>
      <c r="AC213" s="473"/>
      <c r="AD213" s="473"/>
      <c r="AE213" s="473"/>
      <c r="AF213" s="473"/>
      <c r="AK213" s="310" t="str">
        <v>STM-16 (2488.32Mbps)</v>
      </c>
      <c r="AM213" s="335">
        <v>0</v>
      </c>
      <c r="AN213" s="335">
        <v>0</v>
      </c>
      <c r="AO213" s="335">
        <v>0</v>
      </c>
      <c r="AP213" s="335">
        <v>0</v>
      </c>
      <c r="AQ213" s="335">
        <v>0</v>
      </c>
      <c r="AR213" s="335">
        <v>0</v>
      </c>
      <c r="AS213" s="473"/>
      <c r="AT213" s="473"/>
      <c r="AU213" s="473"/>
      <c r="AV213" s="473"/>
      <c r="AW213" s="473"/>
    </row>
    <row r="214" spans="3:49" s="299" customFormat="1">
      <c r="C214" s="310" t="str">
        <v>STM-64 (9953.28Mbps)</v>
      </c>
      <c r="E214" s="335">
        <v>0</v>
      </c>
      <c r="F214" s="335">
        <v>0</v>
      </c>
      <c r="G214" s="335">
        <v>0</v>
      </c>
      <c r="H214" s="335">
        <v>0</v>
      </c>
      <c r="I214" s="335">
        <v>0</v>
      </c>
      <c r="J214" s="335">
        <v>0</v>
      </c>
      <c r="K214" s="473"/>
      <c r="L214" s="473"/>
      <c r="M214" s="473"/>
      <c r="N214" s="473"/>
      <c r="O214" s="473"/>
      <c r="T214" s="310" t="str">
        <v>STM-64 (9953.28Mbps)</v>
      </c>
      <c r="V214" s="335">
        <v>0</v>
      </c>
      <c r="W214" s="335">
        <v>0</v>
      </c>
      <c r="X214" s="335">
        <v>0</v>
      </c>
      <c r="Y214" s="335">
        <v>0</v>
      </c>
      <c r="Z214" s="335">
        <v>0</v>
      </c>
      <c r="AA214" s="335">
        <v>0</v>
      </c>
      <c r="AB214" s="473"/>
      <c r="AC214" s="473"/>
      <c r="AD214" s="473"/>
      <c r="AE214" s="473"/>
      <c r="AF214" s="473"/>
      <c r="AK214" s="310" t="str">
        <v>STM-64 (9953.28Mbps)</v>
      </c>
      <c r="AM214" s="335">
        <v>0</v>
      </c>
      <c r="AN214" s="335">
        <v>0</v>
      </c>
      <c r="AO214" s="335">
        <v>0</v>
      </c>
      <c r="AP214" s="335">
        <v>0</v>
      </c>
      <c r="AQ214" s="335">
        <v>0</v>
      </c>
      <c r="AR214" s="335">
        <v>0</v>
      </c>
      <c r="AS214" s="473"/>
      <c r="AT214" s="473"/>
      <c r="AU214" s="473"/>
      <c r="AV214" s="473"/>
      <c r="AW214" s="473"/>
    </row>
    <row r="215" spans="3:49" s="299" customFormat="1">
      <c r="C215" s="310" t="str">
        <v>STM-256 (39813.12 Mbps)*</v>
      </c>
      <c r="E215" s="335">
        <v>0</v>
      </c>
      <c r="F215" s="335">
        <v>0</v>
      </c>
      <c r="G215" s="335">
        <v>0</v>
      </c>
      <c r="H215" s="335">
        <v>0</v>
      </c>
      <c r="I215" s="335">
        <v>0</v>
      </c>
      <c r="J215" s="335">
        <v>0</v>
      </c>
      <c r="K215" s="473"/>
      <c r="L215" s="473"/>
      <c r="M215" s="473"/>
      <c r="N215" s="473"/>
      <c r="O215" s="473"/>
      <c r="T215" s="310" t="str">
        <v>STM-256 (39813.12 Mbps)*</v>
      </c>
      <c r="V215" s="335">
        <v>0</v>
      </c>
      <c r="W215" s="335">
        <v>0</v>
      </c>
      <c r="X215" s="335">
        <v>0</v>
      </c>
      <c r="Y215" s="335">
        <v>0</v>
      </c>
      <c r="Z215" s="335">
        <v>0</v>
      </c>
      <c r="AA215" s="335">
        <v>0</v>
      </c>
      <c r="AB215" s="473"/>
      <c r="AC215" s="473"/>
      <c r="AD215" s="473"/>
      <c r="AE215" s="473"/>
      <c r="AF215" s="473"/>
      <c r="AK215" s="310" t="str">
        <v>STM-256 (39813.12 Mbps)*</v>
      </c>
      <c r="AM215" s="335">
        <v>0</v>
      </c>
      <c r="AN215" s="335">
        <v>0</v>
      </c>
      <c r="AO215" s="335">
        <v>0</v>
      </c>
      <c r="AP215" s="335">
        <v>0</v>
      </c>
      <c r="AQ215" s="335">
        <v>0</v>
      </c>
      <c r="AR215" s="335">
        <v>0</v>
      </c>
      <c r="AS215" s="473"/>
      <c r="AT215" s="473"/>
      <c r="AU215" s="473"/>
      <c r="AV215" s="473"/>
      <c r="AW215" s="473"/>
    </row>
    <row r="216" spans="3:49" s="299" customFormat="1">
      <c r="C216" s="310" t="str">
        <v>Ethernet (10Mbps)</v>
      </c>
      <c r="E216" s="335">
        <v>0.39999999999999991</v>
      </c>
      <c r="F216" s="335">
        <v>1.6</v>
      </c>
      <c r="G216" s="335">
        <v>4.9000000000000004</v>
      </c>
      <c r="H216" s="335">
        <v>20.28</v>
      </c>
      <c r="I216" s="335">
        <v>19.600000000000001</v>
      </c>
      <c r="J216" s="335">
        <v>21.309999999999995</v>
      </c>
      <c r="K216" s="473"/>
      <c r="L216" s="473"/>
      <c r="M216" s="473"/>
      <c r="N216" s="473"/>
      <c r="O216" s="473"/>
      <c r="T216" s="310" t="str">
        <v>Ethernet (10Mbps)</v>
      </c>
      <c r="V216" s="335">
        <v>1</v>
      </c>
      <c r="W216" s="335">
        <v>2</v>
      </c>
      <c r="X216" s="335">
        <v>5</v>
      </c>
      <c r="Y216" s="335">
        <v>21</v>
      </c>
      <c r="Z216" s="335">
        <v>20</v>
      </c>
      <c r="AA216" s="335">
        <v>22</v>
      </c>
      <c r="AB216" s="473"/>
      <c r="AC216" s="473"/>
      <c r="AD216" s="473"/>
      <c r="AE216" s="473"/>
      <c r="AF216" s="473"/>
      <c r="AK216" s="310" t="str">
        <v>Ethernet (10Mbps)</v>
      </c>
      <c r="AM216" s="335">
        <v>1.4</v>
      </c>
      <c r="AN216" s="335">
        <v>3.6</v>
      </c>
      <c r="AO216" s="335">
        <v>9.9</v>
      </c>
      <c r="AP216" s="335">
        <v>41.28</v>
      </c>
      <c r="AQ216" s="335">
        <v>39.6</v>
      </c>
      <c r="AR216" s="335">
        <v>43.309999999999995</v>
      </c>
      <c r="AS216" s="473"/>
      <c r="AT216" s="473"/>
      <c r="AU216" s="473"/>
      <c r="AV216" s="473"/>
      <c r="AW216" s="473"/>
    </row>
    <row r="217" spans="3:49" s="299" customFormat="1">
      <c r="C217" s="310" t="str">
        <v>Ethernet (20Mbps)</v>
      </c>
      <c r="E217" s="335">
        <v>0</v>
      </c>
      <c r="F217" s="335">
        <v>0.1100000000000001</v>
      </c>
      <c r="G217" s="335">
        <v>0</v>
      </c>
      <c r="H217" s="335">
        <v>2.09</v>
      </c>
      <c r="I217" s="335">
        <v>8.75</v>
      </c>
      <c r="J217" s="335">
        <v>17.340000000000003</v>
      </c>
      <c r="K217" s="473"/>
      <c r="L217" s="473"/>
      <c r="M217" s="473"/>
      <c r="N217" s="473"/>
      <c r="O217" s="473"/>
      <c r="T217" s="310" t="str">
        <v>Ethernet (20Mbps)</v>
      </c>
      <c r="V217" s="335">
        <v>0</v>
      </c>
      <c r="W217" s="335">
        <v>1</v>
      </c>
      <c r="X217" s="335">
        <v>0</v>
      </c>
      <c r="Y217" s="335">
        <v>4</v>
      </c>
      <c r="Z217" s="335">
        <v>10</v>
      </c>
      <c r="AA217" s="335">
        <v>18</v>
      </c>
      <c r="AB217" s="473"/>
      <c r="AC217" s="473"/>
      <c r="AD217" s="473"/>
      <c r="AE217" s="473"/>
      <c r="AF217" s="473"/>
      <c r="AK217" s="310" t="str">
        <v>Ethernet (20Mbps)</v>
      </c>
      <c r="AM217" s="335">
        <v>0</v>
      </c>
      <c r="AN217" s="335">
        <v>1.1100000000000001</v>
      </c>
      <c r="AO217" s="335">
        <v>0</v>
      </c>
      <c r="AP217" s="335">
        <v>6.09</v>
      </c>
      <c r="AQ217" s="335">
        <v>18.75</v>
      </c>
      <c r="AR217" s="335">
        <v>35.340000000000003</v>
      </c>
      <c r="AS217" s="473"/>
      <c r="AT217" s="473"/>
      <c r="AU217" s="473"/>
      <c r="AV217" s="473"/>
      <c r="AW217" s="473"/>
    </row>
    <row r="218" spans="3:49" s="299" customFormat="1">
      <c r="C218" s="310" t="str">
        <v>Ethernet (30Mbps)</v>
      </c>
      <c r="E218" s="335">
        <v>0</v>
      </c>
      <c r="F218" s="335">
        <v>-0.22999999999999998</v>
      </c>
      <c r="G218" s="335">
        <v>0</v>
      </c>
      <c r="H218" s="335">
        <v>3</v>
      </c>
      <c r="I218" s="335">
        <v>2.5700000000000003</v>
      </c>
      <c r="J218" s="335">
        <v>6.91</v>
      </c>
      <c r="K218" s="473"/>
      <c r="L218" s="473"/>
      <c r="M218" s="473"/>
      <c r="N218" s="473"/>
      <c r="O218" s="473"/>
      <c r="T218" s="310" t="str">
        <v>Ethernet (30Mbps)</v>
      </c>
      <c r="V218" s="335">
        <v>0</v>
      </c>
      <c r="W218" s="335">
        <v>1</v>
      </c>
      <c r="X218" s="335">
        <v>0</v>
      </c>
      <c r="Y218" s="335">
        <v>3</v>
      </c>
      <c r="Z218" s="335">
        <v>4</v>
      </c>
      <c r="AA218" s="335">
        <v>7</v>
      </c>
      <c r="AB218" s="473"/>
      <c r="AC218" s="473"/>
      <c r="AD218" s="473"/>
      <c r="AE218" s="473"/>
      <c r="AF218" s="473"/>
      <c r="AK218" s="310" t="str">
        <v>Ethernet (30Mbps)</v>
      </c>
      <c r="AM218" s="335">
        <v>0</v>
      </c>
      <c r="AN218" s="335">
        <v>0.77</v>
      </c>
      <c r="AO218" s="335">
        <v>0</v>
      </c>
      <c r="AP218" s="335">
        <v>6</v>
      </c>
      <c r="AQ218" s="335">
        <v>6.57</v>
      </c>
      <c r="AR218" s="335">
        <v>13.91</v>
      </c>
      <c r="AS218" s="473"/>
      <c r="AT218" s="473"/>
      <c r="AU218" s="473"/>
      <c r="AV218" s="473"/>
      <c r="AW218" s="473"/>
    </row>
    <row r="219" spans="3:49" s="299" customFormat="1">
      <c r="C219" s="310" t="str">
        <v>Ethernet (40Mbps)</v>
      </c>
      <c r="E219" s="335">
        <v>0.8</v>
      </c>
      <c r="F219" s="335">
        <v>1.5699999999999998</v>
      </c>
      <c r="G219" s="335">
        <v>1.2800000000000002</v>
      </c>
      <c r="H219" s="335">
        <v>2.4500000000000002</v>
      </c>
      <c r="I219" s="335">
        <v>2.9599999999999991</v>
      </c>
      <c r="J219" s="335">
        <v>5.75</v>
      </c>
      <c r="K219" s="473"/>
      <c r="L219" s="473"/>
      <c r="M219" s="473"/>
      <c r="N219" s="473"/>
      <c r="O219" s="473"/>
      <c r="T219" s="310" t="str">
        <v>Ethernet (40Mbps)</v>
      </c>
      <c r="V219" s="335">
        <v>1</v>
      </c>
      <c r="W219" s="335">
        <v>2</v>
      </c>
      <c r="X219" s="335">
        <v>3</v>
      </c>
      <c r="Y219" s="335">
        <v>3</v>
      </c>
      <c r="Z219" s="335">
        <v>4</v>
      </c>
      <c r="AA219" s="335">
        <v>7</v>
      </c>
      <c r="AB219" s="473"/>
      <c r="AC219" s="473"/>
      <c r="AD219" s="473"/>
      <c r="AE219" s="473"/>
      <c r="AF219" s="473"/>
      <c r="AK219" s="310" t="str">
        <v>Ethernet (40Mbps)</v>
      </c>
      <c r="AM219" s="335">
        <v>1.8</v>
      </c>
      <c r="AN219" s="335">
        <v>3.57</v>
      </c>
      <c r="AO219" s="335">
        <v>4.28</v>
      </c>
      <c r="AP219" s="335">
        <v>5.45</v>
      </c>
      <c r="AQ219" s="335">
        <v>6.9599999999999991</v>
      </c>
      <c r="AR219" s="335">
        <v>12.75</v>
      </c>
      <c r="AS219" s="473"/>
      <c r="AT219" s="473"/>
      <c r="AU219" s="473"/>
      <c r="AV219" s="473"/>
      <c r="AW219" s="473"/>
    </row>
    <row r="220" spans="3:49" s="299" customFormat="1">
      <c r="C220" s="310" t="str">
        <v>Ethernet (50Mbps)</v>
      </c>
      <c r="E220" s="335">
        <v>0</v>
      </c>
      <c r="F220" s="335">
        <v>0.18999999999999995</v>
      </c>
      <c r="G220" s="335">
        <v>0.60000000000000009</v>
      </c>
      <c r="H220" s="335">
        <v>0.16000000000000014</v>
      </c>
      <c r="I220" s="335">
        <v>1.5600000000000005</v>
      </c>
      <c r="J220" s="335">
        <v>4.0800000000000018</v>
      </c>
      <c r="K220" s="473"/>
      <c r="L220" s="473"/>
      <c r="M220" s="473"/>
      <c r="N220" s="473"/>
      <c r="O220" s="473"/>
      <c r="T220" s="310" t="str">
        <v>Ethernet (50Mbps)</v>
      </c>
      <c r="V220" s="335">
        <v>0</v>
      </c>
      <c r="W220" s="335">
        <v>1</v>
      </c>
      <c r="X220" s="335">
        <v>2</v>
      </c>
      <c r="Y220" s="335">
        <v>2</v>
      </c>
      <c r="Z220" s="335">
        <v>3</v>
      </c>
      <c r="AA220" s="335">
        <v>6</v>
      </c>
      <c r="AB220" s="473"/>
      <c r="AC220" s="473"/>
      <c r="AD220" s="473"/>
      <c r="AE220" s="473"/>
      <c r="AF220" s="473"/>
      <c r="AK220" s="310" t="str">
        <v>Ethernet (50Mbps)</v>
      </c>
      <c r="AM220" s="335">
        <v>0</v>
      </c>
      <c r="AN220" s="335">
        <v>1.19</v>
      </c>
      <c r="AO220" s="335">
        <v>2.6</v>
      </c>
      <c r="AP220" s="335">
        <v>2.16</v>
      </c>
      <c r="AQ220" s="335">
        <v>4.5600000000000005</v>
      </c>
      <c r="AR220" s="335">
        <v>10.080000000000002</v>
      </c>
      <c r="AS220" s="473"/>
      <c r="AT220" s="473"/>
      <c r="AU220" s="473"/>
      <c r="AV220" s="473"/>
      <c r="AW220" s="473"/>
    </row>
    <row r="221" spans="3:49" s="299" customFormat="1">
      <c r="C221" s="310" t="str">
        <v>Ethernet (60Mbps)</v>
      </c>
      <c r="E221" s="335">
        <v>0</v>
      </c>
      <c r="F221" s="335">
        <v>0</v>
      </c>
      <c r="G221" s="335">
        <v>0</v>
      </c>
      <c r="H221" s="335">
        <v>0.28000000000000003</v>
      </c>
      <c r="I221" s="335">
        <v>0</v>
      </c>
      <c r="J221" s="335">
        <v>0</v>
      </c>
      <c r="K221" s="473"/>
      <c r="L221" s="473"/>
      <c r="M221" s="473"/>
      <c r="N221" s="473"/>
      <c r="O221" s="473"/>
      <c r="T221" s="310" t="str">
        <v>Ethernet (60Mbps)</v>
      </c>
      <c r="V221" s="335">
        <v>0</v>
      </c>
      <c r="W221" s="335">
        <v>0</v>
      </c>
      <c r="X221" s="335">
        <v>0</v>
      </c>
      <c r="Y221" s="335">
        <v>1</v>
      </c>
      <c r="Z221" s="335">
        <v>0</v>
      </c>
      <c r="AA221" s="335">
        <v>0</v>
      </c>
      <c r="AB221" s="473"/>
      <c r="AC221" s="473"/>
      <c r="AD221" s="473"/>
      <c r="AE221" s="473"/>
      <c r="AF221" s="473"/>
      <c r="AK221" s="310" t="str">
        <v>Ethernet (60Mbps)</v>
      </c>
      <c r="AM221" s="335">
        <v>0</v>
      </c>
      <c r="AN221" s="335">
        <v>0</v>
      </c>
      <c r="AO221" s="335">
        <v>0</v>
      </c>
      <c r="AP221" s="335">
        <v>1.28</v>
      </c>
      <c r="AQ221" s="335">
        <v>0</v>
      </c>
      <c r="AR221" s="335">
        <v>0</v>
      </c>
      <c r="AS221" s="473"/>
      <c r="AT221" s="473"/>
      <c r="AU221" s="473"/>
      <c r="AV221" s="473"/>
      <c r="AW221" s="473"/>
    </row>
    <row r="222" spans="3:49" s="299" customFormat="1">
      <c r="C222" s="310" t="str">
        <v>Ethernet (70Mbps)</v>
      </c>
      <c r="E222" s="335">
        <v>0</v>
      </c>
      <c r="F222" s="335">
        <v>0</v>
      </c>
      <c r="G222" s="335">
        <v>0</v>
      </c>
      <c r="H222" s="335">
        <v>4.0000000000000036E-2</v>
      </c>
      <c r="I222" s="335">
        <v>0.14999999999999991</v>
      </c>
      <c r="J222" s="335">
        <v>0.14999999999999991</v>
      </c>
      <c r="K222" s="473"/>
      <c r="L222" s="473"/>
      <c r="M222" s="473"/>
      <c r="N222" s="473"/>
      <c r="O222" s="473"/>
      <c r="T222" s="310" t="str">
        <v>Ethernet (70Mbps)</v>
      </c>
      <c r="V222" s="335">
        <v>0</v>
      </c>
      <c r="W222" s="335">
        <v>0</v>
      </c>
      <c r="X222" s="335">
        <v>0</v>
      </c>
      <c r="Y222" s="335">
        <v>1</v>
      </c>
      <c r="Z222" s="335">
        <v>1</v>
      </c>
      <c r="AA222" s="335">
        <v>1</v>
      </c>
      <c r="AB222" s="473"/>
      <c r="AC222" s="473"/>
      <c r="AD222" s="473"/>
      <c r="AE222" s="473"/>
      <c r="AF222" s="473"/>
      <c r="AK222" s="310" t="str">
        <v>Ethernet (70Mbps)</v>
      </c>
      <c r="AM222" s="335">
        <v>0</v>
      </c>
      <c r="AN222" s="335">
        <v>0</v>
      </c>
      <c r="AO222" s="335">
        <v>0</v>
      </c>
      <c r="AP222" s="335">
        <v>1.04</v>
      </c>
      <c r="AQ222" s="335">
        <v>1.1499999999999999</v>
      </c>
      <c r="AR222" s="335">
        <v>1.1499999999999999</v>
      </c>
      <c r="AS222" s="473"/>
      <c r="AT222" s="473"/>
      <c r="AU222" s="473"/>
      <c r="AV222" s="473"/>
      <c r="AW222" s="473"/>
    </row>
    <row r="223" spans="3:49" s="299" customFormat="1">
      <c r="C223" s="310" t="str">
        <v>Ethernet (80Mbps)</v>
      </c>
      <c r="E223" s="335">
        <v>0</v>
      </c>
      <c r="F223" s="335">
        <v>0</v>
      </c>
      <c r="G223" s="335">
        <v>0</v>
      </c>
      <c r="H223" s="335">
        <v>0</v>
      </c>
      <c r="I223" s="335">
        <v>0</v>
      </c>
      <c r="J223" s="335">
        <v>0</v>
      </c>
      <c r="K223" s="473"/>
      <c r="L223" s="473"/>
      <c r="M223" s="473"/>
      <c r="N223" s="473"/>
      <c r="O223" s="473"/>
      <c r="T223" s="310" t="str">
        <v>Ethernet (80Mbps)</v>
      </c>
      <c r="V223" s="335">
        <v>0</v>
      </c>
      <c r="W223" s="335">
        <v>0</v>
      </c>
      <c r="X223" s="335">
        <v>0</v>
      </c>
      <c r="Y223" s="335">
        <v>0</v>
      </c>
      <c r="Z223" s="335">
        <v>0</v>
      </c>
      <c r="AA223" s="335">
        <v>0</v>
      </c>
      <c r="AB223" s="473"/>
      <c r="AC223" s="473"/>
      <c r="AD223" s="473"/>
      <c r="AE223" s="473"/>
      <c r="AF223" s="473"/>
      <c r="AK223" s="310" t="str">
        <v>Ethernet (80Mbps)</v>
      </c>
      <c r="AM223" s="335">
        <v>0</v>
      </c>
      <c r="AN223" s="335">
        <v>0</v>
      </c>
      <c r="AO223" s="335">
        <v>0</v>
      </c>
      <c r="AP223" s="335">
        <v>0</v>
      </c>
      <c r="AQ223" s="335">
        <v>0</v>
      </c>
      <c r="AR223" s="335">
        <v>0</v>
      </c>
      <c r="AS223" s="473"/>
      <c r="AT223" s="473"/>
      <c r="AU223" s="473"/>
      <c r="AV223" s="473"/>
      <c r="AW223" s="473"/>
    </row>
    <row r="224" spans="3:49" s="299" customFormat="1">
      <c r="C224" s="310" t="str">
        <v>Ethernet (90Mbps)</v>
      </c>
      <c r="E224" s="335">
        <v>0</v>
      </c>
      <c r="F224" s="335">
        <v>0</v>
      </c>
      <c r="G224" s="335">
        <v>0</v>
      </c>
      <c r="H224" s="335">
        <v>0</v>
      </c>
      <c r="I224" s="335">
        <v>0</v>
      </c>
      <c r="J224" s="335">
        <v>0</v>
      </c>
      <c r="K224" s="473"/>
      <c r="L224" s="473"/>
      <c r="M224" s="473"/>
      <c r="N224" s="473"/>
      <c r="O224" s="473"/>
      <c r="T224" s="310" t="str">
        <v>Ethernet (90Mbps)</v>
      </c>
      <c r="V224" s="335">
        <v>0</v>
      </c>
      <c r="W224" s="335">
        <v>0</v>
      </c>
      <c r="X224" s="335">
        <v>0</v>
      </c>
      <c r="Y224" s="335">
        <v>0</v>
      </c>
      <c r="Z224" s="335">
        <v>0</v>
      </c>
      <c r="AA224" s="335">
        <v>0</v>
      </c>
      <c r="AB224" s="473"/>
      <c r="AC224" s="473"/>
      <c r="AD224" s="473"/>
      <c r="AE224" s="473"/>
      <c r="AF224" s="473"/>
      <c r="AK224" s="310" t="str">
        <v>Ethernet (90Mbps)</v>
      </c>
      <c r="AM224" s="335">
        <v>0</v>
      </c>
      <c r="AN224" s="335">
        <v>0</v>
      </c>
      <c r="AO224" s="335">
        <v>0</v>
      </c>
      <c r="AP224" s="335">
        <v>0</v>
      </c>
      <c r="AQ224" s="335">
        <v>0</v>
      </c>
      <c r="AR224" s="335">
        <v>0</v>
      </c>
      <c r="AS224" s="473"/>
      <c r="AT224" s="473"/>
      <c r="AU224" s="473"/>
      <c r="AV224" s="473"/>
      <c r="AW224" s="473"/>
    </row>
    <row r="225" spans="3:51" s="299" customFormat="1">
      <c r="C225" s="310" t="str">
        <v>GigaEthernet (100Mbps)</v>
      </c>
      <c r="E225" s="335">
        <v>0</v>
      </c>
      <c r="F225" s="335">
        <v>0</v>
      </c>
      <c r="G225" s="335">
        <v>0</v>
      </c>
      <c r="H225" s="335">
        <v>0</v>
      </c>
      <c r="I225" s="335">
        <v>0</v>
      </c>
      <c r="J225" s="335">
        <v>0</v>
      </c>
      <c r="K225" s="473"/>
      <c r="L225" s="473"/>
      <c r="M225" s="473"/>
      <c r="N225" s="473"/>
      <c r="O225" s="473"/>
      <c r="T225" s="310" t="str">
        <v>GigaEthernet (100Mbps)</v>
      </c>
      <c r="V225" s="335">
        <v>0</v>
      </c>
      <c r="W225" s="335">
        <v>0</v>
      </c>
      <c r="X225" s="335">
        <v>0.92</v>
      </c>
      <c r="Y225" s="335">
        <v>3.72</v>
      </c>
      <c r="Z225" s="335">
        <v>3.33</v>
      </c>
      <c r="AA225" s="335">
        <v>5.5500000000000007</v>
      </c>
      <c r="AB225" s="473"/>
      <c r="AC225" s="473"/>
      <c r="AD225" s="473"/>
      <c r="AE225" s="473"/>
      <c r="AF225" s="473"/>
      <c r="AK225" s="310" t="str">
        <v>GigaEthernet (100Mbps)</v>
      </c>
      <c r="AM225" s="335">
        <v>0</v>
      </c>
      <c r="AN225" s="335">
        <v>0</v>
      </c>
      <c r="AO225" s="335">
        <v>0.92</v>
      </c>
      <c r="AP225" s="335">
        <v>3.72</v>
      </c>
      <c r="AQ225" s="335">
        <v>3.33</v>
      </c>
      <c r="AR225" s="335">
        <v>5.5500000000000007</v>
      </c>
      <c r="AS225" s="473"/>
      <c r="AT225" s="473"/>
      <c r="AU225" s="473"/>
      <c r="AV225" s="473"/>
      <c r="AW225" s="473"/>
    </row>
    <row r="226" spans="3:51" s="299" customFormat="1">
      <c r="C226" s="310" t="str">
        <v>GigaEthernet (150Mbps)</v>
      </c>
      <c r="E226" s="335">
        <v>0</v>
      </c>
      <c r="F226" s="335">
        <v>0</v>
      </c>
      <c r="G226" s="335">
        <v>0</v>
      </c>
      <c r="H226" s="335">
        <v>0</v>
      </c>
      <c r="I226" s="335">
        <v>0</v>
      </c>
      <c r="J226" s="335">
        <v>0</v>
      </c>
      <c r="K226" s="473"/>
      <c r="L226" s="473"/>
      <c r="M226" s="473"/>
      <c r="N226" s="473"/>
      <c r="O226" s="473"/>
      <c r="T226" s="310" t="str">
        <v>GigaEthernet (150Mbps)</v>
      </c>
      <c r="V226" s="335">
        <v>3</v>
      </c>
      <c r="W226" s="335">
        <v>2.84</v>
      </c>
      <c r="X226" s="335">
        <v>3.24</v>
      </c>
      <c r="Y226" s="335">
        <v>4.8</v>
      </c>
      <c r="Z226" s="335">
        <v>4.76</v>
      </c>
      <c r="AA226" s="335">
        <v>3.68</v>
      </c>
      <c r="AB226" s="473"/>
      <c r="AC226" s="473"/>
      <c r="AD226" s="473"/>
      <c r="AE226" s="473"/>
      <c r="AF226" s="473"/>
      <c r="AK226" s="310" t="str">
        <v>GigaEthernet (150Mbps)</v>
      </c>
      <c r="AM226" s="335">
        <v>3</v>
      </c>
      <c r="AN226" s="335">
        <v>2.84</v>
      </c>
      <c r="AO226" s="335">
        <v>3.24</v>
      </c>
      <c r="AP226" s="335">
        <v>4.8</v>
      </c>
      <c r="AQ226" s="335">
        <v>4.76</v>
      </c>
      <c r="AR226" s="335">
        <v>3.68</v>
      </c>
      <c r="AS226" s="473"/>
      <c r="AT226" s="473"/>
      <c r="AU226" s="473"/>
      <c r="AV226" s="473"/>
      <c r="AW226" s="473"/>
    </row>
    <row r="227" spans="3:51" s="299" customFormat="1">
      <c r="C227" s="310" t="str">
        <v>GigaEthernet (200Mbps)</v>
      </c>
      <c r="E227" s="335">
        <v>0</v>
      </c>
      <c r="F227" s="335">
        <v>0</v>
      </c>
      <c r="G227" s="335">
        <v>0</v>
      </c>
      <c r="H227" s="335">
        <v>0</v>
      </c>
      <c r="I227" s="335">
        <v>0</v>
      </c>
      <c r="J227" s="335">
        <v>0</v>
      </c>
      <c r="K227" s="473"/>
      <c r="L227" s="473"/>
      <c r="M227" s="473"/>
      <c r="N227" s="473"/>
      <c r="O227" s="473"/>
      <c r="T227" s="310" t="str">
        <v>GigaEthernet (200Mbps)</v>
      </c>
      <c r="V227" s="335">
        <v>0</v>
      </c>
      <c r="W227" s="335">
        <v>0</v>
      </c>
      <c r="X227" s="335">
        <v>0</v>
      </c>
      <c r="Y227" s="335">
        <v>0</v>
      </c>
      <c r="Z227" s="335">
        <v>2.2000000000000002</v>
      </c>
      <c r="AA227" s="335">
        <v>1</v>
      </c>
      <c r="AB227" s="473"/>
      <c r="AC227" s="473"/>
      <c r="AD227" s="473"/>
      <c r="AE227" s="473"/>
      <c r="AF227" s="473"/>
      <c r="AK227" s="310" t="str">
        <v>GigaEthernet (200Mbps)</v>
      </c>
      <c r="AM227" s="335">
        <v>0</v>
      </c>
      <c r="AN227" s="335">
        <v>0</v>
      </c>
      <c r="AO227" s="335">
        <v>0</v>
      </c>
      <c r="AP227" s="335">
        <v>0</v>
      </c>
      <c r="AQ227" s="335">
        <v>2.2000000000000002</v>
      </c>
      <c r="AR227" s="335">
        <v>1</v>
      </c>
      <c r="AS227" s="473"/>
      <c r="AT227" s="473"/>
      <c r="AU227" s="473"/>
      <c r="AV227" s="473"/>
      <c r="AW227" s="473"/>
    </row>
    <row r="228" spans="3:51" s="299" customFormat="1">
      <c r="C228" s="310" t="str">
        <v>GigaEthernet (250Mbps)</v>
      </c>
      <c r="E228" s="335">
        <v>0</v>
      </c>
      <c r="F228" s="335">
        <v>0</v>
      </c>
      <c r="G228" s="335">
        <v>0</v>
      </c>
      <c r="H228" s="335">
        <v>0</v>
      </c>
      <c r="I228" s="335">
        <v>0</v>
      </c>
      <c r="J228" s="335">
        <v>0</v>
      </c>
      <c r="K228" s="473"/>
      <c r="L228" s="473"/>
      <c r="M228" s="473"/>
      <c r="N228" s="473"/>
      <c r="O228" s="473"/>
      <c r="T228" s="310" t="str">
        <v>GigaEthernet (250Mbps)</v>
      </c>
      <c r="V228" s="335">
        <v>0</v>
      </c>
      <c r="W228" s="335">
        <v>0</v>
      </c>
      <c r="X228" s="335">
        <v>0</v>
      </c>
      <c r="Y228" s="335">
        <v>0</v>
      </c>
      <c r="Z228" s="335">
        <v>0</v>
      </c>
      <c r="AA228" s="335">
        <v>0.87</v>
      </c>
      <c r="AB228" s="473"/>
      <c r="AC228" s="473"/>
      <c r="AD228" s="473"/>
      <c r="AE228" s="473"/>
      <c r="AF228" s="473"/>
      <c r="AK228" s="310" t="str">
        <v>GigaEthernet (250Mbps)</v>
      </c>
      <c r="AM228" s="335">
        <v>0</v>
      </c>
      <c r="AN228" s="335">
        <v>0</v>
      </c>
      <c r="AO228" s="335">
        <v>0</v>
      </c>
      <c r="AP228" s="335">
        <v>0</v>
      </c>
      <c r="AQ228" s="335">
        <v>0</v>
      </c>
      <c r="AR228" s="335">
        <v>0.87</v>
      </c>
      <c r="AS228" s="473"/>
      <c r="AT228" s="473"/>
      <c r="AU228" s="473"/>
      <c r="AV228" s="473"/>
      <c r="AW228" s="473"/>
    </row>
    <row r="229" spans="3:51" s="299" customFormat="1">
      <c r="C229" s="310" t="str">
        <v>GigaEthernet (300Mbps)</v>
      </c>
      <c r="E229" s="335">
        <v>0</v>
      </c>
      <c r="F229" s="335">
        <v>0</v>
      </c>
      <c r="G229" s="335">
        <v>0</v>
      </c>
      <c r="H229" s="335">
        <v>0</v>
      </c>
      <c r="I229" s="335">
        <v>0</v>
      </c>
      <c r="J229" s="335">
        <v>0</v>
      </c>
      <c r="K229" s="473"/>
      <c r="L229" s="473"/>
      <c r="M229" s="473"/>
      <c r="N229" s="473"/>
      <c r="O229" s="473"/>
      <c r="T229" s="310" t="str">
        <v>GigaEthernet (300Mbps)</v>
      </c>
      <c r="V229" s="335">
        <v>0</v>
      </c>
      <c r="W229" s="335">
        <v>0</v>
      </c>
      <c r="X229" s="335">
        <v>0</v>
      </c>
      <c r="Y229" s="335">
        <v>0</v>
      </c>
      <c r="Z229" s="335">
        <v>0</v>
      </c>
      <c r="AA229" s="335">
        <v>0</v>
      </c>
      <c r="AB229" s="473"/>
      <c r="AC229" s="473"/>
      <c r="AD229" s="473"/>
      <c r="AE229" s="473"/>
      <c r="AF229" s="473"/>
      <c r="AK229" s="310" t="str">
        <v>GigaEthernet (300Mbps)</v>
      </c>
      <c r="AM229" s="335">
        <v>0</v>
      </c>
      <c r="AN229" s="335">
        <v>0</v>
      </c>
      <c r="AO229" s="335">
        <v>0</v>
      </c>
      <c r="AP229" s="335">
        <v>0</v>
      </c>
      <c r="AQ229" s="335">
        <v>0</v>
      </c>
      <c r="AR229" s="335">
        <v>0</v>
      </c>
      <c r="AS229" s="473"/>
      <c r="AT229" s="473"/>
      <c r="AU229" s="473"/>
      <c r="AV229" s="473"/>
      <c r="AW229" s="473"/>
    </row>
    <row r="230" spans="3:51" s="299" customFormat="1">
      <c r="C230" s="310" t="str">
        <v>GigaEthernet (350Mbps)</v>
      </c>
      <c r="E230" s="335">
        <v>0</v>
      </c>
      <c r="F230" s="335">
        <v>0</v>
      </c>
      <c r="G230" s="335">
        <v>0</v>
      </c>
      <c r="H230" s="335">
        <v>0</v>
      </c>
      <c r="I230" s="335">
        <v>0</v>
      </c>
      <c r="J230" s="335">
        <v>0</v>
      </c>
      <c r="K230" s="473"/>
      <c r="L230" s="473"/>
      <c r="M230" s="473"/>
      <c r="N230" s="473"/>
      <c r="O230" s="473"/>
      <c r="T230" s="310" t="str">
        <v>GigaEthernet (350Mbps)</v>
      </c>
      <c r="V230" s="335">
        <v>0</v>
      </c>
      <c r="W230" s="335">
        <v>0</v>
      </c>
      <c r="X230" s="335">
        <v>0</v>
      </c>
      <c r="Y230" s="335">
        <v>0</v>
      </c>
      <c r="Z230" s="335">
        <v>0</v>
      </c>
      <c r="AA230" s="335">
        <v>0</v>
      </c>
      <c r="AB230" s="473"/>
      <c r="AC230" s="473"/>
      <c r="AD230" s="473"/>
      <c r="AE230" s="473"/>
      <c r="AF230" s="473"/>
      <c r="AK230" s="310" t="str">
        <v>GigaEthernet (350Mbps)</v>
      </c>
      <c r="AM230" s="335">
        <v>0</v>
      </c>
      <c r="AN230" s="335">
        <v>0</v>
      </c>
      <c r="AO230" s="335">
        <v>0</v>
      </c>
      <c r="AP230" s="335">
        <v>0</v>
      </c>
      <c r="AQ230" s="335">
        <v>0</v>
      </c>
      <c r="AR230" s="335">
        <v>0</v>
      </c>
      <c r="AS230" s="473"/>
      <c r="AT230" s="473"/>
      <c r="AU230" s="473"/>
      <c r="AV230" s="473"/>
      <c r="AW230" s="473"/>
    </row>
    <row r="231" spans="3:51" s="299" customFormat="1">
      <c r="C231" s="310" t="str">
        <v>GigaEthernet (400Mbps)</v>
      </c>
      <c r="E231" s="335">
        <v>0</v>
      </c>
      <c r="F231" s="335">
        <v>0</v>
      </c>
      <c r="G231" s="335">
        <v>0</v>
      </c>
      <c r="H231" s="335">
        <v>0</v>
      </c>
      <c r="I231" s="335">
        <v>0</v>
      </c>
      <c r="J231" s="335">
        <v>0</v>
      </c>
      <c r="K231" s="473"/>
      <c r="L231" s="473"/>
      <c r="M231" s="473"/>
      <c r="N231" s="473"/>
      <c r="O231" s="473"/>
      <c r="T231" s="310" t="str">
        <v>GigaEthernet (400Mbps)</v>
      </c>
      <c r="V231" s="335">
        <v>0</v>
      </c>
      <c r="W231" s="335">
        <v>0</v>
      </c>
      <c r="X231" s="335">
        <v>0</v>
      </c>
      <c r="Y231" s="335">
        <v>0</v>
      </c>
      <c r="Z231" s="335">
        <v>0</v>
      </c>
      <c r="AA231" s="335">
        <v>0</v>
      </c>
      <c r="AB231" s="473"/>
      <c r="AC231" s="473"/>
      <c r="AD231" s="473"/>
      <c r="AE231" s="473"/>
      <c r="AF231" s="473"/>
      <c r="AK231" s="310" t="str">
        <v>GigaEthernet (400Mbps)</v>
      </c>
      <c r="AM231" s="335">
        <v>0</v>
      </c>
      <c r="AN231" s="335">
        <v>0</v>
      </c>
      <c r="AO231" s="335">
        <v>0</v>
      </c>
      <c r="AP231" s="335">
        <v>0</v>
      </c>
      <c r="AQ231" s="335">
        <v>0</v>
      </c>
      <c r="AR231" s="335">
        <v>0</v>
      </c>
      <c r="AS231" s="473"/>
      <c r="AT231" s="473"/>
      <c r="AU231" s="473"/>
      <c r="AV231" s="473"/>
      <c r="AW231" s="473"/>
    </row>
    <row r="232" spans="3:51" s="299" customFormat="1">
      <c r="C232" s="310" t="str">
        <v>GigaEthernet (450Mbps)</v>
      </c>
      <c r="E232" s="335">
        <v>0</v>
      </c>
      <c r="F232" s="335">
        <v>0</v>
      </c>
      <c r="G232" s="335">
        <v>0</v>
      </c>
      <c r="H232" s="335">
        <v>0</v>
      </c>
      <c r="I232" s="335">
        <v>0</v>
      </c>
      <c r="J232" s="335">
        <v>0</v>
      </c>
      <c r="K232" s="473"/>
      <c r="L232" s="473"/>
      <c r="M232" s="473"/>
      <c r="N232" s="473"/>
      <c r="O232" s="473"/>
      <c r="T232" s="310" t="str">
        <v>GigaEthernet (450Mbps)</v>
      </c>
      <c r="V232" s="335">
        <v>0</v>
      </c>
      <c r="W232" s="335">
        <v>0</v>
      </c>
      <c r="X232" s="335">
        <v>0</v>
      </c>
      <c r="Y232" s="335">
        <v>0</v>
      </c>
      <c r="Z232" s="335">
        <v>0</v>
      </c>
      <c r="AA232" s="335">
        <v>0</v>
      </c>
      <c r="AB232" s="473"/>
      <c r="AC232" s="473"/>
      <c r="AD232" s="473"/>
      <c r="AE232" s="473"/>
      <c r="AF232" s="473"/>
      <c r="AK232" s="310" t="str">
        <v>GigaEthernet (450Mbps)</v>
      </c>
      <c r="AM232" s="335">
        <v>0</v>
      </c>
      <c r="AN232" s="335">
        <v>0</v>
      </c>
      <c r="AO232" s="335">
        <v>0</v>
      </c>
      <c r="AP232" s="335">
        <v>0</v>
      </c>
      <c r="AQ232" s="335">
        <v>0</v>
      </c>
      <c r="AR232" s="335">
        <v>0</v>
      </c>
      <c r="AS232" s="473"/>
      <c r="AT232" s="473"/>
      <c r="AU232" s="473"/>
      <c r="AV232" s="473"/>
      <c r="AW232" s="473"/>
    </row>
    <row r="233" spans="3:51" s="299" customFormat="1">
      <c r="C233" s="310" t="str">
        <v>GigaEthernet (500Mbps)</v>
      </c>
      <c r="E233" s="335">
        <v>0</v>
      </c>
      <c r="F233" s="335">
        <v>0</v>
      </c>
      <c r="G233" s="335">
        <v>0</v>
      </c>
      <c r="H233" s="335">
        <v>0</v>
      </c>
      <c r="I233" s="335">
        <v>0</v>
      </c>
      <c r="J233" s="335">
        <v>0</v>
      </c>
      <c r="K233" s="473"/>
      <c r="L233" s="473"/>
      <c r="M233" s="473"/>
      <c r="N233" s="473"/>
      <c r="O233" s="473"/>
      <c r="T233" s="310" t="str">
        <v>GigaEthernet (500Mbps)</v>
      </c>
      <c r="V233" s="335">
        <v>0</v>
      </c>
      <c r="W233" s="335">
        <v>0</v>
      </c>
      <c r="X233" s="335">
        <v>0</v>
      </c>
      <c r="Y233" s="335">
        <v>0</v>
      </c>
      <c r="Z233" s="335">
        <v>0</v>
      </c>
      <c r="AA233" s="335">
        <v>0</v>
      </c>
      <c r="AB233" s="473"/>
      <c r="AC233" s="473"/>
      <c r="AD233" s="473"/>
      <c r="AE233" s="473"/>
      <c r="AF233" s="473"/>
      <c r="AK233" s="310" t="str">
        <v>GigaEthernet (500Mbps)</v>
      </c>
      <c r="AM233" s="335">
        <v>0</v>
      </c>
      <c r="AN233" s="335">
        <v>0</v>
      </c>
      <c r="AO233" s="335">
        <v>0</v>
      </c>
      <c r="AP233" s="335">
        <v>0</v>
      </c>
      <c r="AQ233" s="335">
        <v>0</v>
      </c>
      <c r="AR233" s="335">
        <v>0</v>
      </c>
      <c r="AS233" s="473"/>
      <c r="AT233" s="473"/>
      <c r="AU233" s="473"/>
      <c r="AV233" s="473"/>
      <c r="AW233" s="473"/>
    </row>
    <row r="234" spans="3:51" s="299" customFormat="1">
      <c r="C234" s="310" t="str">
        <v>GigaEthernet (550Mbps)</v>
      </c>
      <c r="E234" s="336">
        <v>0</v>
      </c>
      <c r="F234" s="335">
        <v>0</v>
      </c>
      <c r="G234" s="335">
        <v>0</v>
      </c>
      <c r="H234" s="335">
        <v>0</v>
      </c>
      <c r="I234" s="335">
        <v>0</v>
      </c>
      <c r="J234" s="335">
        <v>0</v>
      </c>
      <c r="K234" s="473"/>
      <c r="L234" s="473"/>
      <c r="M234" s="473"/>
      <c r="N234" s="473"/>
      <c r="O234" s="473"/>
      <c r="T234" s="310" t="str">
        <v>GigaEthernet (550Mbps)</v>
      </c>
      <c r="V234" s="336">
        <v>0</v>
      </c>
      <c r="W234" s="335">
        <v>0</v>
      </c>
      <c r="X234" s="335">
        <v>0</v>
      </c>
      <c r="Y234" s="335">
        <v>0</v>
      </c>
      <c r="Z234" s="335">
        <v>0</v>
      </c>
      <c r="AA234" s="335">
        <v>0</v>
      </c>
      <c r="AB234" s="473"/>
      <c r="AC234" s="473"/>
      <c r="AD234" s="473"/>
      <c r="AE234" s="473"/>
      <c r="AF234" s="473"/>
      <c r="AK234" s="310" t="str">
        <v>GigaEthernet (550Mbps)</v>
      </c>
      <c r="AM234" s="336">
        <v>0</v>
      </c>
      <c r="AN234" s="335">
        <v>0</v>
      </c>
      <c r="AO234" s="335">
        <v>0</v>
      </c>
      <c r="AP234" s="335">
        <v>0</v>
      </c>
      <c r="AQ234" s="335">
        <v>0</v>
      </c>
      <c r="AR234" s="335">
        <v>0</v>
      </c>
      <c r="AS234" s="473"/>
      <c r="AT234" s="473"/>
      <c r="AU234" s="473"/>
      <c r="AV234" s="473"/>
      <c r="AW234" s="473"/>
    </row>
    <row r="235" spans="3:51" s="299" customFormat="1">
      <c r="C235" s="310" t="str">
        <v>GigaEthernet (600Mbps)</v>
      </c>
      <c r="E235" s="335">
        <v>0</v>
      </c>
      <c r="F235" s="335">
        <v>0</v>
      </c>
      <c r="G235" s="335">
        <v>0</v>
      </c>
      <c r="H235" s="335">
        <v>0</v>
      </c>
      <c r="I235" s="335">
        <v>0</v>
      </c>
      <c r="J235" s="335">
        <v>0</v>
      </c>
      <c r="K235" s="473"/>
      <c r="L235" s="473"/>
      <c r="M235" s="473"/>
      <c r="N235" s="473"/>
      <c r="O235" s="473"/>
      <c r="T235" s="310" t="str">
        <v>GigaEthernet (600Mbps)</v>
      </c>
      <c r="V235" s="335">
        <v>0</v>
      </c>
      <c r="W235" s="335">
        <v>0</v>
      </c>
      <c r="X235" s="335">
        <v>0</v>
      </c>
      <c r="Y235" s="335">
        <v>0</v>
      </c>
      <c r="Z235" s="335">
        <v>0</v>
      </c>
      <c r="AA235" s="335">
        <v>0</v>
      </c>
      <c r="AB235" s="473"/>
      <c r="AC235" s="473"/>
      <c r="AD235" s="473"/>
      <c r="AE235" s="473"/>
      <c r="AF235" s="473"/>
      <c r="AK235" s="310" t="str">
        <v>GigaEthernet (600Mbps)</v>
      </c>
      <c r="AM235" s="335">
        <v>0</v>
      </c>
      <c r="AN235" s="335">
        <v>0</v>
      </c>
      <c r="AO235" s="335">
        <v>0</v>
      </c>
      <c r="AP235" s="335">
        <v>0</v>
      </c>
      <c r="AQ235" s="335">
        <v>0</v>
      </c>
      <c r="AR235" s="335">
        <v>0</v>
      </c>
      <c r="AS235" s="473"/>
      <c r="AT235" s="473"/>
      <c r="AU235" s="473"/>
      <c r="AV235" s="473"/>
      <c r="AW235" s="473"/>
    </row>
    <row r="236" spans="3:51" s="299" customFormat="1">
      <c r="C236" s="310" t="str">
        <v>GigaEthernet (750Mbps)</v>
      </c>
      <c r="E236" s="335">
        <v>0</v>
      </c>
      <c r="F236" s="335">
        <v>0</v>
      </c>
      <c r="G236" s="335">
        <v>0</v>
      </c>
      <c r="H236" s="335">
        <v>0</v>
      </c>
      <c r="I236" s="335">
        <v>0</v>
      </c>
      <c r="J236" s="335">
        <v>0</v>
      </c>
      <c r="K236" s="473"/>
      <c r="L236" s="473"/>
      <c r="M236" s="473"/>
      <c r="N236" s="473"/>
      <c r="O236" s="473"/>
      <c r="T236" s="310" t="str">
        <v>GigaEthernet (750Mbps)</v>
      </c>
      <c r="V236" s="335">
        <v>0</v>
      </c>
      <c r="W236" s="335">
        <v>0</v>
      </c>
      <c r="X236" s="335">
        <v>0</v>
      </c>
      <c r="Y236" s="335">
        <v>0</v>
      </c>
      <c r="Z236" s="335">
        <v>0</v>
      </c>
      <c r="AA236" s="335">
        <v>0</v>
      </c>
      <c r="AB236" s="473"/>
      <c r="AC236" s="473"/>
      <c r="AD236" s="473"/>
      <c r="AE236" s="473"/>
      <c r="AF236" s="473"/>
      <c r="AK236" s="310" t="str">
        <v>GigaEthernet (750Mbps)</v>
      </c>
      <c r="AM236" s="335">
        <v>0</v>
      </c>
      <c r="AN236" s="335">
        <v>0</v>
      </c>
      <c r="AO236" s="335">
        <v>0</v>
      </c>
      <c r="AP236" s="335">
        <v>0</v>
      </c>
      <c r="AQ236" s="335">
        <v>0</v>
      </c>
      <c r="AR236" s="335">
        <v>0</v>
      </c>
      <c r="AS236" s="473"/>
      <c r="AT236" s="473"/>
      <c r="AU236" s="473"/>
      <c r="AV236" s="473"/>
      <c r="AW236" s="473"/>
    </row>
    <row r="237" spans="3:51" s="299" customFormat="1">
      <c r="C237" s="310" t="str">
        <v>GigaEthernet (1 Gbps)</v>
      </c>
      <c r="E237" s="335">
        <v>0</v>
      </c>
      <c r="F237" s="335">
        <v>0</v>
      </c>
      <c r="G237" s="335">
        <v>0</v>
      </c>
      <c r="H237" s="335">
        <v>0</v>
      </c>
      <c r="I237" s="335">
        <v>0</v>
      </c>
      <c r="J237" s="335">
        <v>0</v>
      </c>
      <c r="K237" s="473"/>
      <c r="L237" s="473"/>
      <c r="M237" s="473"/>
      <c r="N237" s="473"/>
      <c r="O237" s="473"/>
      <c r="Q237" s="326" t="s">
        <v>500</v>
      </c>
      <c r="T237" s="310" t="str">
        <v>GigaEthernet (1 Gbps)</v>
      </c>
      <c r="V237" s="335">
        <v>0</v>
      </c>
      <c r="W237" s="335">
        <v>0</v>
      </c>
      <c r="X237" s="335">
        <v>0</v>
      </c>
      <c r="Y237" s="335">
        <v>0</v>
      </c>
      <c r="Z237" s="335">
        <v>0</v>
      </c>
      <c r="AA237" s="335">
        <v>0</v>
      </c>
      <c r="AB237" s="473"/>
      <c r="AC237" s="473"/>
      <c r="AD237" s="473"/>
      <c r="AE237" s="473"/>
      <c r="AF237" s="473"/>
      <c r="AH237" s="338" t="s">
        <v>500</v>
      </c>
      <c r="AK237" s="310" t="str">
        <v>GigaEthernet (1 Gbps)</v>
      </c>
      <c r="AM237" s="335">
        <v>0</v>
      </c>
      <c r="AN237" s="335">
        <v>0</v>
      </c>
      <c r="AO237" s="335">
        <v>0</v>
      </c>
      <c r="AP237" s="335">
        <v>0</v>
      </c>
      <c r="AQ237" s="335">
        <v>0</v>
      </c>
      <c r="AR237" s="335">
        <v>0</v>
      </c>
      <c r="AS237" s="473"/>
      <c r="AT237" s="473"/>
      <c r="AU237" s="473"/>
      <c r="AV237" s="473"/>
      <c r="AW237" s="473"/>
      <c r="AY237" s="338" t="s">
        <v>500</v>
      </c>
    </row>
    <row r="238" spans="3:51" s="299" customFormat="1">
      <c r="E238" s="337">
        <f>SUM(E200:E237)</f>
        <v>2233.7800000000002</v>
      </c>
      <c r="F238" s="337">
        <f t="shared" ref="F238" si="14">SUM(F200:F237)</f>
        <v>2363.0200000000004</v>
      </c>
      <c r="G238" s="337">
        <f t="shared" ref="G238" si="15">SUM(G200:G237)</f>
        <v>1967.89</v>
      </c>
      <c r="H238" s="337">
        <f t="shared" ref="H238" si="16">SUM(H200:H237)</f>
        <v>2196.17</v>
      </c>
      <c r="I238" s="337">
        <f t="shared" ref="I238" si="17">SUM(I200:I237)</f>
        <v>2238.8600000000006</v>
      </c>
      <c r="J238" s="337">
        <f t="shared" ref="J238:O238" si="18">SUM(J200:J237)</f>
        <v>2222.1699999999996</v>
      </c>
      <c r="K238" s="337">
        <f t="shared" si="18"/>
        <v>0</v>
      </c>
      <c r="L238" s="337">
        <f t="shared" si="18"/>
        <v>0</v>
      </c>
      <c r="M238" s="337">
        <f t="shared" si="18"/>
        <v>0</v>
      </c>
      <c r="N238" s="337">
        <f t="shared" si="18"/>
        <v>0</v>
      </c>
      <c r="O238" s="337">
        <f t="shared" si="18"/>
        <v>0</v>
      </c>
      <c r="P238" s="307" t="s">
        <v>537</v>
      </c>
      <c r="Q238" s="334">
        <f>(J238/E238)^(1/(J199-E199))-1</f>
        <v>-1.0416614516279843E-3</v>
      </c>
      <c r="V238" s="337">
        <f>SUM(V200:V237)</f>
        <v>2697.9</v>
      </c>
      <c r="W238" s="337">
        <f t="shared" ref="W238:AA238" si="19">SUM(W200:W237)</f>
        <v>3241.69</v>
      </c>
      <c r="X238" s="337">
        <f t="shared" si="19"/>
        <v>2935.8399999999997</v>
      </c>
      <c r="Y238" s="337">
        <f t="shared" si="19"/>
        <v>3795.97</v>
      </c>
      <c r="Z238" s="337">
        <f t="shared" si="19"/>
        <v>3514.45</v>
      </c>
      <c r="AA238" s="337">
        <f t="shared" si="19"/>
        <v>4680.8500000000004</v>
      </c>
      <c r="AB238" s="337">
        <f t="shared" ref="AB238:AF238" si="20">SUM(AB200:AB237)</f>
        <v>0</v>
      </c>
      <c r="AC238" s="337">
        <f t="shared" si="20"/>
        <v>0</v>
      </c>
      <c r="AD238" s="337">
        <f t="shared" si="20"/>
        <v>0</v>
      </c>
      <c r="AE238" s="337">
        <f t="shared" si="20"/>
        <v>0</v>
      </c>
      <c r="AF238" s="337">
        <f t="shared" si="20"/>
        <v>0</v>
      </c>
      <c r="AG238" s="307" t="s">
        <v>607</v>
      </c>
      <c r="AH238" s="334">
        <f>(AA238/V238)^(1/(AA199-V199))-1</f>
        <v>0.11650269373205013</v>
      </c>
      <c r="AM238" s="337">
        <f>SUM(AM200:AM237)</f>
        <v>4931.6799999999985</v>
      </c>
      <c r="AN238" s="337">
        <f t="shared" ref="AN238:AR238" si="21">SUM(AN200:AN237)</f>
        <v>5604.7100000000009</v>
      </c>
      <c r="AO238" s="337">
        <f t="shared" si="21"/>
        <v>4903.7299999999996</v>
      </c>
      <c r="AP238" s="337">
        <f t="shared" si="21"/>
        <v>5992.1399999999994</v>
      </c>
      <c r="AQ238" s="337">
        <f t="shared" si="21"/>
        <v>5753.31</v>
      </c>
      <c r="AR238" s="337">
        <f t="shared" si="21"/>
        <v>6903.02</v>
      </c>
      <c r="AS238" s="337">
        <f t="shared" ref="AS238:AW238" si="22">SUM(AS200:AS237)</f>
        <v>0</v>
      </c>
      <c r="AT238" s="337">
        <f t="shared" si="22"/>
        <v>0</v>
      </c>
      <c r="AU238" s="337">
        <f t="shared" si="22"/>
        <v>0</v>
      </c>
      <c r="AV238" s="337">
        <f t="shared" si="22"/>
        <v>0</v>
      </c>
      <c r="AW238" s="337">
        <f t="shared" si="22"/>
        <v>0</v>
      </c>
      <c r="AX238" s="307" t="s">
        <v>600</v>
      </c>
      <c r="AY238" s="334">
        <f>(AR238/AM238)^(1/(AR199-AM199))-1</f>
        <v>6.9569102308618236E-2</v>
      </c>
    </row>
    <row r="239" spans="3:51" s="299" customFormat="1"/>
    <row r="240" spans="3:51" s="299" customFormat="1" ht="15">
      <c r="C240" s="332" t="s">
        <v>502</v>
      </c>
      <c r="T240" s="332" t="s">
        <v>502</v>
      </c>
      <c r="AK240" s="332" t="s">
        <v>502</v>
      </c>
    </row>
    <row r="241" spans="3:52" s="299" customFormat="1" ht="15">
      <c r="C241" s="332" t="s">
        <v>501</v>
      </c>
      <c r="T241" s="332" t="s">
        <v>501</v>
      </c>
      <c r="AK241" s="332" t="s">
        <v>501</v>
      </c>
    </row>
    <row r="242" spans="3:52" s="299" customFormat="1">
      <c r="AH242"/>
      <c r="AI242"/>
      <c r="AY242"/>
      <c r="AZ242"/>
    </row>
    <row r="243" spans="3:52" s="299" customFormat="1">
      <c r="C243" s="326" t="s">
        <v>442</v>
      </c>
      <c r="D243" s="326">
        <f t="array" ref="D243:O243">TRANSPOSE(Years)</f>
        <v>2008</v>
      </c>
      <c r="E243" s="326">
        <v>2009</v>
      </c>
      <c r="F243" s="326">
        <v>2010</v>
      </c>
      <c r="G243" s="326">
        <v>2011</v>
      </c>
      <c r="H243" s="326">
        <v>2012</v>
      </c>
      <c r="I243" s="326">
        <v>2013</v>
      </c>
      <c r="J243" s="326">
        <v>2014</v>
      </c>
      <c r="K243" s="326">
        <v>2015</v>
      </c>
      <c r="L243" s="326">
        <v>2016</v>
      </c>
      <c r="M243" s="326">
        <v>2017</v>
      </c>
      <c r="N243" s="326">
        <v>2018</v>
      </c>
      <c r="O243" s="326">
        <v>2019</v>
      </c>
      <c r="T243" s="338" t="s">
        <v>442</v>
      </c>
      <c r="U243" s="338">
        <f t="array" ref="U243:AF243">TRANSPOSE(Years)</f>
        <v>2008</v>
      </c>
      <c r="V243" s="338">
        <v>2009</v>
      </c>
      <c r="W243" s="338">
        <v>2010</v>
      </c>
      <c r="X243" s="338">
        <v>2011</v>
      </c>
      <c r="Y243" s="338">
        <v>2012</v>
      </c>
      <c r="Z243" s="338">
        <v>2013</v>
      </c>
      <c r="AA243" s="338">
        <v>2014</v>
      </c>
      <c r="AB243" s="338">
        <v>2015</v>
      </c>
      <c r="AC243" s="338">
        <v>2016</v>
      </c>
      <c r="AD243" s="338">
        <v>2017</v>
      </c>
      <c r="AE243" s="338">
        <v>2018</v>
      </c>
      <c r="AF243" s="338">
        <v>2019</v>
      </c>
      <c r="AH243"/>
      <c r="AI243"/>
      <c r="AK243" s="338" t="s">
        <v>442</v>
      </c>
      <c r="AL243" s="338">
        <f t="array" ref="AL243:AW243">TRANSPOSE(Years)</f>
        <v>2008</v>
      </c>
      <c r="AM243" s="338">
        <v>2009</v>
      </c>
      <c r="AN243" s="338">
        <v>2010</v>
      </c>
      <c r="AO243" s="338">
        <v>2011</v>
      </c>
      <c r="AP243" s="338">
        <v>2012</v>
      </c>
      <c r="AQ243" s="338">
        <v>2013</v>
      </c>
      <c r="AR243" s="338">
        <v>2014</v>
      </c>
      <c r="AS243" s="338">
        <v>2015</v>
      </c>
      <c r="AT243" s="338">
        <v>2016</v>
      </c>
      <c r="AU243" s="338">
        <v>2017</v>
      </c>
      <c r="AV243" s="338">
        <v>2018</v>
      </c>
      <c r="AW243" s="338">
        <v>2019</v>
      </c>
      <c r="AY243"/>
      <c r="AZ243"/>
    </row>
    <row r="244" spans="3:52" s="299" customFormat="1">
      <c r="C244" s="310" t="str">
        <f t="array" ref="C244:C281">LL.list</f>
        <v>64 kbps</v>
      </c>
      <c r="E244" s="333">
        <f t="array" ref="E244:E281">E200:E237/E238</f>
        <v>0.24745498661461734</v>
      </c>
      <c r="F244" s="333">
        <f t="array" ref="F244:F281">F200:F237/F238</f>
        <v>0.28298533232896883</v>
      </c>
      <c r="G244" s="333">
        <f t="array" ref="G244:G281">G200:G237/G238</f>
        <v>0.26435420679001365</v>
      </c>
      <c r="H244" s="333">
        <f t="array" ref="H244:H281">H200:H237/H238</f>
        <v>0.33002909610822473</v>
      </c>
      <c r="I244" s="333">
        <f t="array" ref="I244:I281">I200:I237/I238</f>
        <v>0.28709253816674563</v>
      </c>
      <c r="J244" s="333">
        <f t="array" ref="J244:J281">J200:J237/J238</f>
        <v>0.2953149399010877</v>
      </c>
      <c r="K244" s="474"/>
      <c r="L244" s="474"/>
      <c r="M244" s="474"/>
      <c r="N244" s="474"/>
      <c r="O244" s="474"/>
      <c r="T244" s="310" t="str">
        <f t="array" ref="T244:T281">LL.list</f>
        <v>64 kbps</v>
      </c>
      <c r="V244" s="333">
        <f t="array" ref="V244:V281">V200:V237/V238</f>
        <v>0.20534489788353905</v>
      </c>
      <c r="W244" s="333">
        <f t="array" ref="W244:W281">W200:W237/W238</f>
        <v>0.206682316939621</v>
      </c>
      <c r="X244" s="333">
        <f t="array" ref="X244:X281">X200:X237/X238</f>
        <v>0.17746198702926591</v>
      </c>
      <c r="Y244" s="333">
        <f t="array" ref="Y244:Y281">Y200:Y237/Y238</f>
        <v>0.19125546303052976</v>
      </c>
      <c r="Z244" s="333">
        <f t="array" ref="Z244:Z281">Z200:Z237/Z238</f>
        <v>0.18295892671684047</v>
      </c>
      <c r="AA244" s="333">
        <f t="array" ref="AA244:AA281">AA200:AA237/AA238</f>
        <v>0.14057275922108162</v>
      </c>
      <c r="AB244" s="474"/>
      <c r="AC244" s="474"/>
      <c r="AD244" s="474"/>
      <c r="AE244" s="474"/>
      <c r="AF244" s="474"/>
      <c r="AH244"/>
      <c r="AI244"/>
      <c r="AK244" s="310" t="str">
        <f t="array" ref="AK244:AK281">LL.list</f>
        <v>64 kbps</v>
      </c>
      <c r="AM244" s="333">
        <f t="array" ref="AM244:AM281">AM200:AM237/AM238</f>
        <v>0.22441845375206834</v>
      </c>
      <c r="AN244" s="333">
        <f t="array" ref="AN244:AN281">AN200:AN237/AN238</f>
        <v>0.23885267926440437</v>
      </c>
      <c r="AO244" s="333">
        <f t="array" ref="AO244:AO281">AO200:AO237/AO238</f>
        <v>0.21233224504611797</v>
      </c>
      <c r="AP244" s="333">
        <f t="array" ref="AP244:AP281">AP200:AP237/AP238</f>
        <v>0.24211717349728146</v>
      </c>
      <c r="AQ244" s="333">
        <f t="array" ref="AQ244:AQ281">AQ200:AQ237/AQ238</f>
        <v>0.2234817870060887</v>
      </c>
      <c r="AR244" s="333">
        <f t="array" ref="AR244:AR281">AR200:AR237/AR238</f>
        <v>0.19038623674855351</v>
      </c>
      <c r="AS244" s="474"/>
      <c r="AT244" s="474"/>
      <c r="AU244" s="474"/>
      <c r="AV244" s="474"/>
      <c r="AW244" s="474"/>
      <c r="AY244"/>
      <c r="AZ244"/>
    </row>
    <row r="245" spans="3:52" s="299" customFormat="1">
      <c r="C245" s="310" t="str">
        <v>128 kbps</v>
      </c>
      <c r="E245" s="333">
        <v>0.31486986184852572</v>
      </c>
      <c r="F245" s="333">
        <v>0.27295579385701341</v>
      </c>
      <c r="G245" s="333">
        <v>0.23174059525684867</v>
      </c>
      <c r="H245" s="333">
        <v>0.17789606451231008</v>
      </c>
      <c r="I245" s="333">
        <v>0.2153774688904174</v>
      </c>
      <c r="J245" s="333">
        <v>0.19788765035978351</v>
      </c>
      <c r="K245" s="474"/>
      <c r="L245" s="474"/>
      <c r="M245" s="474"/>
      <c r="N245" s="474"/>
      <c r="O245" s="474"/>
      <c r="T245" s="310" t="str">
        <v>128 kbps</v>
      </c>
      <c r="V245" s="333">
        <v>0.26131435560991884</v>
      </c>
      <c r="W245" s="333">
        <v>0.19897029018814261</v>
      </c>
      <c r="X245" s="333">
        <v>0.15566243392010465</v>
      </c>
      <c r="Y245" s="333">
        <v>0.10300397526850845</v>
      </c>
      <c r="Z245" s="333">
        <v>0.1374325996955427</v>
      </c>
      <c r="AA245" s="333">
        <v>9.4213657775831308E-2</v>
      </c>
      <c r="AB245" s="474"/>
      <c r="AC245" s="474"/>
      <c r="AD245" s="474"/>
      <c r="AE245" s="474"/>
      <c r="AF245" s="474"/>
      <c r="AH245"/>
      <c r="AI245"/>
      <c r="AK245" s="310" t="str">
        <v>128 kbps</v>
      </c>
      <c r="AM245" s="333">
        <v>0.28557205658112456</v>
      </c>
      <c r="AN245" s="333">
        <v>0.23016355886388409</v>
      </c>
      <c r="AO245" s="333">
        <v>0.18619295923715212</v>
      </c>
      <c r="AP245" s="333">
        <v>0.13045255951963741</v>
      </c>
      <c r="AQ245" s="333">
        <v>0.16776429568370207</v>
      </c>
      <c r="AR245" s="333">
        <v>0.12758763555661146</v>
      </c>
      <c r="AS245" s="474"/>
      <c r="AT245" s="474"/>
      <c r="AU245" s="474"/>
      <c r="AV245" s="474"/>
      <c r="AW245" s="474"/>
      <c r="AY245"/>
      <c r="AZ245"/>
    </row>
    <row r="246" spans="3:52" s="299" customFormat="1">
      <c r="C246" s="310" t="str">
        <v>192 kbps</v>
      </c>
      <c r="E246" s="333">
        <v>5.0819686808906861E-2</v>
      </c>
      <c r="F246" s="333">
        <v>4.8666536889234953E-2</v>
      </c>
      <c r="G246" s="333">
        <v>5.7797946023405766E-2</v>
      </c>
      <c r="H246" s="333">
        <v>3.5948947485850362E-2</v>
      </c>
      <c r="I246" s="333">
        <v>4.0333026629623986E-2</v>
      </c>
      <c r="J246" s="333">
        <v>2.998870473456126E-2</v>
      </c>
      <c r="K246" s="474"/>
      <c r="L246" s="474"/>
      <c r="M246" s="474"/>
      <c r="N246" s="474"/>
      <c r="O246" s="474"/>
      <c r="T246" s="310" t="str">
        <v>192 kbps</v>
      </c>
      <c r="V246" s="333">
        <v>4.2255087290114533E-2</v>
      </c>
      <c r="W246" s="333">
        <v>3.5783804126859754E-2</v>
      </c>
      <c r="X246" s="333">
        <v>3.8830453975693499E-2</v>
      </c>
      <c r="Y246" s="333">
        <v>2.1074982152124493E-2</v>
      </c>
      <c r="Z246" s="333">
        <v>2.5893098493363118E-2</v>
      </c>
      <c r="AA246" s="333">
        <v>1.4527276028926369E-2</v>
      </c>
      <c r="AB246" s="474"/>
      <c r="AC246" s="474"/>
      <c r="AD246" s="474"/>
      <c r="AE246" s="474"/>
      <c r="AF246" s="474"/>
      <c r="AH246"/>
      <c r="AI246"/>
      <c r="AK246" s="310" t="str">
        <v>192 kbps</v>
      </c>
      <c r="AM246" s="333">
        <v>4.6134380170651794E-2</v>
      </c>
      <c r="AN246" s="333">
        <v>4.1215334959346685E-2</v>
      </c>
      <c r="AO246" s="333">
        <v>4.6442198081868294E-2</v>
      </c>
      <c r="AP246" s="333">
        <v>2.6526416271982965E-2</v>
      </c>
      <c r="AQ246" s="333">
        <v>3.1512294661681706E-2</v>
      </c>
      <c r="AR246" s="333">
        <v>1.9504506723144358E-2</v>
      </c>
      <c r="AS246" s="474"/>
      <c r="AT246" s="474"/>
      <c r="AU246" s="474"/>
      <c r="AV246" s="474"/>
      <c r="AW246" s="474"/>
      <c r="AY246"/>
      <c r="AZ246"/>
    </row>
    <row r="247" spans="3:52" s="299" customFormat="1">
      <c r="C247" s="310" t="str">
        <v>256 kbps</v>
      </c>
      <c r="E247" s="333">
        <v>8.3271405420408451E-2</v>
      </c>
      <c r="F247" s="333">
        <v>0.13027820331609549</v>
      </c>
      <c r="G247" s="333">
        <v>0.12053519251584185</v>
      </c>
      <c r="H247" s="333">
        <v>0.10771024101048644</v>
      </c>
      <c r="I247" s="333">
        <v>0.16411030613794514</v>
      </c>
      <c r="J247" s="333">
        <v>0.1124981437063771</v>
      </c>
      <c r="K247" s="474"/>
      <c r="L247" s="474"/>
      <c r="M247" s="474"/>
      <c r="N247" s="474"/>
      <c r="O247" s="474"/>
      <c r="T247" s="310" t="str">
        <v>256 kbps</v>
      </c>
      <c r="V247" s="333">
        <v>6.9683828162645012E-2</v>
      </c>
      <c r="W247" s="333">
        <v>9.5012169578213831E-2</v>
      </c>
      <c r="X247" s="333">
        <v>8.1067088124693445E-2</v>
      </c>
      <c r="Y247" s="333">
        <v>6.2434634625668804E-2</v>
      </c>
      <c r="Z247" s="333">
        <v>0.10471055214898491</v>
      </c>
      <c r="AA247" s="333">
        <v>5.3622739459713506E-2</v>
      </c>
      <c r="AB247" s="474"/>
      <c r="AC247" s="474"/>
      <c r="AD247" s="474"/>
      <c r="AE247" s="474"/>
      <c r="AF247" s="474"/>
      <c r="AH247"/>
      <c r="AI247"/>
      <c r="AK247" s="310" t="str">
        <v>256 kbps</v>
      </c>
      <c r="AM247" s="333">
        <v>7.5838253901307481E-2</v>
      </c>
      <c r="AN247" s="333">
        <v>0.10988079668707211</v>
      </c>
      <c r="AO247" s="333">
        <v>9.6905824749731348E-2</v>
      </c>
      <c r="AP247" s="333">
        <v>7.9028527370855833E-2</v>
      </c>
      <c r="AQ247" s="333">
        <v>0.12782554738055135</v>
      </c>
      <c r="AR247" s="333">
        <v>7.2575481455942462E-2</v>
      </c>
      <c r="AS247" s="474"/>
      <c r="AT247" s="474"/>
      <c r="AU247" s="474"/>
      <c r="AV247" s="474"/>
      <c r="AW247" s="474"/>
      <c r="AY247"/>
      <c r="AZ247"/>
    </row>
    <row r="248" spans="3:52" s="299" customFormat="1">
      <c r="C248" s="310" t="str">
        <v>384 kbps</v>
      </c>
      <c r="E248" s="333">
        <v>8.5294881322242999E-2</v>
      </c>
      <c r="F248" s="333">
        <v>5.3829421672266842E-2</v>
      </c>
      <c r="G248" s="333">
        <v>7.6757339078911926E-2</v>
      </c>
      <c r="H248" s="333">
        <v>8.3563658551022935E-2</v>
      </c>
      <c r="I248" s="333">
        <v>9.5968483960587062E-2</v>
      </c>
      <c r="J248" s="333">
        <v>7.2406701557486602E-2</v>
      </c>
      <c r="K248" s="474"/>
      <c r="L248" s="474"/>
      <c r="M248" s="474"/>
      <c r="N248" s="474"/>
      <c r="O248" s="474"/>
      <c r="T248" s="310" t="str">
        <v>384 kbps</v>
      </c>
      <c r="V248" s="333">
        <v>7.1166462804403419E-2</v>
      </c>
      <c r="W248" s="333">
        <v>3.9485576967569387E-2</v>
      </c>
      <c r="X248" s="333">
        <v>5.1773938634258006E-2</v>
      </c>
      <c r="Y248" s="333">
        <v>4.8735896226787888E-2</v>
      </c>
      <c r="Z248" s="333">
        <v>6.1460541478752011E-2</v>
      </c>
      <c r="AA248" s="333">
        <v>3.439546236260508E-2</v>
      </c>
      <c r="AB248" s="474"/>
      <c r="AC248" s="474"/>
      <c r="AD248" s="474"/>
      <c r="AE248" s="474"/>
      <c r="AF248" s="474"/>
      <c r="AH248"/>
      <c r="AI248"/>
      <c r="AK248" s="310" t="str">
        <v>384 kbps</v>
      </c>
      <c r="AM248" s="333">
        <v>7.7565859909807633E-2</v>
      </c>
      <c r="AN248" s="333">
        <v>4.553313195508777E-2</v>
      </c>
      <c r="AO248" s="333">
        <v>6.1799895181830981E-2</v>
      </c>
      <c r="AP248" s="333">
        <v>6.150056574112088E-2</v>
      </c>
      <c r="AQ248" s="333">
        <v>7.4889063860629795E-2</v>
      </c>
      <c r="AR248" s="333">
        <v>4.6631764068480165E-2</v>
      </c>
      <c r="AS248" s="474"/>
      <c r="AT248" s="474"/>
      <c r="AU248" s="474"/>
      <c r="AV248" s="474"/>
      <c r="AW248" s="474"/>
      <c r="AY248"/>
      <c r="AZ248"/>
    </row>
    <row r="249" spans="3:52" s="299" customFormat="1">
      <c r="C249" s="310" t="str">
        <v>512 kbps</v>
      </c>
      <c r="E249" s="333">
        <v>0.13949896587846608</v>
      </c>
      <c r="F249" s="333">
        <v>0.11832739460520857</v>
      </c>
      <c r="G249" s="333">
        <v>0.12526106642139551</v>
      </c>
      <c r="H249" s="333">
        <v>0.12323271877860091</v>
      </c>
      <c r="I249" s="333">
        <v>7.9737009013515783E-2</v>
      </c>
      <c r="J249" s="333">
        <v>0.100838369701688</v>
      </c>
      <c r="K249" s="474"/>
      <c r="L249" s="474"/>
      <c r="M249" s="474"/>
      <c r="N249" s="474"/>
      <c r="O249" s="474"/>
      <c r="T249" s="310" t="str">
        <v>512 kbps</v>
      </c>
      <c r="V249" s="333">
        <v>0.11564550205715556</v>
      </c>
      <c r="W249" s="333">
        <v>8.6374699616558026E-2</v>
      </c>
      <c r="X249" s="333">
        <v>8.4132650280669255E-2</v>
      </c>
      <c r="Y249" s="333">
        <v>7.1654939317223276E-2</v>
      </c>
      <c r="Z249" s="333">
        <v>5.0932578355076898E-2</v>
      </c>
      <c r="AA249" s="333">
        <v>4.8281829154961167E-2</v>
      </c>
      <c r="AB249" s="474"/>
      <c r="AC249" s="474"/>
      <c r="AD249" s="474"/>
      <c r="AE249" s="474"/>
      <c r="AF249" s="474"/>
      <c r="AH249"/>
      <c r="AI249"/>
      <c r="AK249" s="310" t="str">
        <v>512 kbps</v>
      </c>
      <c r="AM249" s="333">
        <v>0.1264498102066639</v>
      </c>
      <c r="AN249" s="333">
        <v>9.9846379206060598E-2</v>
      </c>
      <c r="AO249" s="333">
        <v>0.10063767784931063</v>
      </c>
      <c r="AP249" s="333">
        <v>9.0558631807668058E-2</v>
      </c>
      <c r="AQ249" s="333">
        <v>6.214161934608077E-2</v>
      </c>
      <c r="AR249" s="333">
        <v>6.5200448499352456E-2</v>
      </c>
      <c r="AS249" s="474"/>
      <c r="AT249" s="474"/>
      <c r="AU249" s="474"/>
      <c r="AV249" s="474"/>
      <c r="AW249" s="474"/>
      <c r="AY249"/>
      <c r="AZ249"/>
    </row>
    <row r="250" spans="3:52" s="299" customFormat="1">
      <c r="C250" s="310" t="str">
        <v>768 kbps</v>
      </c>
      <c r="E250" s="333">
        <v>3.3557467610955419E-2</v>
      </c>
      <c r="F250" s="333">
        <v>2.3529212617751861E-2</v>
      </c>
      <c r="G250" s="333">
        <v>3.8223681201693178E-2</v>
      </c>
      <c r="H250" s="333">
        <v>1.8887426747474012E-2</v>
      </c>
      <c r="I250" s="333">
        <v>1.6883592542633299E-2</v>
      </c>
      <c r="J250" s="333">
        <v>1.4643344118586785E-2</v>
      </c>
      <c r="K250" s="474"/>
      <c r="L250" s="474"/>
      <c r="M250" s="474"/>
      <c r="N250" s="474"/>
      <c r="O250" s="474"/>
      <c r="T250" s="310" t="str">
        <v>768 kbps</v>
      </c>
      <c r="V250" s="333">
        <v>2.8170058193409689E-2</v>
      </c>
      <c r="W250" s="333">
        <v>1.7274939923311607E-2</v>
      </c>
      <c r="X250" s="333">
        <v>2.6227587334459648E-2</v>
      </c>
      <c r="Y250" s="333">
        <v>1.1327802906766915E-2</v>
      </c>
      <c r="Z250" s="333">
        <v>1.1097042211441336E-2</v>
      </c>
      <c r="AA250" s="333">
        <v>7.050001602273091E-3</v>
      </c>
      <c r="AB250" s="474"/>
      <c r="AC250" s="474"/>
      <c r="AD250" s="474"/>
      <c r="AE250" s="474"/>
      <c r="AF250" s="474"/>
      <c r="AH250"/>
      <c r="AI250"/>
      <c r="AK250" s="310" t="str">
        <v>768 kbps</v>
      </c>
      <c r="AM250" s="333">
        <v>3.0610258573143444E-2</v>
      </c>
      <c r="AN250" s="333">
        <v>1.991182416217788E-2</v>
      </c>
      <c r="AO250" s="333">
        <v>3.1041676438139949E-2</v>
      </c>
      <c r="AP250" s="333">
        <v>1.4098468994382643E-2</v>
      </c>
      <c r="AQ250" s="333">
        <v>1.3348837451832074E-2</v>
      </c>
      <c r="AR250" s="333">
        <v>9.4943952067356001E-3</v>
      </c>
      <c r="AS250" s="474"/>
      <c r="AT250" s="474"/>
      <c r="AU250" s="474"/>
      <c r="AV250" s="474"/>
      <c r="AW250" s="474"/>
      <c r="AY250"/>
      <c r="AZ250"/>
    </row>
    <row r="251" spans="3:52" s="299" customFormat="1">
      <c r="C251" s="310" t="str">
        <v>1024 kbps</v>
      </c>
      <c r="E251" s="333">
        <v>1.969755302670809E-2</v>
      </c>
      <c r="F251" s="333">
        <v>2.1413276231263382E-2</v>
      </c>
      <c r="G251" s="333">
        <v>1.9320185579478524E-2</v>
      </c>
      <c r="H251" s="333">
        <v>1.8013177486260173E-2</v>
      </c>
      <c r="I251" s="333">
        <v>1.2305369697077973E-2</v>
      </c>
      <c r="J251" s="333">
        <v>1.289730308662254E-2</v>
      </c>
      <c r="K251" s="474"/>
      <c r="L251" s="474"/>
      <c r="M251" s="474"/>
      <c r="N251" s="474"/>
      <c r="O251" s="474"/>
      <c r="T251" s="310" t="str">
        <v>1024 kbps</v>
      </c>
      <c r="V251" s="333">
        <v>1.6308981059342451E-2</v>
      </c>
      <c r="W251" s="333">
        <v>1.6041015643075061E-2</v>
      </c>
      <c r="X251" s="333">
        <v>1.3624720693225791E-2</v>
      </c>
      <c r="Y251" s="333">
        <v>1.0537491076062246E-2</v>
      </c>
      <c r="Z251" s="333">
        <v>8.2516467726102237E-3</v>
      </c>
      <c r="AA251" s="333">
        <v>6.1954559535127166E-3</v>
      </c>
      <c r="AB251" s="474"/>
      <c r="AC251" s="474"/>
      <c r="AD251" s="474"/>
      <c r="AE251" s="474"/>
      <c r="AF251" s="474"/>
      <c r="AH251"/>
      <c r="AI251"/>
      <c r="AK251" s="310" t="str">
        <v>1024 kbps</v>
      </c>
      <c r="AM251" s="333">
        <v>1.7843817928170528E-2</v>
      </c>
      <c r="AN251" s="333">
        <v>1.8306031891034504E-2</v>
      </c>
      <c r="AO251" s="333">
        <v>1.5910337640938632E-2</v>
      </c>
      <c r="AP251" s="333">
        <v>1.327739338533479E-2</v>
      </c>
      <c r="AQ251" s="333">
        <v>9.8291244518372897E-3</v>
      </c>
      <c r="AR251" s="333">
        <v>8.3528658471219847E-3</v>
      </c>
      <c r="AS251" s="474"/>
      <c r="AT251" s="474"/>
      <c r="AU251" s="474"/>
      <c r="AV251" s="474"/>
      <c r="AW251" s="474"/>
      <c r="AY251"/>
      <c r="AZ251"/>
    </row>
    <row r="252" spans="3:52" s="299" customFormat="1">
      <c r="C252" s="331" t="str">
        <v>E1 (2.04 Mbps)</v>
      </c>
      <c r="E252" s="333">
        <v>2.4532406951445509E-2</v>
      </c>
      <c r="F252" s="333">
        <v>4.5107531887161399E-2</v>
      </c>
      <c r="G252" s="333">
        <v>5.9820416791588969E-2</v>
      </c>
      <c r="H252" s="333">
        <v>8.9282705801463427E-2</v>
      </c>
      <c r="I252" s="333">
        <v>6.9307594043397105E-2</v>
      </c>
      <c r="J252" s="333">
        <v>0.13604719710913216</v>
      </c>
      <c r="K252" s="474"/>
      <c r="L252" s="474"/>
      <c r="M252" s="474"/>
      <c r="N252" s="474"/>
      <c r="O252" s="474"/>
      <c r="T252" s="331" t="str">
        <v>E1 (2.04 Mbps)</v>
      </c>
      <c r="V252" s="333">
        <v>0.18569998888024017</v>
      </c>
      <c r="W252" s="333">
        <v>0.29891815688730261</v>
      </c>
      <c r="X252" s="333">
        <v>0.36275818845713664</v>
      </c>
      <c r="Y252" s="333">
        <v>0.46549366828504968</v>
      </c>
      <c r="Z252" s="333">
        <v>0.39863990098023877</v>
      </c>
      <c r="AA252" s="333">
        <v>0.58322740527895567</v>
      </c>
      <c r="AB252" s="474"/>
      <c r="AC252" s="474"/>
      <c r="AD252" s="474"/>
      <c r="AE252" s="474"/>
      <c r="AF252" s="474"/>
      <c r="AH252"/>
      <c r="AI252"/>
      <c r="AK252" s="331" t="str">
        <v>E1 (2.04 Mbps)</v>
      </c>
      <c r="AM252" s="333">
        <v>0.11269993186905884</v>
      </c>
      <c r="AN252" s="333">
        <v>0.19190823432434506</v>
      </c>
      <c r="AO252" s="333">
        <v>0.24118783048822021</v>
      </c>
      <c r="AP252" s="333">
        <v>0.32760916801009327</v>
      </c>
      <c r="AQ252" s="333">
        <v>0.27048255699762397</v>
      </c>
      <c r="AR252" s="333">
        <v>0.43927440453598571</v>
      </c>
      <c r="AS252" s="474"/>
      <c r="AT252" s="474"/>
      <c r="AU252" s="474"/>
      <c r="AV252" s="474"/>
      <c r="AW252" s="474"/>
      <c r="AY252"/>
      <c r="AZ252"/>
    </row>
    <row r="253" spans="3:52" s="299" customFormat="1">
      <c r="C253" s="331" t="str">
        <v>E2 *</v>
      </c>
      <c r="E253" s="333">
        <v>0</v>
      </c>
      <c r="F253" s="333">
        <v>0</v>
      </c>
      <c r="G253" s="333">
        <v>0</v>
      </c>
      <c r="H253" s="333">
        <v>0</v>
      </c>
      <c r="I253" s="333">
        <v>0</v>
      </c>
      <c r="J253" s="333">
        <v>0</v>
      </c>
      <c r="K253" s="474"/>
      <c r="L253" s="474"/>
      <c r="M253" s="474"/>
      <c r="N253" s="474"/>
      <c r="O253" s="474"/>
      <c r="T253" s="331" t="str">
        <v>E2 *</v>
      </c>
      <c r="V253" s="333">
        <v>0</v>
      </c>
      <c r="W253" s="333">
        <v>0</v>
      </c>
      <c r="X253" s="333">
        <v>0</v>
      </c>
      <c r="Y253" s="333">
        <v>0</v>
      </c>
      <c r="Z253" s="333">
        <v>0</v>
      </c>
      <c r="AA253" s="333">
        <v>0</v>
      </c>
      <c r="AB253" s="474"/>
      <c r="AC253" s="474"/>
      <c r="AD253" s="474"/>
      <c r="AE253" s="474"/>
      <c r="AF253" s="474"/>
      <c r="AH253"/>
      <c r="AI253"/>
      <c r="AK253" s="331" t="str">
        <v>E2 *</v>
      </c>
      <c r="AM253" s="333">
        <v>0</v>
      </c>
      <c r="AN253" s="333">
        <v>0</v>
      </c>
      <c r="AO253" s="333">
        <v>0</v>
      </c>
      <c r="AP253" s="333">
        <v>0</v>
      </c>
      <c r="AQ253" s="333">
        <v>0</v>
      </c>
      <c r="AR253" s="333">
        <v>0</v>
      </c>
      <c r="AS253" s="474"/>
      <c r="AT253" s="474"/>
      <c r="AU253" s="474"/>
      <c r="AV253" s="474"/>
      <c r="AW253" s="474"/>
      <c r="AY253"/>
      <c r="AZ253"/>
    </row>
    <row r="254" spans="3:52" s="299" customFormat="1">
      <c r="C254" s="331" t="str">
        <v>E3 (34 Mbps)</v>
      </c>
      <c r="E254" s="333">
        <v>4.6557852608582759E-4</v>
      </c>
      <c r="F254" s="333">
        <v>1.5361698165906341E-3</v>
      </c>
      <c r="G254" s="333">
        <v>2.744055816127933E-3</v>
      </c>
      <c r="H254" s="333">
        <v>2.5498936785403677E-3</v>
      </c>
      <c r="I254" s="333">
        <v>2.9881278865136703E-3</v>
      </c>
      <c r="J254" s="333">
        <v>2.4840583753718217E-3</v>
      </c>
      <c r="K254" s="474"/>
      <c r="L254" s="474"/>
      <c r="M254" s="474"/>
      <c r="N254" s="474"/>
      <c r="O254" s="474"/>
      <c r="T254" s="331" t="str">
        <v>E3 (34 Mbps)</v>
      </c>
      <c r="V254" s="333">
        <v>1.1119759813188034E-3</v>
      </c>
      <c r="W254" s="333">
        <v>1.2339242802365433E-3</v>
      </c>
      <c r="X254" s="333">
        <v>2.0437081039838684E-3</v>
      </c>
      <c r="Y254" s="333">
        <v>1.5806236614093368E-3</v>
      </c>
      <c r="Z254" s="333">
        <v>2.2763163510648894E-3</v>
      </c>
      <c r="AA254" s="333">
        <v>1.281818473140562E-3</v>
      </c>
      <c r="AB254" s="474"/>
      <c r="AC254" s="474"/>
      <c r="AD254" s="474"/>
      <c r="AE254" s="474"/>
      <c r="AF254" s="474"/>
      <c r="AH254"/>
      <c r="AI254"/>
      <c r="AK254" s="331" t="str">
        <v>E3 (34 Mbps)</v>
      </c>
      <c r="AM254" s="333">
        <v>8.1919345942964696E-4</v>
      </c>
      <c r="AN254" s="333">
        <v>1.3613550032026635E-3</v>
      </c>
      <c r="AO254" s="333">
        <v>2.324760947278908E-3</v>
      </c>
      <c r="AP254" s="333">
        <v>1.9358693221453438E-3</v>
      </c>
      <c r="AQ254" s="333">
        <v>2.5533127886381919E-3</v>
      </c>
      <c r="AR254" s="333">
        <v>1.6688347998412287E-3</v>
      </c>
      <c r="AS254" s="474"/>
      <c r="AT254" s="474"/>
      <c r="AU254" s="474"/>
      <c r="AV254" s="474"/>
      <c r="AW254" s="474"/>
      <c r="AY254"/>
      <c r="AZ254"/>
    </row>
    <row r="255" spans="3:52" s="299" customFormat="1">
      <c r="C255" s="331" t="str">
        <v>STM-1 (155 Mbps)</v>
      </c>
      <c r="E255" s="333">
        <v>0</v>
      </c>
      <c r="F255" s="333">
        <v>0</v>
      </c>
      <c r="G255" s="333">
        <v>0</v>
      </c>
      <c r="H255" s="333">
        <v>0</v>
      </c>
      <c r="I255" s="333">
        <v>0</v>
      </c>
      <c r="J255" s="333">
        <v>0</v>
      </c>
      <c r="K255" s="474"/>
      <c r="L255" s="474"/>
      <c r="M255" s="474"/>
      <c r="N255" s="474"/>
      <c r="O255" s="474"/>
      <c r="T255" s="331" t="str">
        <v>STM-1 (155 Mbps)</v>
      </c>
      <c r="V255" s="333">
        <v>1.4455687757144447E-3</v>
      </c>
      <c r="W255" s="333">
        <v>1.1876521197276728E-3</v>
      </c>
      <c r="X255" s="333">
        <v>1.5940923211074174E-3</v>
      </c>
      <c r="Y255" s="333">
        <v>1.4357331591134811E-3</v>
      </c>
      <c r="Z255" s="333">
        <v>1.4682240464368537E-3</v>
      </c>
      <c r="AA255" s="333">
        <v>1.2284093700930386E-3</v>
      </c>
      <c r="AB255" s="474"/>
      <c r="AC255" s="474"/>
      <c r="AD255" s="474"/>
      <c r="AE255" s="474"/>
      <c r="AF255" s="474"/>
      <c r="AH255"/>
      <c r="AI255"/>
      <c r="AK255" s="331" t="str">
        <v>STM-1 (155 Mbps)</v>
      </c>
      <c r="AM255" s="333">
        <v>7.9080556727119389E-4</v>
      </c>
      <c r="AN255" s="333">
        <v>6.8692224932244482E-4</v>
      </c>
      <c r="AO255" s="333">
        <v>9.5437554677765704E-4</v>
      </c>
      <c r="AP255" s="333">
        <v>9.0952481083552794E-4</v>
      </c>
      <c r="AQ255" s="333">
        <v>8.9687501629496754E-4</v>
      </c>
      <c r="AR255" s="333">
        <v>8.3296875860130776E-4</v>
      </c>
      <c r="AS255" s="474"/>
      <c r="AT255" s="474"/>
      <c r="AU255" s="474"/>
      <c r="AV255" s="474"/>
      <c r="AW255" s="474"/>
      <c r="AY255"/>
      <c r="AZ255"/>
    </row>
    <row r="256" spans="3:52" s="299" customFormat="1">
      <c r="C256" s="310" t="str">
        <v>STM-4 (622.08 Mbps)</v>
      </c>
      <c r="E256" s="333">
        <v>0</v>
      </c>
      <c r="F256" s="333">
        <v>0</v>
      </c>
      <c r="G256" s="333">
        <v>0</v>
      </c>
      <c r="H256" s="333">
        <v>0</v>
      </c>
      <c r="I256" s="333">
        <v>0</v>
      </c>
      <c r="J256" s="333">
        <v>0</v>
      </c>
      <c r="K256" s="474"/>
      <c r="L256" s="474"/>
      <c r="M256" s="474"/>
      <c r="N256" s="474"/>
      <c r="O256" s="474"/>
      <c r="T256" s="310" t="str">
        <v>STM-4 (622.08 Mbps)</v>
      </c>
      <c r="V256" s="333">
        <v>0</v>
      </c>
      <c r="W256" s="333">
        <v>0</v>
      </c>
      <c r="X256" s="333">
        <v>0</v>
      </c>
      <c r="Y256" s="333">
        <v>0</v>
      </c>
      <c r="Z256" s="333">
        <v>0</v>
      </c>
      <c r="AA256" s="333">
        <v>0</v>
      </c>
      <c r="AB256" s="474"/>
      <c r="AC256" s="474"/>
      <c r="AD256" s="474"/>
      <c r="AE256" s="474"/>
      <c r="AF256" s="474"/>
      <c r="AH256"/>
      <c r="AI256"/>
      <c r="AK256" s="310" t="str">
        <v>STM-4 (622.08 Mbps)</v>
      </c>
      <c r="AM256" s="333">
        <v>0</v>
      </c>
      <c r="AN256" s="333">
        <v>0</v>
      </c>
      <c r="AO256" s="333">
        <v>0</v>
      </c>
      <c r="AP256" s="333">
        <v>0</v>
      </c>
      <c r="AQ256" s="333">
        <v>0</v>
      </c>
      <c r="AR256" s="333">
        <v>0</v>
      </c>
      <c r="AS256" s="474"/>
      <c r="AT256" s="474"/>
      <c r="AU256" s="474"/>
      <c r="AV256" s="474"/>
      <c r="AW256" s="474"/>
      <c r="AY256"/>
      <c r="AZ256"/>
    </row>
    <row r="257" spans="3:52" s="299" customFormat="1">
      <c r="C257" s="310" t="str">
        <v>STM-16 (2488.32Mbps)</v>
      </c>
      <c r="E257" s="333">
        <v>0</v>
      </c>
      <c r="F257" s="333">
        <v>0</v>
      </c>
      <c r="G257" s="333">
        <v>0</v>
      </c>
      <c r="H257" s="333">
        <v>0</v>
      </c>
      <c r="I257" s="333">
        <v>0</v>
      </c>
      <c r="J257" s="333">
        <v>0</v>
      </c>
      <c r="K257" s="474"/>
      <c r="L257" s="474"/>
      <c r="M257" s="474"/>
      <c r="N257" s="474"/>
      <c r="O257" s="474"/>
      <c r="T257" s="310" t="str">
        <v>STM-16 (2488.32Mbps)</v>
      </c>
      <c r="V257" s="333">
        <v>0</v>
      </c>
      <c r="W257" s="333">
        <v>0</v>
      </c>
      <c r="X257" s="333">
        <v>0</v>
      </c>
      <c r="Y257" s="333">
        <v>0</v>
      </c>
      <c r="Z257" s="333">
        <v>0</v>
      </c>
      <c r="AA257" s="333">
        <v>0</v>
      </c>
      <c r="AB257" s="474"/>
      <c r="AC257" s="474"/>
      <c r="AD257" s="474"/>
      <c r="AE257" s="474"/>
      <c r="AF257" s="474"/>
      <c r="AH257"/>
      <c r="AI257"/>
      <c r="AK257" s="310" t="str">
        <v>STM-16 (2488.32Mbps)</v>
      </c>
      <c r="AM257" s="333">
        <v>0</v>
      </c>
      <c r="AN257" s="333">
        <v>0</v>
      </c>
      <c r="AO257" s="333">
        <v>0</v>
      </c>
      <c r="AP257" s="333">
        <v>0</v>
      </c>
      <c r="AQ257" s="333">
        <v>0</v>
      </c>
      <c r="AR257" s="333">
        <v>0</v>
      </c>
      <c r="AS257" s="474"/>
      <c r="AT257" s="474"/>
      <c r="AU257" s="474"/>
      <c r="AV257" s="474"/>
      <c r="AW257" s="474"/>
      <c r="AY257"/>
      <c r="AZ257"/>
    </row>
    <row r="258" spans="3:52" s="299" customFormat="1">
      <c r="C258" s="310" t="str">
        <v>STM-64 (9953.28Mbps)</v>
      </c>
      <c r="E258" s="333">
        <v>0</v>
      </c>
      <c r="F258" s="333">
        <v>0</v>
      </c>
      <c r="G258" s="333">
        <v>0</v>
      </c>
      <c r="H258" s="333">
        <v>0</v>
      </c>
      <c r="I258" s="333">
        <v>0</v>
      </c>
      <c r="J258" s="333">
        <v>0</v>
      </c>
      <c r="K258" s="474"/>
      <c r="L258" s="474"/>
      <c r="M258" s="474"/>
      <c r="N258" s="474"/>
      <c r="O258" s="474"/>
      <c r="T258" s="310" t="str">
        <v>STM-64 (9953.28Mbps)</v>
      </c>
      <c r="V258" s="333">
        <v>0</v>
      </c>
      <c r="W258" s="333">
        <v>0</v>
      </c>
      <c r="X258" s="333">
        <v>0</v>
      </c>
      <c r="Y258" s="333">
        <v>0</v>
      </c>
      <c r="Z258" s="333">
        <v>0</v>
      </c>
      <c r="AA258" s="333">
        <v>0</v>
      </c>
      <c r="AB258" s="474"/>
      <c r="AC258" s="474"/>
      <c r="AD258" s="474"/>
      <c r="AE258" s="474"/>
      <c r="AF258" s="474"/>
      <c r="AH258"/>
      <c r="AI258"/>
      <c r="AK258" s="310" t="str">
        <v>STM-64 (9953.28Mbps)</v>
      </c>
      <c r="AM258" s="333">
        <v>0</v>
      </c>
      <c r="AN258" s="333">
        <v>0</v>
      </c>
      <c r="AO258" s="333">
        <v>0</v>
      </c>
      <c r="AP258" s="333">
        <v>0</v>
      </c>
      <c r="AQ258" s="333">
        <v>0</v>
      </c>
      <c r="AR258" s="333">
        <v>0</v>
      </c>
      <c r="AS258" s="474"/>
      <c r="AT258" s="474"/>
      <c r="AU258" s="474"/>
      <c r="AV258" s="474"/>
      <c r="AW258" s="474"/>
      <c r="AY258"/>
      <c r="AZ258"/>
    </row>
    <row r="259" spans="3:52" s="299" customFormat="1">
      <c r="C259" s="310" t="str">
        <v>STM-256 (39813.12 Mbps)*</v>
      </c>
      <c r="E259" s="333">
        <v>0</v>
      </c>
      <c r="F259" s="333">
        <v>0</v>
      </c>
      <c r="G259" s="333">
        <v>0</v>
      </c>
      <c r="H259" s="333">
        <v>0</v>
      </c>
      <c r="I259" s="333">
        <v>0</v>
      </c>
      <c r="J259" s="333">
        <v>0</v>
      </c>
      <c r="K259" s="474"/>
      <c r="L259" s="474"/>
      <c r="M259" s="474"/>
      <c r="N259" s="474"/>
      <c r="O259" s="474"/>
      <c r="T259" s="310" t="str">
        <v>STM-256 (39813.12 Mbps)*</v>
      </c>
      <c r="V259" s="333">
        <v>0</v>
      </c>
      <c r="W259" s="333">
        <v>0</v>
      </c>
      <c r="X259" s="333">
        <v>0</v>
      </c>
      <c r="Y259" s="333">
        <v>0</v>
      </c>
      <c r="Z259" s="333">
        <v>0</v>
      </c>
      <c r="AA259" s="333">
        <v>0</v>
      </c>
      <c r="AB259" s="474"/>
      <c r="AC259" s="474"/>
      <c r="AD259" s="474"/>
      <c r="AE259" s="474"/>
      <c r="AF259" s="474"/>
      <c r="AH259"/>
      <c r="AI259"/>
      <c r="AK259" s="310" t="str">
        <v>STM-256 (39813.12 Mbps)*</v>
      </c>
      <c r="AM259" s="333">
        <v>0</v>
      </c>
      <c r="AN259" s="333">
        <v>0</v>
      </c>
      <c r="AO259" s="333">
        <v>0</v>
      </c>
      <c r="AP259" s="333">
        <v>0</v>
      </c>
      <c r="AQ259" s="333">
        <v>0</v>
      </c>
      <c r="AR259" s="333">
        <v>0</v>
      </c>
      <c r="AS259" s="474"/>
      <c r="AT259" s="474"/>
      <c r="AU259" s="474"/>
      <c r="AV259" s="474"/>
      <c r="AW259" s="474"/>
      <c r="AY259"/>
      <c r="AZ259"/>
    </row>
    <row r="260" spans="3:52" s="299" customFormat="1">
      <c r="C260" s="310" t="str">
        <v>Ethernet (10Mbps)</v>
      </c>
      <c r="E260" s="333">
        <v>1.790686638791644E-4</v>
      </c>
      <c r="F260" s="333">
        <v>6.7709964367631246E-4</v>
      </c>
      <c r="G260" s="333">
        <v>2.4899765738938661E-3</v>
      </c>
      <c r="H260" s="333">
        <v>9.2342578215711905E-3</v>
      </c>
      <c r="I260" s="333">
        <v>8.7544553924765265E-3</v>
      </c>
      <c r="J260" s="333">
        <v>9.5897253585459259E-3</v>
      </c>
      <c r="K260" s="474"/>
      <c r="L260" s="474"/>
      <c r="M260" s="474"/>
      <c r="N260" s="474"/>
      <c r="O260" s="474"/>
      <c r="T260" s="310" t="str">
        <v>Ethernet (10Mbps)</v>
      </c>
      <c r="V260" s="333">
        <v>3.7065866043960117E-4</v>
      </c>
      <c r="W260" s="333">
        <v>6.1696214011827167E-4</v>
      </c>
      <c r="X260" s="333">
        <v>1.7030900866532239E-3</v>
      </c>
      <c r="Y260" s="333">
        <v>5.5321828149326787E-3</v>
      </c>
      <c r="Z260" s="333">
        <v>5.6907908776622235E-3</v>
      </c>
      <c r="AA260" s="333">
        <v>4.7000010681820604E-3</v>
      </c>
      <c r="AB260" s="474"/>
      <c r="AC260" s="474"/>
      <c r="AD260" s="474"/>
      <c r="AE260" s="474"/>
      <c r="AF260" s="474"/>
      <c r="AH260"/>
      <c r="AI260"/>
      <c r="AK260" s="310" t="str">
        <v>Ethernet (10Mbps)</v>
      </c>
      <c r="AM260" s="333">
        <v>2.8387892158453112E-4</v>
      </c>
      <c r="AN260" s="333">
        <v>6.4231690845735099E-4</v>
      </c>
      <c r="AO260" s="333">
        <v>2.0188713489527363E-3</v>
      </c>
      <c r="AP260" s="333">
        <v>6.8890246222551551E-3</v>
      </c>
      <c r="AQ260" s="333">
        <v>6.882994311100914E-3</v>
      </c>
      <c r="AR260" s="333">
        <v>6.2740655539169805E-3</v>
      </c>
      <c r="AS260" s="474"/>
      <c r="AT260" s="474"/>
      <c r="AU260" s="474"/>
      <c r="AV260" s="474"/>
      <c r="AW260" s="474"/>
      <c r="AY260"/>
      <c r="AZ260"/>
    </row>
    <row r="261" spans="3:52" s="299" customFormat="1">
      <c r="C261" s="310" t="str">
        <v>Ethernet (20Mbps)</v>
      </c>
      <c r="E261" s="333">
        <v>0</v>
      </c>
      <c r="F261" s="333">
        <v>4.655060050274652E-5</v>
      </c>
      <c r="G261" s="333">
        <v>0</v>
      </c>
      <c r="H261" s="333">
        <v>9.516567478838158E-4</v>
      </c>
      <c r="I261" s="333">
        <v>3.9082390144984493E-3</v>
      </c>
      <c r="J261" s="333">
        <v>7.8031833748093112E-3</v>
      </c>
      <c r="K261" s="474"/>
      <c r="L261" s="474"/>
      <c r="M261" s="474"/>
      <c r="N261" s="474"/>
      <c r="O261" s="474"/>
      <c r="T261" s="310" t="str">
        <v>Ethernet (20Mbps)</v>
      </c>
      <c r="V261" s="333">
        <v>0</v>
      </c>
      <c r="W261" s="333">
        <v>3.0848107005913584E-4</v>
      </c>
      <c r="X261" s="333">
        <v>0</v>
      </c>
      <c r="Y261" s="333">
        <v>1.0537491076062246E-3</v>
      </c>
      <c r="Z261" s="333">
        <v>2.8453954388311118E-3</v>
      </c>
      <c r="AA261" s="333">
        <v>3.845455419421686E-3</v>
      </c>
      <c r="AB261" s="474"/>
      <c r="AC261" s="474"/>
      <c r="AD261" s="474"/>
      <c r="AE261" s="474"/>
      <c r="AF261" s="474"/>
      <c r="AH261"/>
      <c r="AI261"/>
      <c r="AK261" s="310" t="str">
        <v>Ethernet (20Mbps)</v>
      </c>
      <c r="AM261" s="333">
        <v>0</v>
      </c>
      <c r="AN261" s="333">
        <v>1.9804771344101655E-4</v>
      </c>
      <c r="AO261" s="333">
        <v>0</v>
      </c>
      <c r="AP261" s="333">
        <v>1.0163313941263055E-3</v>
      </c>
      <c r="AQ261" s="333">
        <v>3.2589935185136903E-3</v>
      </c>
      <c r="AR261" s="333">
        <v>5.1194984224296036E-3</v>
      </c>
      <c r="AS261" s="474"/>
      <c r="AT261" s="474"/>
      <c r="AU261" s="474"/>
      <c r="AV261" s="474"/>
      <c r="AW261" s="474"/>
      <c r="AY261"/>
      <c r="AZ261"/>
    </row>
    <row r="262" spans="3:52" s="299" customFormat="1">
      <c r="C262" s="310" t="str">
        <v>Ethernet (30Mbps)</v>
      </c>
      <c r="E262" s="333">
        <v>0</v>
      </c>
      <c r="F262" s="333">
        <v>-9.7333073778469904E-5</v>
      </c>
      <c r="G262" s="333">
        <v>0</v>
      </c>
      <c r="H262" s="333">
        <v>1.3660144706466257E-3</v>
      </c>
      <c r="I262" s="333">
        <v>1.1479056305441161E-3</v>
      </c>
      <c r="J262" s="333">
        <v>3.1095730749672625E-3</v>
      </c>
      <c r="K262" s="474"/>
      <c r="L262" s="474"/>
      <c r="M262" s="474"/>
      <c r="N262" s="474"/>
      <c r="O262" s="474"/>
      <c r="T262" s="310" t="str">
        <v>Ethernet (30Mbps)</v>
      </c>
      <c r="V262" s="333">
        <v>0</v>
      </c>
      <c r="W262" s="333">
        <v>3.0848107005913584E-4</v>
      </c>
      <c r="X262" s="333">
        <v>0</v>
      </c>
      <c r="Y262" s="333">
        <v>7.9031183070466839E-4</v>
      </c>
      <c r="Z262" s="333">
        <v>1.1381581755324447E-3</v>
      </c>
      <c r="AA262" s="333">
        <v>1.4954548853306556E-3</v>
      </c>
      <c r="AB262" s="474"/>
      <c r="AC262" s="474"/>
      <c r="AD262" s="474"/>
      <c r="AE262" s="474"/>
      <c r="AF262" s="474"/>
      <c r="AH262"/>
      <c r="AI262"/>
      <c r="AK262" s="310" t="str">
        <v>Ethernet (30Mbps)</v>
      </c>
      <c r="AM262" s="333">
        <v>0</v>
      </c>
      <c r="AN262" s="333">
        <v>1.3738444986448895E-4</v>
      </c>
      <c r="AO262" s="333">
        <v>0</v>
      </c>
      <c r="AP262" s="333">
        <v>1.0013117183510401E-3</v>
      </c>
      <c r="AQ262" s="333">
        <v>1.141951328887197E-3</v>
      </c>
      <c r="AR262" s="333">
        <v>2.0150600751555115E-3</v>
      </c>
      <c r="AS262" s="474"/>
      <c r="AT262" s="474"/>
      <c r="AU262" s="474"/>
      <c r="AV262" s="474"/>
      <c r="AW262" s="474"/>
      <c r="AY262"/>
      <c r="AZ262"/>
    </row>
    <row r="263" spans="3:52" s="299" customFormat="1">
      <c r="C263" s="310" t="str">
        <v>Ethernet (40Mbps)</v>
      </c>
      <c r="E263" s="333">
        <v>3.581373277583289E-4</v>
      </c>
      <c r="F263" s="333">
        <v>6.6440402535738151E-4</v>
      </c>
      <c r="G263" s="333">
        <v>6.5044286011921412E-4</v>
      </c>
      <c r="H263" s="333">
        <v>1.1155784843614111E-3</v>
      </c>
      <c r="I263" s="333">
        <v>1.3221014266189034E-3</v>
      </c>
      <c r="J263" s="333">
        <v>2.587560807678981E-3</v>
      </c>
      <c r="K263" s="474"/>
      <c r="L263" s="474"/>
      <c r="M263" s="474"/>
      <c r="N263" s="474"/>
      <c r="O263" s="474"/>
      <c r="T263" s="310" t="str">
        <v>Ethernet (40Mbps)</v>
      </c>
      <c r="V263" s="333">
        <v>3.7065866043960117E-4</v>
      </c>
      <c r="W263" s="333">
        <v>6.1696214011827167E-4</v>
      </c>
      <c r="X263" s="333">
        <v>1.0218540519919342E-3</v>
      </c>
      <c r="Y263" s="333">
        <v>7.9031183070466839E-4</v>
      </c>
      <c r="Z263" s="333">
        <v>1.1381581755324447E-3</v>
      </c>
      <c r="AA263" s="333">
        <v>1.4954548853306556E-3</v>
      </c>
      <c r="AB263" s="474"/>
      <c r="AC263" s="474"/>
      <c r="AD263" s="474"/>
      <c r="AE263" s="474"/>
      <c r="AF263" s="474"/>
      <c r="AH263"/>
      <c r="AI263"/>
      <c r="AK263" s="310" t="str">
        <v>Ethernet (40Mbps)</v>
      </c>
      <c r="AM263" s="333">
        <v>3.6498718489439715E-4</v>
      </c>
      <c r="AN263" s="333">
        <v>6.3696426755353961E-4</v>
      </c>
      <c r="AO263" s="333">
        <v>8.7280498722401123E-4</v>
      </c>
      <c r="AP263" s="333">
        <v>9.0952481083552794E-4</v>
      </c>
      <c r="AQ263" s="333">
        <v>1.2097383940722817E-3</v>
      </c>
      <c r="AR263" s="333">
        <v>1.8470176821159434E-3</v>
      </c>
      <c r="AS263" s="474"/>
      <c r="AT263" s="474"/>
      <c r="AU263" s="474"/>
      <c r="AV263" s="474"/>
      <c r="AW263" s="474"/>
      <c r="AY263"/>
      <c r="AZ263"/>
    </row>
    <row r="264" spans="3:52" s="299" customFormat="1">
      <c r="C264" s="310" t="str">
        <v>Ethernet (50Mbps)</v>
      </c>
      <c r="E264" s="333">
        <v>0</v>
      </c>
      <c r="F264" s="333">
        <v>8.0405582686562073E-5</v>
      </c>
      <c r="G264" s="333">
        <v>3.048950906808816E-4</v>
      </c>
      <c r="H264" s="333">
        <v>7.2854105101153438E-5</v>
      </c>
      <c r="I264" s="333">
        <v>6.967831842991523E-4</v>
      </c>
      <c r="J264" s="333">
        <v>1.836043147013956E-3</v>
      </c>
      <c r="K264" s="474"/>
      <c r="L264" s="474"/>
      <c r="M264" s="474"/>
      <c r="N264" s="474"/>
      <c r="O264" s="474"/>
      <c r="T264" s="310" t="str">
        <v>Ethernet (50Mbps)</v>
      </c>
      <c r="V264" s="333">
        <v>0</v>
      </c>
      <c r="W264" s="333">
        <v>3.0848107005913584E-4</v>
      </c>
      <c r="X264" s="333">
        <v>6.8123603466128957E-4</v>
      </c>
      <c r="Y264" s="333">
        <v>5.2687455380311229E-4</v>
      </c>
      <c r="Z264" s="333">
        <v>8.5361863164933353E-4</v>
      </c>
      <c r="AA264" s="333">
        <v>1.281818473140562E-3</v>
      </c>
      <c r="AB264" s="474"/>
      <c r="AC264" s="474"/>
      <c r="AD264" s="474"/>
      <c r="AE264" s="474"/>
      <c r="AF264" s="474"/>
      <c r="AH264"/>
      <c r="AI264"/>
      <c r="AK264" s="310" t="str">
        <v>Ethernet (50Mbps)</v>
      </c>
      <c r="AM264" s="333">
        <v>0</v>
      </c>
      <c r="AN264" s="333">
        <v>2.1232142251784655E-4</v>
      </c>
      <c r="AO264" s="333">
        <v>5.3020863709869845E-4</v>
      </c>
      <c r="AP264" s="333">
        <v>3.604722186063744E-4</v>
      </c>
      <c r="AQ264" s="333">
        <v>7.9258722370252957E-4</v>
      </c>
      <c r="AR264" s="333">
        <v>1.4602304498610756E-3</v>
      </c>
      <c r="AS264" s="474"/>
      <c r="AT264" s="474"/>
      <c r="AU264" s="474"/>
      <c r="AV264" s="474"/>
      <c r="AW264" s="474"/>
      <c r="AY264"/>
      <c r="AZ264"/>
    </row>
    <row r="265" spans="3:52" s="299" customFormat="1">
      <c r="C265" s="310" t="str">
        <v>Ethernet (60Mbps)</v>
      </c>
      <c r="E265" s="333">
        <v>0</v>
      </c>
      <c r="F265" s="333">
        <v>0</v>
      </c>
      <c r="G265" s="333">
        <v>0</v>
      </c>
      <c r="H265" s="333">
        <v>1.2749468392701839E-4</v>
      </c>
      <c r="I265" s="333">
        <v>0</v>
      </c>
      <c r="J265" s="333">
        <v>0</v>
      </c>
      <c r="K265" s="474"/>
      <c r="L265" s="474"/>
      <c r="M265" s="474"/>
      <c r="N265" s="474"/>
      <c r="O265" s="474"/>
      <c r="T265" s="310" t="str">
        <v>Ethernet (60Mbps)</v>
      </c>
      <c r="V265" s="333">
        <v>0</v>
      </c>
      <c r="W265" s="333">
        <v>0</v>
      </c>
      <c r="X265" s="333">
        <v>0</v>
      </c>
      <c r="Y265" s="333">
        <v>2.6343727690155615E-4</v>
      </c>
      <c r="Z265" s="333">
        <v>0</v>
      </c>
      <c r="AA265" s="333">
        <v>0</v>
      </c>
      <c r="AB265" s="474"/>
      <c r="AC265" s="474"/>
      <c r="AD265" s="474"/>
      <c r="AE265" s="474"/>
      <c r="AF265" s="474"/>
      <c r="AH265"/>
      <c r="AI265"/>
      <c r="AK265" s="310" t="str">
        <v>Ethernet (60Mbps)</v>
      </c>
      <c r="AM265" s="333">
        <v>0</v>
      </c>
      <c r="AN265" s="333">
        <v>0</v>
      </c>
      <c r="AO265" s="333">
        <v>0</v>
      </c>
      <c r="AP265" s="333">
        <v>2.1361316658155519E-4</v>
      </c>
      <c r="AQ265" s="333">
        <v>0</v>
      </c>
      <c r="AR265" s="333">
        <v>0</v>
      </c>
      <c r="AS265" s="474"/>
      <c r="AT265" s="474"/>
      <c r="AU265" s="474"/>
      <c r="AV265" s="474"/>
      <c r="AW265" s="474"/>
      <c r="AY265"/>
      <c r="AZ265"/>
    </row>
    <row r="266" spans="3:52" s="299" customFormat="1">
      <c r="C266" s="310" t="str">
        <v>Ethernet (70Mbps)</v>
      </c>
      <c r="E266" s="333">
        <v>0</v>
      </c>
      <c r="F266" s="333">
        <v>0</v>
      </c>
      <c r="G266" s="333">
        <v>0</v>
      </c>
      <c r="H266" s="333">
        <v>1.821352627528836E-5</v>
      </c>
      <c r="I266" s="333">
        <v>6.6998383105687661E-5</v>
      </c>
      <c r="J266" s="333">
        <v>6.7501586287277722E-5</v>
      </c>
      <c r="K266" s="474"/>
      <c r="L266" s="474"/>
      <c r="M266" s="474"/>
      <c r="N266" s="474"/>
      <c r="O266" s="474"/>
      <c r="T266" s="310" t="str">
        <v>Ethernet (70Mbps)</v>
      </c>
      <c r="V266" s="333">
        <v>0</v>
      </c>
      <c r="W266" s="333">
        <v>0</v>
      </c>
      <c r="X266" s="333">
        <v>0</v>
      </c>
      <c r="Y266" s="333">
        <v>2.6343727690155615E-4</v>
      </c>
      <c r="Z266" s="333">
        <v>2.8453954388311118E-4</v>
      </c>
      <c r="AA266" s="333">
        <v>2.1363641219009367E-4</v>
      </c>
      <c r="AB266" s="474"/>
      <c r="AC266" s="474"/>
      <c r="AD266" s="474"/>
      <c r="AE266" s="474"/>
      <c r="AF266" s="474"/>
      <c r="AH266"/>
      <c r="AI266"/>
      <c r="AK266" s="310" t="str">
        <v>Ethernet (70Mbps)</v>
      </c>
      <c r="AM266" s="333">
        <v>0</v>
      </c>
      <c r="AN266" s="333">
        <v>0</v>
      </c>
      <c r="AO266" s="333">
        <v>0</v>
      </c>
      <c r="AP266" s="333">
        <v>1.7356069784751359E-4</v>
      </c>
      <c r="AQ266" s="333">
        <v>1.9988493580217297E-4</v>
      </c>
      <c r="AR266" s="333">
        <v>1.6659375172026154E-4</v>
      </c>
      <c r="AS266" s="474"/>
      <c r="AT266" s="474"/>
      <c r="AU266" s="474"/>
      <c r="AV266" s="474"/>
      <c r="AW266" s="474"/>
      <c r="AY266"/>
      <c r="AZ266"/>
    </row>
    <row r="267" spans="3:52" s="299" customFormat="1">
      <c r="C267" s="310" t="str">
        <v>Ethernet (80Mbps)</v>
      </c>
      <c r="E267" s="333">
        <v>0</v>
      </c>
      <c r="F267" s="333">
        <v>0</v>
      </c>
      <c r="G267" s="333">
        <v>0</v>
      </c>
      <c r="H267" s="333">
        <v>0</v>
      </c>
      <c r="I267" s="333">
        <v>0</v>
      </c>
      <c r="J267" s="333">
        <v>0</v>
      </c>
      <c r="K267" s="474"/>
      <c r="L267" s="474"/>
      <c r="M267" s="474"/>
      <c r="N267" s="474"/>
      <c r="O267" s="474"/>
      <c r="T267" s="310" t="str">
        <v>Ethernet (80Mbps)</v>
      </c>
      <c r="V267" s="333">
        <v>0</v>
      </c>
      <c r="W267" s="333">
        <v>0</v>
      </c>
      <c r="X267" s="333">
        <v>0</v>
      </c>
      <c r="Y267" s="333">
        <v>0</v>
      </c>
      <c r="Z267" s="333">
        <v>0</v>
      </c>
      <c r="AA267" s="333">
        <v>0</v>
      </c>
      <c r="AB267" s="474"/>
      <c r="AC267" s="474"/>
      <c r="AD267" s="474"/>
      <c r="AE267" s="474"/>
      <c r="AF267" s="474"/>
      <c r="AH267"/>
      <c r="AI267"/>
      <c r="AK267" s="310" t="str">
        <v>Ethernet (80Mbps)</v>
      </c>
      <c r="AM267" s="333">
        <v>0</v>
      </c>
      <c r="AN267" s="333">
        <v>0</v>
      </c>
      <c r="AO267" s="333">
        <v>0</v>
      </c>
      <c r="AP267" s="333">
        <v>0</v>
      </c>
      <c r="AQ267" s="333">
        <v>0</v>
      </c>
      <c r="AR267" s="333">
        <v>0</v>
      </c>
      <c r="AS267" s="474"/>
      <c r="AT267" s="474"/>
      <c r="AU267" s="474"/>
      <c r="AV267" s="474"/>
      <c r="AW267" s="474"/>
      <c r="AY267"/>
      <c r="AZ267"/>
    </row>
    <row r="268" spans="3:52" s="299" customFormat="1">
      <c r="C268" s="310" t="str">
        <v>Ethernet (90Mbps)</v>
      </c>
      <c r="E268" s="333">
        <v>0</v>
      </c>
      <c r="F268" s="333">
        <v>0</v>
      </c>
      <c r="G268" s="333">
        <v>0</v>
      </c>
      <c r="H268" s="333">
        <v>0</v>
      </c>
      <c r="I268" s="333">
        <v>0</v>
      </c>
      <c r="J268" s="333">
        <v>0</v>
      </c>
      <c r="K268" s="474"/>
      <c r="L268" s="474"/>
      <c r="M268" s="474"/>
      <c r="N268" s="474"/>
      <c r="O268" s="474"/>
      <c r="T268" s="310" t="str">
        <v>Ethernet (90Mbps)</v>
      </c>
      <c r="V268" s="333">
        <v>0</v>
      </c>
      <c r="W268" s="333">
        <v>0</v>
      </c>
      <c r="X268" s="333">
        <v>0</v>
      </c>
      <c r="Y268" s="333">
        <v>0</v>
      </c>
      <c r="Z268" s="333">
        <v>0</v>
      </c>
      <c r="AA268" s="333">
        <v>0</v>
      </c>
      <c r="AB268" s="474"/>
      <c r="AC268" s="474"/>
      <c r="AD268" s="474"/>
      <c r="AE268" s="474"/>
      <c r="AF268" s="474"/>
      <c r="AH268"/>
      <c r="AI268"/>
      <c r="AK268" s="310" t="str">
        <v>Ethernet (90Mbps)</v>
      </c>
      <c r="AM268" s="333">
        <v>0</v>
      </c>
      <c r="AN268" s="333">
        <v>0</v>
      </c>
      <c r="AO268" s="333">
        <v>0</v>
      </c>
      <c r="AP268" s="333">
        <v>0</v>
      </c>
      <c r="AQ268" s="333">
        <v>0</v>
      </c>
      <c r="AR268" s="333">
        <v>0</v>
      </c>
      <c r="AS268" s="474"/>
      <c r="AT268" s="474"/>
      <c r="AU268" s="474"/>
      <c r="AV268" s="474"/>
      <c r="AW268" s="474"/>
      <c r="AY268"/>
      <c r="AZ268"/>
    </row>
    <row r="269" spans="3:52" s="299" customFormat="1">
      <c r="C269" s="310" t="str">
        <v>GigaEthernet (100Mbps)</v>
      </c>
      <c r="E269" s="333">
        <v>0</v>
      </c>
      <c r="F269" s="333">
        <v>0</v>
      </c>
      <c r="G269" s="333">
        <v>0</v>
      </c>
      <c r="H269" s="333">
        <v>0</v>
      </c>
      <c r="I269" s="333">
        <v>0</v>
      </c>
      <c r="J269" s="333">
        <v>0</v>
      </c>
      <c r="K269" s="474"/>
      <c r="L269" s="474"/>
      <c r="M269" s="474"/>
      <c r="N269" s="474"/>
      <c r="O269" s="474"/>
      <c r="T269" s="310" t="str">
        <v>GigaEthernet (100Mbps)</v>
      </c>
      <c r="V269" s="333">
        <v>0</v>
      </c>
      <c r="W269" s="333">
        <v>0</v>
      </c>
      <c r="X269" s="333">
        <v>3.1336857594419317E-4</v>
      </c>
      <c r="Y269" s="333">
        <v>9.7998667007378895E-4</v>
      </c>
      <c r="Z269" s="333">
        <v>9.4751668113076022E-4</v>
      </c>
      <c r="AA269" s="333">
        <v>1.1856820876550199E-3</v>
      </c>
      <c r="AB269" s="474"/>
      <c r="AC269" s="474"/>
      <c r="AD269" s="474"/>
      <c r="AE269" s="474"/>
      <c r="AF269" s="474"/>
      <c r="AH269"/>
      <c r="AI269"/>
      <c r="AK269" s="310" t="str">
        <v>GigaEthernet (100Mbps)</v>
      </c>
      <c r="AM269" s="333">
        <v>0</v>
      </c>
      <c r="AN269" s="333">
        <v>0</v>
      </c>
      <c r="AO269" s="333">
        <v>1.876122869733856E-4</v>
      </c>
      <c r="AP269" s="333">
        <v>6.2081326537764478E-4</v>
      </c>
      <c r="AQ269" s="333">
        <v>5.7879724888803142E-4</v>
      </c>
      <c r="AR269" s="333">
        <v>8.0399593221517544E-4</v>
      </c>
      <c r="AS269" s="474"/>
      <c r="AT269" s="474"/>
      <c r="AU269" s="474"/>
      <c r="AV269" s="474"/>
      <c r="AW269" s="474"/>
      <c r="AY269"/>
      <c r="AZ269"/>
    </row>
    <row r="270" spans="3:52" s="299" customFormat="1">
      <c r="C270" s="310" t="str">
        <v>GigaEthernet (150Mbps)</v>
      </c>
      <c r="E270" s="333">
        <v>0</v>
      </c>
      <c r="F270" s="333">
        <v>0</v>
      </c>
      <c r="G270" s="333">
        <v>0</v>
      </c>
      <c r="H270" s="333">
        <v>0</v>
      </c>
      <c r="I270" s="333">
        <v>0</v>
      </c>
      <c r="J270" s="333">
        <v>0</v>
      </c>
      <c r="K270" s="474"/>
      <c r="L270" s="474"/>
      <c r="M270" s="474"/>
      <c r="N270" s="474"/>
      <c r="O270" s="474"/>
      <c r="T270" s="310" t="str">
        <v>GigaEthernet (150Mbps)</v>
      </c>
      <c r="V270" s="333">
        <v>1.1119759813188034E-3</v>
      </c>
      <c r="W270" s="333">
        <v>8.7608623896794568E-4</v>
      </c>
      <c r="X270" s="333">
        <v>1.1036023761512891E-3</v>
      </c>
      <c r="Y270" s="333">
        <v>1.2644989291274694E-3</v>
      </c>
      <c r="Z270" s="333">
        <v>1.3544082288836092E-3</v>
      </c>
      <c r="AA270" s="333">
        <v>7.8618199685954473E-4</v>
      </c>
      <c r="AB270" s="474"/>
      <c r="AC270" s="474"/>
      <c r="AD270" s="474"/>
      <c r="AE270" s="474"/>
      <c r="AF270" s="474"/>
      <c r="AH270"/>
      <c r="AI270"/>
      <c r="AK270" s="310" t="str">
        <v>GigaEthernet (150Mbps)</v>
      </c>
      <c r="AM270" s="333">
        <v>6.0831197482399523E-4</v>
      </c>
      <c r="AN270" s="333">
        <v>5.0671667222746569E-4</v>
      </c>
      <c r="AO270" s="333">
        <v>6.6072153238453182E-4</v>
      </c>
      <c r="AP270" s="333">
        <v>8.010493746808319E-4</v>
      </c>
      <c r="AQ270" s="333">
        <v>8.2734982123334208E-4</v>
      </c>
      <c r="AR270" s="333">
        <v>5.3310000550483704E-4</v>
      </c>
      <c r="AS270" s="474"/>
      <c r="AT270" s="474"/>
      <c r="AU270" s="474"/>
      <c r="AV270" s="474"/>
      <c r="AW270" s="474"/>
      <c r="AY270"/>
      <c r="AZ270"/>
    </row>
    <row r="271" spans="3:52" s="299" customFormat="1">
      <c r="C271" s="310" t="str">
        <v>GigaEthernet (200Mbps)</v>
      </c>
      <c r="E271" s="333">
        <v>0</v>
      </c>
      <c r="F271" s="333">
        <v>0</v>
      </c>
      <c r="G271" s="333">
        <v>0</v>
      </c>
      <c r="H271" s="333">
        <v>0</v>
      </c>
      <c r="I271" s="333">
        <v>0</v>
      </c>
      <c r="J271" s="333">
        <v>0</v>
      </c>
      <c r="K271" s="474"/>
      <c r="L271" s="474"/>
      <c r="M271" s="474"/>
      <c r="N271" s="474"/>
      <c r="O271" s="474"/>
      <c r="T271" s="310" t="str">
        <v>GigaEthernet (200Mbps)</v>
      </c>
      <c r="V271" s="333">
        <v>0</v>
      </c>
      <c r="W271" s="333">
        <v>0</v>
      </c>
      <c r="X271" s="333">
        <v>0</v>
      </c>
      <c r="Y271" s="333">
        <v>0</v>
      </c>
      <c r="Z271" s="333">
        <v>6.2598699654284459E-4</v>
      </c>
      <c r="AA271" s="333">
        <v>2.1363641219009367E-4</v>
      </c>
      <c r="AB271" s="474"/>
      <c r="AC271" s="474"/>
      <c r="AD271" s="474"/>
      <c r="AE271" s="474"/>
      <c r="AF271" s="474"/>
      <c r="AH271"/>
      <c r="AI271"/>
      <c r="AK271" s="310" t="str">
        <v>GigaEthernet (200Mbps)</v>
      </c>
      <c r="AM271" s="333">
        <v>0</v>
      </c>
      <c r="AN271" s="333">
        <v>0</v>
      </c>
      <c r="AO271" s="333">
        <v>0</v>
      </c>
      <c r="AP271" s="333">
        <v>0</v>
      </c>
      <c r="AQ271" s="333">
        <v>3.8238857283893969E-4</v>
      </c>
      <c r="AR271" s="333">
        <v>1.4486413193066222E-4</v>
      </c>
      <c r="AS271" s="474"/>
      <c r="AT271" s="474"/>
      <c r="AU271" s="474"/>
      <c r="AV271" s="474"/>
      <c r="AW271" s="474"/>
      <c r="AY271"/>
      <c r="AZ271"/>
    </row>
    <row r="272" spans="3:52" s="299" customFormat="1">
      <c r="C272" s="310" t="str">
        <v>GigaEthernet (250Mbps)</v>
      </c>
      <c r="E272" s="333">
        <v>0</v>
      </c>
      <c r="F272" s="333">
        <v>0</v>
      </c>
      <c r="G272" s="333">
        <v>0</v>
      </c>
      <c r="H272" s="333">
        <v>0</v>
      </c>
      <c r="I272" s="333">
        <v>0</v>
      </c>
      <c r="J272" s="333">
        <v>0</v>
      </c>
      <c r="K272" s="474"/>
      <c r="L272" s="474"/>
      <c r="M272" s="474"/>
      <c r="N272" s="474"/>
      <c r="O272" s="474"/>
      <c r="T272" s="310" t="str">
        <v>GigaEthernet (250Mbps)</v>
      </c>
      <c r="V272" s="333">
        <v>0</v>
      </c>
      <c r="W272" s="333">
        <v>0</v>
      </c>
      <c r="X272" s="333">
        <v>0</v>
      </c>
      <c r="Y272" s="333">
        <v>0</v>
      </c>
      <c r="Z272" s="333">
        <v>0</v>
      </c>
      <c r="AA272" s="333">
        <v>1.8586367860538147E-4</v>
      </c>
      <c r="AB272" s="474"/>
      <c r="AC272" s="474"/>
      <c r="AD272" s="474"/>
      <c r="AE272" s="474"/>
      <c r="AF272" s="474"/>
      <c r="AH272"/>
      <c r="AI272"/>
      <c r="AK272" s="310" t="str">
        <v>GigaEthernet (250Mbps)</v>
      </c>
      <c r="AM272" s="333">
        <v>0</v>
      </c>
      <c r="AN272" s="333">
        <v>0</v>
      </c>
      <c r="AO272" s="333">
        <v>0</v>
      </c>
      <c r="AP272" s="333">
        <v>0</v>
      </c>
      <c r="AQ272" s="333">
        <v>0</v>
      </c>
      <c r="AR272" s="333">
        <v>1.2603179477967613E-4</v>
      </c>
      <c r="AS272" s="474"/>
      <c r="AT272" s="474"/>
      <c r="AU272" s="474"/>
      <c r="AV272" s="474"/>
      <c r="AW272" s="474"/>
      <c r="AY272"/>
      <c r="AZ272"/>
    </row>
    <row r="273" spans="3:53" s="299" customFormat="1">
      <c r="C273" s="310" t="str">
        <v>GigaEthernet (300Mbps)</v>
      </c>
      <c r="E273" s="333">
        <v>0</v>
      </c>
      <c r="F273" s="333">
        <v>0</v>
      </c>
      <c r="G273" s="333">
        <v>0</v>
      </c>
      <c r="H273" s="333">
        <v>0</v>
      </c>
      <c r="I273" s="333">
        <v>0</v>
      </c>
      <c r="J273" s="333">
        <v>0</v>
      </c>
      <c r="K273" s="474"/>
      <c r="L273" s="474"/>
      <c r="M273" s="474"/>
      <c r="N273" s="474"/>
      <c r="O273" s="474"/>
      <c r="T273" s="310" t="str">
        <v>GigaEthernet (300Mbps)</v>
      </c>
      <c r="V273" s="333">
        <v>0</v>
      </c>
      <c r="W273" s="333">
        <v>0</v>
      </c>
      <c r="X273" s="333">
        <v>0</v>
      </c>
      <c r="Y273" s="333">
        <v>0</v>
      </c>
      <c r="Z273" s="333">
        <v>0</v>
      </c>
      <c r="AA273" s="333">
        <v>0</v>
      </c>
      <c r="AB273" s="474"/>
      <c r="AC273" s="474"/>
      <c r="AD273" s="474"/>
      <c r="AE273" s="474"/>
      <c r="AF273" s="474"/>
      <c r="AH273"/>
      <c r="AI273"/>
      <c r="AK273" s="310" t="str">
        <v>GigaEthernet (300Mbps)</v>
      </c>
      <c r="AM273" s="333">
        <v>0</v>
      </c>
      <c r="AN273" s="333">
        <v>0</v>
      </c>
      <c r="AO273" s="333">
        <v>0</v>
      </c>
      <c r="AP273" s="333">
        <v>0</v>
      </c>
      <c r="AQ273" s="333">
        <v>0</v>
      </c>
      <c r="AR273" s="333">
        <v>0</v>
      </c>
      <c r="AS273" s="474"/>
      <c r="AT273" s="474"/>
      <c r="AU273" s="474"/>
      <c r="AV273" s="474"/>
      <c r="AW273" s="474"/>
      <c r="AY273"/>
      <c r="AZ273"/>
    </row>
    <row r="274" spans="3:53" s="299" customFormat="1">
      <c r="C274" s="310" t="str">
        <v>GigaEthernet (350Mbps)</v>
      </c>
      <c r="E274" s="333">
        <v>0</v>
      </c>
      <c r="F274" s="333">
        <v>0</v>
      </c>
      <c r="G274" s="333">
        <v>0</v>
      </c>
      <c r="H274" s="333">
        <v>0</v>
      </c>
      <c r="I274" s="333">
        <v>0</v>
      </c>
      <c r="J274" s="333">
        <v>0</v>
      </c>
      <c r="K274" s="474"/>
      <c r="L274" s="474"/>
      <c r="M274" s="474"/>
      <c r="N274" s="474"/>
      <c r="O274" s="474"/>
      <c r="T274" s="310" t="str">
        <v>GigaEthernet (350Mbps)</v>
      </c>
      <c r="V274" s="333">
        <v>0</v>
      </c>
      <c r="W274" s="333">
        <v>0</v>
      </c>
      <c r="X274" s="333">
        <v>0</v>
      </c>
      <c r="Y274" s="333">
        <v>0</v>
      </c>
      <c r="Z274" s="333">
        <v>0</v>
      </c>
      <c r="AA274" s="333">
        <v>0</v>
      </c>
      <c r="AB274" s="474"/>
      <c r="AC274" s="474"/>
      <c r="AD274" s="474"/>
      <c r="AE274" s="474"/>
      <c r="AF274" s="474"/>
      <c r="AH274"/>
      <c r="AI274"/>
      <c r="AK274" s="310" t="str">
        <v>GigaEthernet (350Mbps)</v>
      </c>
      <c r="AM274" s="333">
        <v>0</v>
      </c>
      <c r="AN274" s="333">
        <v>0</v>
      </c>
      <c r="AO274" s="333">
        <v>0</v>
      </c>
      <c r="AP274" s="333">
        <v>0</v>
      </c>
      <c r="AQ274" s="333">
        <v>0</v>
      </c>
      <c r="AR274" s="333">
        <v>0</v>
      </c>
      <c r="AS274" s="474"/>
      <c r="AT274" s="474"/>
      <c r="AU274" s="474"/>
      <c r="AV274" s="474"/>
      <c r="AW274" s="474"/>
      <c r="AY274"/>
      <c r="AZ274"/>
    </row>
    <row r="275" spans="3:53" s="299" customFormat="1">
      <c r="C275" s="310" t="str">
        <v>GigaEthernet (400Mbps)</v>
      </c>
      <c r="E275" s="333">
        <v>0</v>
      </c>
      <c r="F275" s="333">
        <v>0</v>
      </c>
      <c r="G275" s="333">
        <v>0</v>
      </c>
      <c r="H275" s="333">
        <v>0</v>
      </c>
      <c r="I275" s="333">
        <v>0</v>
      </c>
      <c r="J275" s="333">
        <v>0</v>
      </c>
      <c r="K275" s="474"/>
      <c r="L275" s="474"/>
      <c r="M275" s="474"/>
      <c r="N275" s="474"/>
      <c r="O275" s="474"/>
      <c r="T275" s="310" t="str">
        <v>GigaEthernet (400Mbps)</v>
      </c>
      <c r="V275" s="333">
        <v>0</v>
      </c>
      <c r="W275" s="333">
        <v>0</v>
      </c>
      <c r="X275" s="333">
        <v>0</v>
      </c>
      <c r="Y275" s="333">
        <v>0</v>
      </c>
      <c r="Z275" s="333">
        <v>0</v>
      </c>
      <c r="AA275" s="333">
        <v>0</v>
      </c>
      <c r="AB275" s="474"/>
      <c r="AC275" s="474"/>
      <c r="AD275" s="474"/>
      <c r="AE275" s="474"/>
      <c r="AF275" s="474"/>
      <c r="AH275"/>
      <c r="AI275"/>
      <c r="AK275" s="310" t="str">
        <v>GigaEthernet (400Mbps)</v>
      </c>
      <c r="AM275" s="333">
        <v>0</v>
      </c>
      <c r="AN275" s="333">
        <v>0</v>
      </c>
      <c r="AO275" s="333">
        <v>0</v>
      </c>
      <c r="AP275" s="333">
        <v>0</v>
      </c>
      <c r="AQ275" s="333">
        <v>0</v>
      </c>
      <c r="AR275" s="333">
        <v>0</v>
      </c>
      <c r="AS275" s="474"/>
      <c r="AT275" s="474"/>
      <c r="AU275" s="474"/>
      <c r="AV275" s="474"/>
      <c r="AW275" s="474"/>
      <c r="AY275"/>
      <c r="AZ275"/>
    </row>
    <row r="276" spans="3:53" s="299" customFormat="1">
      <c r="C276" s="310" t="str">
        <v>GigaEthernet (450Mbps)</v>
      </c>
      <c r="E276" s="333">
        <v>0</v>
      </c>
      <c r="F276" s="333">
        <v>0</v>
      </c>
      <c r="G276" s="333">
        <v>0</v>
      </c>
      <c r="H276" s="333">
        <v>0</v>
      </c>
      <c r="I276" s="333">
        <v>0</v>
      </c>
      <c r="J276" s="333">
        <v>0</v>
      </c>
      <c r="K276" s="474"/>
      <c r="L276" s="474"/>
      <c r="M276" s="474"/>
      <c r="N276" s="474"/>
      <c r="O276" s="474"/>
      <c r="T276" s="310" t="str">
        <v>GigaEthernet (450Mbps)</v>
      </c>
      <c r="V276" s="333">
        <v>0</v>
      </c>
      <c r="W276" s="333">
        <v>0</v>
      </c>
      <c r="X276" s="333">
        <v>0</v>
      </c>
      <c r="Y276" s="333">
        <v>0</v>
      </c>
      <c r="Z276" s="333">
        <v>0</v>
      </c>
      <c r="AA276" s="333">
        <v>0</v>
      </c>
      <c r="AB276" s="474"/>
      <c r="AC276" s="474"/>
      <c r="AD276" s="474"/>
      <c r="AE276" s="474"/>
      <c r="AF276" s="474"/>
      <c r="AH276"/>
      <c r="AI276"/>
      <c r="AK276" s="310" t="str">
        <v>GigaEthernet (450Mbps)</v>
      </c>
      <c r="AM276" s="333">
        <v>0</v>
      </c>
      <c r="AN276" s="333">
        <v>0</v>
      </c>
      <c r="AO276" s="333">
        <v>0</v>
      </c>
      <c r="AP276" s="333">
        <v>0</v>
      </c>
      <c r="AQ276" s="333">
        <v>0</v>
      </c>
      <c r="AR276" s="333">
        <v>0</v>
      </c>
      <c r="AS276" s="474"/>
      <c r="AT276" s="474"/>
      <c r="AU276" s="474"/>
      <c r="AV276" s="474"/>
      <c r="AW276" s="474"/>
      <c r="AY276"/>
      <c r="AZ276"/>
    </row>
    <row r="277" spans="3:53" s="299" customFormat="1">
      <c r="C277" s="310" t="str">
        <v>GigaEthernet (500Mbps)</v>
      </c>
      <c r="E277" s="333">
        <v>0</v>
      </c>
      <c r="F277" s="333">
        <v>0</v>
      </c>
      <c r="G277" s="333">
        <v>0</v>
      </c>
      <c r="H277" s="333">
        <v>0</v>
      </c>
      <c r="I277" s="333">
        <v>0</v>
      </c>
      <c r="J277" s="333">
        <v>0</v>
      </c>
      <c r="K277" s="474"/>
      <c r="L277" s="474"/>
      <c r="M277" s="474"/>
      <c r="N277" s="474"/>
      <c r="O277" s="474"/>
      <c r="T277" s="310" t="str">
        <v>GigaEthernet (500Mbps)</v>
      </c>
      <c r="V277" s="333">
        <v>0</v>
      </c>
      <c r="W277" s="333">
        <v>0</v>
      </c>
      <c r="X277" s="333">
        <v>0</v>
      </c>
      <c r="Y277" s="333">
        <v>0</v>
      </c>
      <c r="Z277" s="333">
        <v>0</v>
      </c>
      <c r="AA277" s="333">
        <v>0</v>
      </c>
      <c r="AB277" s="474"/>
      <c r="AC277" s="474"/>
      <c r="AD277" s="474"/>
      <c r="AE277" s="474"/>
      <c r="AF277" s="474"/>
      <c r="AH277"/>
      <c r="AI277"/>
      <c r="AK277" s="310" t="str">
        <v>GigaEthernet (500Mbps)</v>
      </c>
      <c r="AM277" s="333">
        <v>0</v>
      </c>
      <c r="AN277" s="333">
        <v>0</v>
      </c>
      <c r="AO277" s="333">
        <v>0</v>
      </c>
      <c r="AP277" s="333">
        <v>0</v>
      </c>
      <c r="AQ277" s="333">
        <v>0</v>
      </c>
      <c r="AR277" s="333">
        <v>0</v>
      </c>
      <c r="AS277" s="474"/>
      <c r="AT277" s="474"/>
      <c r="AU277" s="474"/>
      <c r="AV277" s="474"/>
      <c r="AW277" s="474"/>
      <c r="AY277"/>
      <c r="AZ277"/>
    </row>
    <row r="278" spans="3:53" s="299" customFormat="1">
      <c r="C278" s="310" t="str">
        <v>GigaEthernet (550Mbps)</v>
      </c>
      <c r="E278" s="333">
        <v>0</v>
      </c>
      <c r="F278" s="333">
        <v>0</v>
      </c>
      <c r="G278" s="333">
        <v>0</v>
      </c>
      <c r="H278" s="333">
        <v>0</v>
      </c>
      <c r="I278" s="333">
        <v>0</v>
      </c>
      <c r="J278" s="333">
        <v>0</v>
      </c>
      <c r="K278" s="474"/>
      <c r="L278" s="474"/>
      <c r="M278" s="474"/>
      <c r="N278" s="474"/>
      <c r="O278" s="474"/>
      <c r="T278" s="310" t="str">
        <v>GigaEthernet (550Mbps)</v>
      </c>
      <c r="V278" s="333">
        <v>0</v>
      </c>
      <c r="W278" s="333">
        <v>0</v>
      </c>
      <c r="X278" s="333">
        <v>0</v>
      </c>
      <c r="Y278" s="333">
        <v>0</v>
      </c>
      <c r="Z278" s="333">
        <v>0</v>
      </c>
      <c r="AA278" s="333">
        <v>0</v>
      </c>
      <c r="AB278" s="474"/>
      <c r="AC278" s="474"/>
      <c r="AD278" s="474"/>
      <c r="AE278" s="474"/>
      <c r="AF278" s="474"/>
      <c r="AH278"/>
      <c r="AI278"/>
      <c r="AK278" s="310" t="str">
        <v>GigaEthernet (550Mbps)</v>
      </c>
      <c r="AM278" s="333">
        <v>0</v>
      </c>
      <c r="AN278" s="333">
        <v>0</v>
      </c>
      <c r="AO278" s="333">
        <v>0</v>
      </c>
      <c r="AP278" s="333">
        <v>0</v>
      </c>
      <c r="AQ278" s="333">
        <v>0</v>
      </c>
      <c r="AR278" s="333">
        <v>0</v>
      </c>
      <c r="AS278" s="474"/>
      <c r="AT278" s="474"/>
      <c r="AU278" s="474"/>
      <c r="AV278" s="474"/>
      <c r="AW278" s="474"/>
      <c r="AY278"/>
      <c r="AZ278"/>
    </row>
    <row r="279" spans="3:53" s="299" customFormat="1">
      <c r="C279" s="310" t="str">
        <v>GigaEthernet (600Mbps)</v>
      </c>
      <c r="E279" s="333">
        <v>0</v>
      </c>
      <c r="F279" s="333">
        <v>0</v>
      </c>
      <c r="G279" s="333">
        <v>0</v>
      </c>
      <c r="H279" s="333">
        <v>0</v>
      </c>
      <c r="I279" s="333">
        <v>0</v>
      </c>
      <c r="J279" s="333">
        <v>0</v>
      </c>
      <c r="K279" s="474"/>
      <c r="L279" s="474"/>
      <c r="M279" s="474"/>
      <c r="N279" s="474"/>
      <c r="O279" s="474"/>
      <c r="T279" s="310" t="str">
        <v>GigaEthernet (600Mbps)</v>
      </c>
      <c r="V279" s="333">
        <v>0</v>
      </c>
      <c r="W279" s="333">
        <v>0</v>
      </c>
      <c r="X279" s="333">
        <v>0</v>
      </c>
      <c r="Y279" s="333">
        <v>0</v>
      </c>
      <c r="Z279" s="333">
        <v>0</v>
      </c>
      <c r="AA279" s="333">
        <v>0</v>
      </c>
      <c r="AB279" s="474"/>
      <c r="AC279" s="474"/>
      <c r="AD279" s="474"/>
      <c r="AE279" s="474"/>
      <c r="AF279" s="474"/>
      <c r="AH279"/>
      <c r="AI279"/>
      <c r="AK279" s="310" t="str">
        <v>GigaEthernet (600Mbps)</v>
      </c>
      <c r="AM279" s="333">
        <v>0</v>
      </c>
      <c r="AN279" s="333">
        <v>0</v>
      </c>
      <c r="AO279" s="333">
        <v>0</v>
      </c>
      <c r="AP279" s="333">
        <v>0</v>
      </c>
      <c r="AQ279" s="333">
        <v>0</v>
      </c>
      <c r="AR279" s="333">
        <v>0</v>
      </c>
      <c r="AS279" s="474"/>
      <c r="AT279" s="474"/>
      <c r="AU279" s="474"/>
      <c r="AV279" s="474"/>
      <c r="AW279" s="474"/>
      <c r="AY279"/>
      <c r="AZ279"/>
    </row>
    <row r="280" spans="3:53" s="299" customFormat="1">
      <c r="C280" s="310" t="str">
        <v>GigaEthernet (750Mbps)</v>
      </c>
      <c r="E280" s="333">
        <v>0</v>
      </c>
      <c r="F280" s="333">
        <v>0</v>
      </c>
      <c r="G280" s="333">
        <v>0</v>
      </c>
      <c r="H280" s="333">
        <v>0</v>
      </c>
      <c r="I280" s="333">
        <v>0</v>
      </c>
      <c r="J280" s="333">
        <v>0</v>
      </c>
      <c r="K280" s="474"/>
      <c r="L280" s="474"/>
      <c r="M280" s="474"/>
      <c r="N280" s="474"/>
      <c r="O280" s="474"/>
      <c r="T280" s="310" t="str">
        <v>GigaEthernet (750Mbps)</v>
      </c>
      <c r="V280" s="333">
        <v>0</v>
      </c>
      <c r="W280" s="333">
        <v>0</v>
      </c>
      <c r="X280" s="333">
        <v>0</v>
      </c>
      <c r="Y280" s="333">
        <v>0</v>
      </c>
      <c r="Z280" s="333">
        <v>0</v>
      </c>
      <c r="AA280" s="333">
        <v>0</v>
      </c>
      <c r="AB280" s="474"/>
      <c r="AC280" s="474"/>
      <c r="AD280" s="474"/>
      <c r="AE280" s="474"/>
      <c r="AF280" s="474"/>
      <c r="AH280"/>
      <c r="AI280"/>
      <c r="AK280" s="310" t="str">
        <v>GigaEthernet (750Mbps)</v>
      </c>
      <c r="AM280" s="333">
        <v>0</v>
      </c>
      <c r="AN280" s="333">
        <v>0</v>
      </c>
      <c r="AO280" s="333">
        <v>0</v>
      </c>
      <c r="AP280" s="333">
        <v>0</v>
      </c>
      <c r="AQ280" s="333">
        <v>0</v>
      </c>
      <c r="AR280" s="333">
        <v>0</v>
      </c>
      <c r="AS280" s="474"/>
      <c r="AT280" s="474"/>
      <c r="AU280" s="474"/>
      <c r="AV280" s="474"/>
      <c r="AW280" s="474"/>
      <c r="AY280"/>
      <c r="AZ280"/>
    </row>
    <row r="281" spans="3:53" s="299" customFormat="1">
      <c r="C281" s="310" t="str">
        <v>GigaEthernet (1 Gbps)</v>
      </c>
      <c r="E281" s="333">
        <v>0</v>
      </c>
      <c r="F281" s="333">
        <v>0</v>
      </c>
      <c r="G281" s="333">
        <v>0</v>
      </c>
      <c r="H281" s="333">
        <v>0</v>
      </c>
      <c r="I281" s="333">
        <v>0</v>
      </c>
      <c r="J281" s="333">
        <v>0</v>
      </c>
      <c r="K281" s="474"/>
      <c r="L281" s="474"/>
      <c r="M281" s="474"/>
      <c r="N281" s="474"/>
      <c r="O281" s="474"/>
      <c r="T281" s="310" t="str">
        <v>GigaEthernet (1 Gbps)</v>
      </c>
      <c r="V281" s="333">
        <v>0</v>
      </c>
      <c r="W281" s="333">
        <v>0</v>
      </c>
      <c r="X281" s="333">
        <v>0</v>
      </c>
      <c r="Y281" s="333">
        <v>0</v>
      </c>
      <c r="Z281" s="333">
        <v>0</v>
      </c>
      <c r="AA281" s="333">
        <v>0</v>
      </c>
      <c r="AB281" s="474"/>
      <c r="AC281" s="474"/>
      <c r="AD281" s="474"/>
      <c r="AE281" s="474"/>
      <c r="AF281" s="474"/>
      <c r="AH281"/>
      <c r="AI281"/>
      <c r="AK281" s="310" t="str">
        <v>GigaEthernet (1 Gbps)</v>
      </c>
      <c r="AM281" s="333">
        <v>0</v>
      </c>
      <c r="AN281" s="333">
        <v>0</v>
      </c>
      <c r="AO281" s="333">
        <v>0</v>
      </c>
      <c r="AP281" s="333">
        <v>0</v>
      </c>
      <c r="AQ281" s="333">
        <v>0</v>
      </c>
      <c r="AR281" s="333">
        <v>0</v>
      </c>
      <c r="AS281" s="474"/>
      <c r="AT281" s="474"/>
      <c r="AU281" s="474"/>
      <c r="AV281" s="474"/>
      <c r="AW281" s="474"/>
      <c r="AY281"/>
      <c r="AZ281"/>
    </row>
    <row r="282" spans="3:53" s="299" customFormat="1">
      <c r="AH282"/>
      <c r="AI282"/>
      <c r="AY282"/>
      <c r="AZ282"/>
    </row>
    <row r="283" spans="3:53" s="299" customFormat="1">
      <c r="AH283"/>
      <c r="AI283"/>
      <c r="AY283"/>
      <c r="AZ283"/>
    </row>
    <row r="284" spans="3:53" s="299" customFormat="1" ht="15.75" thickBot="1">
      <c r="C284" s="130" t="s">
        <v>488</v>
      </c>
      <c r="T284" s="130" t="s">
        <v>488</v>
      </c>
      <c r="AK284" s="130" t="s">
        <v>488</v>
      </c>
    </row>
    <row r="285" spans="3:53" s="299" customFormat="1" ht="15.75" thickBot="1">
      <c r="C285" s="130" t="s">
        <v>489</v>
      </c>
      <c r="D285" s="130"/>
      <c r="E285" s="130"/>
      <c r="F285" s="130"/>
      <c r="G285" s="130"/>
      <c r="H285" s="130"/>
      <c r="I285" s="130"/>
      <c r="J285" s="130"/>
      <c r="K285" s="130"/>
      <c r="L285" s="130"/>
      <c r="M285" s="130"/>
      <c r="N285" s="130"/>
      <c r="O285" s="130"/>
      <c r="P285" s="130"/>
      <c r="Q285" s="130"/>
      <c r="T285" s="130" t="s">
        <v>489</v>
      </c>
      <c r="U285" s="130"/>
      <c r="V285" s="130"/>
      <c r="W285" s="130"/>
      <c r="X285" s="130"/>
      <c r="Y285" s="130"/>
      <c r="Z285" s="130"/>
      <c r="AA285" s="130"/>
      <c r="AB285" s="130"/>
      <c r="AC285" s="130"/>
      <c r="AD285" s="130"/>
      <c r="AE285" s="130"/>
      <c r="AF285" s="130"/>
      <c r="AG285" s="130"/>
      <c r="AH285" s="130"/>
      <c r="AK285" s="130" t="s">
        <v>489</v>
      </c>
      <c r="AL285" s="130"/>
      <c r="AM285" s="130"/>
      <c r="AN285" s="130"/>
      <c r="AO285" s="130"/>
      <c r="AP285" s="130"/>
      <c r="AQ285" s="130"/>
      <c r="AR285" s="130"/>
      <c r="AS285" s="130"/>
      <c r="AT285" s="130"/>
      <c r="AU285" s="130"/>
      <c r="AV285" s="130"/>
      <c r="AW285" s="130"/>
      <c r="AX285" s="130"/>
      <c r="AY285" s="130"/>
      <c r="AZ285" s="130"/>
      <c r="BA285" s="130"/>
    </row>
    <row r="286" spans="3:53" s="299" customFormat="1"/>
    <row r="287" spans="3:53" s="299" customFormat="1" ht="15">
      <c r="C287" s="332" t="s">
        <v>499</v>
      </c>
      <c r="T287" s="332" t="s">
        <v>499</v>
      </c>
      <c r="AK287" s="332" t="s">
        <v>499</v>
      </c>
    </row>
    <row r="288" spans="3:53" s="299" customFormat="1" ht="15">
      <c r="C288" s="332" t="s">
        <v>498</v>
      </c>
      <c r="T288" s="332" t="s">
        <v>498</v>
      </c>
      <c r="AK288" s="332" t="s">
        <v>498</v>
      </c>
    </row>
    <row r="289" spans="3:49" s="299" customFormat="1"/>
    <row r="290" spans="3:49" s="299" customFormat="1">
      <c r="C290" s="326" t="s">
        <v>442</v>
      </c>
      <c r="D290" s="326">
        <f t="array" ref="D290:O290">TRANSPOSE(Years)</f>
        <v>2008</v>
      </c>
      <c r="E290" s="326">
        <v>2009</v>
      </c>
      <c r="F290" s="326">
        <v>2010</v>
      </c>
      <c r="G290" s="326">
        <v>2011</v>
      </c>
      <c r="H290" s="326">
        <v>2012</v>
      </c>
      <c r="I290" s="326">
        <v>2013</v>
      </c>
      <c r="J290" s="326">
        <v>2014</v>
      </c>
      <c r="K290" s="326">
        <v>2015</v>
      </c>
      <c r="L290" s="326">
        <v>2016</v>
      </c>
      <c r="M290" s="326">
        <v>2017</v>
      </c>
      <c r="N290" s="326">
        <v>2018</v>
      </c>
      <c r="O290" s="326">
        <v>2019</v>
      </c>
      <c r="T290" s="338" t="s">
        <v>442</v>
      </c>
      <c r="U290" s="338">
        <f t="array" ref="U290:AF290">TRANSPOSE(Years)</f>
        <v>2008</v>
      </c>
      <c r="V290" s="338">
        <v>2009</v>
      </c>
      <c r="W290" s="338">
        <v>2010</v>
      </c>
      <c r="X290" s="338">
        <v>2011</v>
      </c>
      <c r="Y290" s="338">
        <v>2012</v>
      </c>
      <c r="Z290" s="338">
        <v>2013</v>
      </c>
      <c r="AA290" s="338">
        <v>2014</v>
      </c>
      <c r="AB290" s="338">
        <v>2015</v>
      </c>
      <c r="AC290" s="338">
        <v>2016</v>
      </c>
      <c r="AD290" s="338">
        <v>2017</v>
      </c>
      <c r="AE290" s="338">
        <v>2018</v>
      </c>
      <c r="AF290" s="338">
        <v>2019</v>
      </c>
      <c r="AK290" s="338" t="s">
        <v>442</v>
      </c>
      <c r="AL290" s="338">
        <f t="array" ref="AL290:AW290">TRANSPOSE(Years)</f>
        <v>2008</v>
      </c>
      <c r="AM290" s="338">
        <v>2009</v>
      </c>
      <c r="AN290" s="338">
        <v>2010</v>
      </c>
      <c r="AO290" s="338">
        <v>2011</v>
      </c>
      <c r="AP290" s="338">
        <v>2012</v>
      </c>
      <c r="AQ290" s="338">
        <v>2013</v>
      </c>
      <c r="AR290" s="338">
        <v>2014</v>
      </c>
      <c r="AS290" s="338">
        <v>2015</v>
      </c>
      <c r="AT290" s="338">
        <v>2016</v>
      </c>
      <c r="AU290" s="338">
        <v>2017</v>
      </c>
      <c r="AV290" s="338">
        <v>2018</v>
      </c>
      <c r="AW290" s="338">
        <v>2019</v>
      </c>
    </row>
    <row r="291" spans="3:49" s="299" customFormat="1">
      <c r="C291" s="310" t="str">
        <f t="array" ref="C291:C328">LL.list</f>
        <v>64 kbps</v>
      </c>
      <c r="E291" s="335">
        <f t="array" ref="E291:J328">National.LL.161.805.km.2009.2014.retail</f>
        <v>443.4</v>
      </c>
      <c r="F291" s="335">
        <v>588.75</v>
      </c>
      <c r="G291" s="335">
        <v>396.30999999999995</v>
      </c>
      <c r="H291" s="335">
        <v>265</v>
      </c>
      <c r="I291" s="335">
        <v>242.34999999999997</v>
      </c>
      <c r="J291" s="335">
        <v>368.46000000000004</v>
      </c>
      <c r="K291" s="473"/>
      <c r="L291" s="473"/>
      <c r="M291" s="473"/>
      <c r="N291" s="473"/>
      <c r="O291" s="473"/>
      <c r="T291" s="310" t="str">
        <f t="array" ref="T291:T328">LL.list</f>
        <v>64 kbps</v>
      </c>
      <c r="V291" s="335">
        <f t="array" ref="V291:AA328">National.LL.161.805.km.2009.2014.wholesale</f>
        <v>444</v>
      </c>
      <c r="W291" s="335">
        <v>590</v>
      </c>
      <c r="X291" s="335">
        <v>398</v>
      </c>
      <c r="Y291" s="335">
        <v>266</v>
      </c>
      <c r="Z291" s="335">
        <v>244</v>
      </c>
      <c r="AA291" s="335">
        <v>369</v>
      </c>
      <c r="AB291" s="473"/>
      <c r="AC291" s="473"/>
      <c r="AD291" s="473"/>
      <c r="AE291" s="473"/>
      <c r="AF291" s="473"/>
      <c r="AK291" s="310" t="str">
        <f t="array" ref="AK291:AK328">LL.list</f>
        <v>64 kbps</v>
      </c>
      <c r="AM291" s="335">
        <f t="array" ref="AM291:AR328">National.LL.161.805.km.2009.2014.total</f>
        <v>887.4</v>
      </c>
      <c r="AN291" s="335">
        <v>1178.75</v>
      </c>
      <c r="AO291" s="335">
        <v>794.31</v>
      </c>
      <c r="AP291" s="335">
        <v>531</v>
      </c>
      <c r="AQ291" s="335">
        <v>486.34999999999997</v>
      </c>
      <c r="AR291" s="335">
        <v>737.46</v>
      </c>
      <c r="AS291" s="473"/>
      <c r="AT291" s="473"/>
      <c r="AU291" s="473"/>
      <c r="AV291" s="473"/>
      <c r="AW291" s="473"/>
    </row>
    <row r="292" spans="3:49" s="299" customFormat="1">
      <c r="C292" s="310" t="str">
        <v>128 kbps</v>
      </c>
      <c r="E292" s="335">
        <v>334.16999999999996</v>
      </c>
      <c r="F292" s="335">
        <v>333.5200000000001</v>
      </c>
      <c r="G292" s="335">
        <v>223.71999999999997</v>
      </c>
      <c r="H292" s="335">
        <v>198.51999999999998</v>
      </c>
      <c r="I292" s="335">
        <v>262.98</v>
      </c>
      <c r="J292" s="335">
        <v>163.79000000000002</v>
      </c>
      <c r="K292" s="473"/>
      <c r="L292" s="473"/>
      <c r="M292" s="473"/>
      <c r="N292" s="473"/>
      <c r="O292" s="473"/>
      <c r="T292" s="310" t="str">
        <v>128 kbps</v>
      </c>
      <c r="V292" s="335">
        <v>336</v>
      </c>
      <c r="W292" s="335">
        <v>335</v>
      </c>
      <c r="X292" s="335">
        <v>224</v>
      </c>
      <c r="Y292" s="335">
        <v>200</v>
      </c>
      <c r="Z292" s="335">
        <v>263</v>
      </c>
      <c r="AA292" s="335">
        <v>165</v>
      </c>
      <c r="AB292" s="473"/>
      <c r="AC292" s="473"/>
      <c r="AD292" s="473"/>
      <c r="AE292" s="473"/>
      <c r="AF292" s="473"/>
      <c r="AK292" s="310" t="str">
        <v>128 kbps</v>
      </c>
      <c r="AM292" s="335">
        <v>670.17</v>
      </c>
      <c r="AN292" s="335">
        <v>668.5200000000001</v>
      </c>
      <c r="AO292" s="335">
        <v>447.71999999999997</v>
      </c>
      <c r="AP292" s="335">
        <v>398.52</v>
      </c>
      <c r="AQ292" s="335">
        <v>525.98</v>
      </c>
      <c r="AR292" s="335">
        <v>328.79</v>
      </c>
      <c r="AS292" s="473"/>
      <c r="AT292" s="473"/>
      <c r="AU292" s="473"/>
      <c r="AV292" s="473"/>
      <c r="AW292" s="473"/>
    </row>
    <row r="293" spans="3:49" s="299" customFormat="1">
      <c r="C293" s="310" t="str">
        <v>192 kbps</v>
      </c>
      <c r="E293" s="335">
        <v>89.28</v>
      </c>
      <c r="F293" s="335">
        <v>106.84</v>
      </c>
      <c r="G293" s="335">
        <v>89.360000000000014</v>
      </c>
      <c r="H293" s="335">
        <v>70.949999999999989</v>
      </c>
      <c r="I293" s="335">
        <v>93.619999999999976</v>
      </c>
      <c r="J293" s="335">
        <v>57</v>
      </c>
      <c r="K293" s="473"/>
      <c r="L293" s="473"/>
      <c r="M293" s="473"/>
      <c r="N293" s="473"/>
      <c r="O293" s="473"/>
      <c r="T293" s="310" t="str">
        <v>192 kbps</v>
      </c>
      <c r="V293" s="335">
        <v>90</v>
      </c>
      <c r="W293" s="335">
        <v>107</v>
      </c>
      <c r="X293" s="335">
        <v>91</v>
      </c>
      <c r="Y293" s="335">
        <v>71</v>
      </c>
      <c r="Z293" s="335">
        <v>94</v>
      </c>
      <c r="AA293" s="335">
        <v>57</v>
      </c>
      <c r="AB293" s="473"/>
      <c r="AC293" s="473"/>
      <c r="AD293" s="473"/>
      <c r="AE293" s="473"/>
      <c r="AF293" s="473"/>
      <c r="AK293" s="310" t="str">
        <v>192 kbps</v>
      </c>
      <c r="AM293" s="335">
        <v>179.28</v>
      </c>
      <c r="AN293" s="335">
        <v>213.84</v>
      </c>
      <c r="AO293" s="335">
        <v>180.36</v>
      </c>
      <c r="AP293" s="335">
        <v>141.94999999999999</v>
      </c>
      <c r="AQ293" s="335">
        <v>187.61999999999998</v>
      </c>
      <c r="AR293" s="335">
        <v>114</v>
      </c>
      <c r="AS293" s="473"/>
      <c r="AT293" s="473"/>
      <c r="AU293" s="473"/>
      <c r="AV293" s="473"/>
      <c r="AW293" s="473"/>
    </row>
    <row r="294" spans="3:49" s="299" customFormat="1">
      <c r="C294" s="310" t="str">
        <v>256 kbps</v>
      </c>
      <c r="E294" s="335">
        <v>145.47999999999996</v>
      </c>
      <c r="F294" s="335">
        <v>177.26</v>
      </c>
      <c r="G294" s="335">
        <v>238.75</v>
      </c>
      <c r="H294" s="335">
        <v>158.19999999999999</v>
      </c>
      <c r="I294" s="335">
        <v>230.01</v>
      </c>
      <c r="J294" s="335">
        <v>137.5</v>
      </c>
      <c r="K294" s="473"/>
      <c r="L294" s="473"/>
      <c r="M294" s="473"/>
      <c r="N294" s="473"/>
      <c r="O294" s="473"/>
      <c r="T294" s="310" t="str">
        <v>256 kbps</v>
      </c>
      <c r="V294" s="335">
        <v>146</v>
      </c>
      <c r="W294" s="335">
        <v>178</v>
      </c>
      <c r="X294" s="335">
        <v>240</v>
      </c>
      <c r="Y294" s="335">
        <v>160</v>
      </c>
      <c r="Z294" s="335">
        <v>231</v>
      </c>
      <c r="AA294" s="335">
        <v>138</v>
      </c>
      <c r="AB294" s="473"/>
      <c r="AC294" s="473"/>
      <c r="AD294" s="473"/>
      <c r="AE294" s="473"/>
      <c r="AF294" s="473"/>
      <c r="AK294" s="310" t="str">
        <v>256 kbps</v>
      </c>
      <c r="AM294" s="335">
        <v>291.47999999999996</v>
      </c>
      <c r="AN294" s="335">
        <v>355.26</v>
      </c>
      <c r="AO294" s="335">
        <v>478.75</v>
      </c>
      <c r="AP294" s="335">
        <v>318.2</v>
      </c>
      <c r="AQ294" s="335">
        <v>461.01</v>
      </c>
      <c r="AR294" s="335">
        <v>275.5</v>
      </c>
      <c r="AS294" s="473"/>
      <c r="AT294" s="473"/>
      <c r="AU294" s="473"/>
      <c r="AV294" s="473"/>
      <c r="AW294" s="473"/>
    </row>
    <row r="295" spans="3:49" s="299" customFormat="1">
      <c r="C295" s="310" t="str">
        <v>384 kbps</v>
      </c>
      <c r="E295" s="335">
        <v>82.53</v>
      </c>
      <c r="F295" s="335">
        <v>86.4</v>
      </c>
      <c r="G295" s="335">
        <v>79.03</v>
      </c>
      <c r="H295" s="335">
        <v>108.5</v>
      </c>
      <c r="I295" s="335">
        <v>95.52000000000001</v>
      </c>
      <c r="J295" s="335">
        <v>103.76000000000002</v>
      </c>
      <c r="K295" s="473"/>
      <c r="L295" s="473"/>
      <c r="M295" s="473"/>
      <c r="N295" s="473"/>
      <c r="O295" s="473"/>
      <c r="T295" s="310" t="str">
        <v>384 kbps</v>
      </c>
      <c r="V295" s="335">
        <v>84</v>
      </c>
      <c r="W295" s="335">
        <v>87</v>
      </c>
      <c r="X295" s="335">
        <v>80</v>
      </c>
      <c r="Y295" s="335">
        <v>109</v>
      </c>
      <c r="Z295" s="335">
        <v>96</v>
      </c>
      <c r="AA295" s="335">
        <v>104</v>
      </c>
      <c r="AB295" s="473"/>
      <c r="AC295" s="473"/>
      <c r="AD295" s="473"/>
      <c r="AE295" s="473"/>
      <c r="AF295" s="473"/>
      <c r="AK295" s="310" t="str">
        <v>384 kbps</v>
      </c>
      <c r="AM295" s="335">
        <v>166.53</v>
      </c>
      <c r="AN295" s="335">
        <v>173.4</v>
      </c>
      <c r="AO295" s="335">
        <v>159.03</v>
      </c>
      <c r="AP295" s="335">
        <v>217.5</v>
      </c>
      <c r="AQ295" s="335">
        <v>191.52</v>
      </c>
      <c r="AR295" s="335">
        <v>207.76000000000002</v>
      </c>
      <c r="AS295" s="473"/>
      <c r="AT295" s="473"/>
      <c r="AU295" s="473"/>
      <c r="AV295" s="473"/>
      <c r="AW295" s="473"/>
    </row>
    <row r="296" spans="3:49" s="299" customFormat="1">
      <c r="C296" s="310" t="str">
        <v>512 kbps</v>
      </c>
      <c r="E296" s="335">
        <v>136.88</v>
      </c>
      <c r="F296" s="335">
        <v>175.98000000000002</v>
      </c>
      <c r="G296" s="335">
        <v>169</v>
      </c>
      <c r="H296" s="335">
        <v>171.75</v>
      </c>
      <c r="I296" s="335">
        <v>114.68</v>
      </c>
      <c r="J296" s="335">
        <v>100.02000000000001</v>
      </c>
      <c r="K296" s="473"/>
      <c r="L296" s="473"/>
      <c r="M296" s="473"/>
      <c r="N296" s="473"/>
      <c r="O296" s="473"/>
      <c r="T296" s="310" t="str">
        <v>512 kbps</v>
      </c>
      <c r="V296" s="335">
        <v>137</v>
      </c>
      <c r="W296" s="335">
        <v>177</v>
      </c>
      <c r="X296" s="335">
        <v>169</v>
      </c>
      <c r="Y296" s="335">
        <v>172</v>
      </c>
      <c r="Z296" s="335">
        <v>115</v>
      </c>
      <c r="AA296" s="335">
        <v>102</v>
      </c>
      <c r="AB296" s="473"/>
      <c r="AC296" s="473"/>
      <c r="AD296" s="473"/>
      <c r="AE296" s="473"/>
      <c r="AF296" s="473"/>
      <c r="AK296" s="310" t="str">
        <v>512 kbps</v>
      </c>
      <c r="AM296" s="335">
        <v>273.88</v>
      </c>
      <c r="AN296" s="335">
        <v>352.98</v>
      </c>
      <c r="AO296" s="335">
        <v>338</v>
      </c>
      <c r="AP296" s="335">
        <v>343.75</v>
      </c>
      <c r="AQ296" s="335">
        <v>229.68</v>
      </c>
      <c r="AR296" s="335">
        <v>202.02</v>
      </c>
      <c r="AS296" s="473"/>
      <c r="AT296" s="473"/>
      <c r="AU296" s="473"/>
      <c r="AV296" s="473"/>
      <c r="AW296" s="473"/>
    </row>
    <row r="297" spans="3:49" s="299" customFormat="1">
      <c r="C297" s="310" t="str">
        <v>768 kbps</v>
      </c>
      <c r="E297" s="335">
        <v>44.47</v>
      </c>
      <c r="F297" s="335">
        <v>48.759999999999991</v>
      </c>
      <c r="G297" s="335">
        <v>61.800000000000011</v>
      </c>
      <c r="H297" s="335">
        <v>46.830000000000013</v>
      </c>
      <c r="I297" s="335">
        <v>34.850000000000009</v>
      </c>
      <c r="J297" s="335">
        <v>25.479999999999997</v>
      </c>
      <c r="K297" s="473"/>
      <c r="L297" s="473"/>
      <c r="M297" s="473"/>
      <c r="N297" s="473"/>
      <c r="O297" s="473"/>
      <c r="T297" s="310" t="str">
        <v>768 kbps</v>
      </c>
      <c r="V297" s="335">
        <v>46</v>
      </c>
      <c r="W297" s="335">
        <v>49</v>
      </c>
      <c r="X297" s="335">
        <v>63</v>
      </c>
      <c r="Y297" s="335">
        <v>48</v>
      </c>
      <c r="Z297" s="335">
        <v>36</v>
      </c>
      <c r="AA297" s="335">
        <v>26</v>
      </c>
      <c r="AB297" s="473"/>
      <c r="AC297" s="473"/>
      <c r="AD297" s="473"/>
      <c r="AE297" s="473"/>
      <c r="AF297" s="473"/>
      <c r="AK297" s="310" t="str">
        <v>768 kbps</v>
      </c>
      <c r="AM297" s="335">
        <v>90.47</v>
      </c>
      <c r="AN297" s="335">
        <v>97.759999999999991</v>
      </c>
      <c r="AO297" s="335">
        <v>124.80000000000001</v>
      </c>
      <c r="AP297" s="335">
        <v>94.830000000000013</v>
      </c>
      <c r="AQ297" s="335">
        <v>70.850000000000009</v>
      </c>
      <c r="AR297" s="335">
        <v>51.48</v>
      </c>
      <c r="AS297" s="473"/>
      <c r="AT297" s="473"/>
      <c r="AU297" s="473"/>
      <c r="AV297" s="473"/>
      <c r="AW297" s="473"/>
    </row>
    <row r="298" spans="3:49" s="299" customFormat="1">
      <c r="C298" s="310" t="str">
        <v>1024 kbps</v>
      </c>
      <c r="E298" s="335">
        <v>53.100000000000009</v>
      </c>
      <c r="F298" s="335">
        <v>43.879999999999995</v>
      </c>
      <c r="G298" s="335">
        <v>29.339999999999996</v>
      </c>
      <c r="H298" s="335">
        <v>19.420000000000002</v>
      </c>
      <c r="I298" s="335">
        <v>19</v>
      </c>
      <c r="J298" s="335">
        <v>30</v>
      </c>
      <c r="K298" s="473"/>
      <c r="L298" s="473"/>
      <c r="M298" s="473"/>
      <c r="N298" s="473"/>
      <c r="O298" s="473"/>
      <c r="T298" s="310" t="str">
        <v>1024 kbps</v>
      </c>
      <c r="V298" s="335">
        <v>54</v>
      </c>
      <c r="W298" s="335">
        <v>45</v>
      </c>
      <c r="X298" s="335">
        <v>30</v>
      </c>
      <c r="Y298" s="335">
        <v>20</v>
      </c>
      <c r="Z298" s="335">
        <v>20</v>
      </c>
      <c r="AA298" s="335">
        <v>30</v>
      </c>
      <c r="AB298" s="473"/>
      <c r="AC298" s="473"/>
      <c r="AD298" s="473"/>
      <c r="AE298" s="473"/>
      <c r="AF298" s="473"/>
      <c r="AK298" s="310" t="str">
        <v>1024 kbps</v>
      </c>
      <c r="AM298" s="335">
        <v>107.10000000000001</v>
      </c>
      <c r="AN298" s="335">
        <v>88.88</v>
      </c>
      <c r="AO298" s="335">
        <v>59.339999999999996</v>
      </c>
      <c r="AP298" s="335">
        <v>39.42</v>
      </c>
      <c r="AQ298" s="335">
        <v>39</v>
      </c>
      <c r="AR298" s="335">
        <v>60</v>
      </c>
      <c r="AS298" s="473"/>
      <c r="AT298" s="473"/>
      <c r="AU298" s="473"/>
      <c r="AV298" s="473"/>
      <c r="AW298" s="473"/>
    </row>
    <row r="299" spans="3:49" s="299" customFormat="1">
      <c r="C299" s="331" t="str">
        <v>E1 (2.04 Mbps)</v>
      </c>
      <c r="E299" s="335">
        <v>97.400000000000091</v>
      </c>
      <c r="F299" s="335">
        <v>118.15000000000009</v>
      </c>
      <c r="G299" s="335">
        <v>144.90000000000009</v>
      </c>
      <c r="H299" s="335">
        <v>201.29999999999995</v>
      </c>
      <c r="I299" s="335">
        <v>153.80999999999995</v>
      </c>
      <c r="J299" s="335">
        <v>205.31999999999971</v>
      </c>
      <c r="K299" s="473"/>
      <c r="L299" s="473"/>
      <c r="M299" s="473"/>
      <c r="N299" s="473"/>
      <c r="O299" s="473"/>
      <c r="T299" s="331" t="str">
        <v>E1 (2.04 Mbps)</v>
      </c>
      <c r="V299" s="335">
        <v>886</v>
      </c>
      <c r="W299" s="335">
        <v>1064</v>
      </c>
      <c r="X299" s="335">
        <v>1306</v>
      </c>
      <c r="Y299" s="335">
        <v>1818</v>
      </c>
      <c r="Z299" s="335">
        <v>1385</v>
      </c>
      <c r="AA299" s="335">
        <v>1856</v>
      </c>
      <c r="AB299" s="473"/>
      <c r="AC299" s="473"/>
      <c r="AD299" s="473"/>
      <c r="AE299" s="473"/>
      <c r="AF299" s="473"/>
      <c r="AK299" s="331" t="str">
        <v>E1 (2.04 Mbps)</v>
      </c>
      <c r="AM299" s="335">
        <v>983.40000000000009</v>
      </c>
      <c r="AN299" s="335">
        <v>1182.1500000000001</v>
      </c>
      <c r="AO299" s="335">
        <v>1450.9</v>
      </c>
      <c r="AP299" s="335">
        <v>2019.3</v>
      </c>
      <c r="AQ299" s="335">
        <v>1538.81</v>
      </c>
      <c r="AR299" s="335">
        <v>2061.3199999999997</v>
      </c>
      <c r="AS299" s="473"/>
      <c r="AT299" s="473"/>
      <c r="AU299" s="473"/>
      <c r="AV299" s="473"/>
      <c r="AW299" s="473"/>
    </row>
    <row r="300" spans="3:49" s="299" customFormat="1">
      <c r="C300" s="331" t="str">
        <v>E2 *</v>
      </c>
      <c r="E300" s="335">
        <v>0</v>
      </c>
      <c r="F300" s="335">
        <v>0</v>
      </c>
      <c r="G300" s="335">
        <v>0</v>
      </c>
      <c r="H300" s="335">
        <v>0</v>
      </c>
      <c r="I300" s="335">
        <v>0</v>
      </c>
      <c r="J300" s="335">
        <v>0</v>
      </c>
      <c r="K300" s="473"/>
      <c r="L300" s="473"/>
      <c r="M300" s="473"/>
      <c r="N300" s="473"/>
      <c r="O300" s="473"/>
      <c r="T300" s="331" t="str">
        <v>E2 *</v>
      </c>
      <c r="V300" s="335">
        <v>0</v>
      </c>
      <c r="W300" s="335">
        <v>0</v>
      </c>
      <c r="X300" s="335">
        <v>0</v>
      </c>
      <c r="Y300" s="335">
        <v>0</v>
      </c>
      <c r="Z300" s="335">
        <v>0</v>
      </c>
      <c r="AA300" s="335">
        <v>0</v>
      </c>
      <c r="AB300" s="473"/>
      <c r="AC300" s="473"/>
      <c r="AD300" s="473"/>
      <c r="AE300" s="473"/>
      <c r="AF300" s="473"/>
      <c r="AK300" s="331" t="str">
        <v>E2 *</v>
      </c>
      <c r="AM300" s="335">
        <v>0</v>
      </c>
      <c r="AN300" s="335">
        <v>0</v>
      </c>
      <c r="AO300" s="335">
        <v>0</v>
      </c>
      <c r="AP300" s="335">
        <v>0</v>
      </c>
      <c r="AQ300" s="335">
        <v>0</v>
      </c>
      <c r="AR300" s="335">
        <v>0</v>
      </c>
      <c r="AS300" s="473"/>
      <c r="AT300" s="473"/>
      <c r="AU300" s="473"/>
      <c r="AV300" s="473"/>
      <c r="AW300" s="473"/>
    </row>
    <row r="301" spans="3:49" s="299" customFormat="1">
      <c r="C301" s="331" t="str">
        <v>E3 (34 Mbps)</v>
      </c>
      <c r="E301" s="335">
        <v>3.2999999999999989</v>
      </c>
      <c r="F301" s="335">
        <v>3.6099999999999994</v>
      </c>
      <c r="G301" s="335">
        <v>2.08</v>
      </c>
      <c r="H301" s="335">
        <v>3.3999999999999986</v>
      </c>
      <c r="I301" s="335">
        <v>5.879999999999999</v>
      </c>
      <c r="J301" s="335">
        <v>3.7000000000000011</v>
      </c>
      <c r="K301" s="473"/>
      <c r="L301" s="473"/>
      <c r="M301" s="473"/>
      <c r="N301" s="473"/>
      <c r="O301" s="473"/>
      <c r="T301" s="331" t="str">
        <v>E3 (34 Mbps)</v>
      </c>
      <c r="V301" s="335">
        <v>5</v>
      </c>
      <c r="W301" s="335">
        <v>5</v>
      </c>
      <c r="X301" s="335">
        <v>4</v>
      </c>
      <c r="Y301" s="335">
        <v>5</v>
      </c>
      <c r="Z301" s="335">
        <v>6</v>
      </c>
      <c r="AA301" s="335">
        <v>4</v>
      </c>
      <c r="AB301" s="473"/>
      <c r="AC301" s="473"/>
      <c r="AD301" s="473"/>
      <c r="AE301" s="473"/>
      <c r="AF301" s="473"/>
      <c r="AK301" s="331" t="str">
        <v>E3 (34 Mbps)</v>
      </c>
      <c r="AM301" s="335">
        <v>8.2999999999999989</v>
      </c>
      <c r="AN301" s="335">
        <v>8.61</v>
      </c>
      <c r="AO301" s="335">
        <v>6.08</v>
      </c>
      <c r="AP301" s="335">
        <v>8.3999999999999986</v>
      </c>
      <c r="AQ301" s="335">
        <v>11.879999999999999</v>
      </c>
      <c r="AR301" s="335">
        <v>7.7000000000000011</v>
      </c>
      <c r="AS301" s="473"/>
      <c r="AT301" s="473"/>
      <c r="AU301" s="473"/>
      <c r="AV301" s="473"/>
      <c r="AW301" s="473"/>
    </row>
    <row r="302" spans="3:49" s="299" customFormat="1">
      <c r="C302" s="331" t="str">
        <v>STM-1 (155 Mbps)</v>
      </c>
      <c r="E302" s="335">
        <v>0</v>
      </c>
      <c r="F302" s="335">
        <v>0</v>
      </c>
      <c r="G302" s="335">
        <v>0</v>
      </c>
      <c r="H302" s="335">
        <v>0</v>
      </c>
      <c r="I302" s="335">
        <v>0</v>
      </c>
      <c r="J302" s="335">
        <v>0</v>
      </c>
      <c r="K302" s="473"/>
      <c r="L302" s="473"/>
      <c r="M302" s="473"/>
      <c r="N302" s="473"/>
      <c r="O302" s="473"/>
      <c r="T302" s="331" t="str">
        <v>STM-1 (155 Mbps)</v>
      </c>
      <c r="V302" s="335">
        <v>9.6199999999999992</v>
      </c>
      <c r="W302" s="335">
        <v>13.35</v>
      </c>
      <c r="X302" s="335">
        <v>13.299999999999999</v>
      </c>
      <c r="Y302" s="335">
        <v>19.190000000000001</v>
      </c>
      <c r="Z302" s="335">
        <v>19.89</v>
      </c>
      <c r="AA302" s="335">
        <v>18.04</v>
      </c>
      <c r="AB302" s="473"/>
      <c r="AC302" s="473"/>
      <c r="AD302" s="473"/>
      <c r="AE302" s="473"/>
      <c r="AF302" s="473"/>
      <c r="AK302" s="331" t="str">
        <v>STM-1 (155 Mbps)</v>
      </c>
      <c r="AM302" s="335">
        <v>9.6199999999999992</v>
      </c>
      <c r="AN302" s="335">
        <v>13.35</v>
      </c>
      <c r="AO302" s="335">
        <v>13.299999999999999</v>
      </c>
      <c r="AP302" s="335">
        <v>19.190000000000001</v>
      </c>
      <c r="AQ302" s="335">
        <v>19.89</v>
      </c>
      <c r="AR302" s="335">
        <v>18.04</v>
      </c>
      <c r="AS302" s="473"/>
      <c r="AT302" s="473"/>
      <c r="AU302" s="473"/>
      <c r="AV302" s="473"/>
      <c r="AW302" s="473"/>
    </row>
    <row r="303" spans="3:49" s="299" customFormat="1">
      <c r="C303" s="310" t="str">
        <v>STM-4 (622.08 Mbps)</v>
      </c>
      <c r="E303" s="335">
        <v>0</v>
      </c>
      <c r="F303" s="335">
        <v>0</v>
      </c>
      <c r="G303" s="335">
        <v>0</v>
      </c>
      <c r="H303" s="335">
        <v>0</v>
      </c>
      <c r="I303" s="335">
        <v>0</v>
      </c>
      <c r="J303" s="335">
        <v>0</v>
      </c>
      <c r="K303" s="473"/>
      <c r="L303" s="473"/>
      <c r="M303" s="473"/>
      <c r="N303" s="473"/>
      <c r="O303" s="473"/>
      <c r="T303" s="310" t="str">
        <v>STM-4 (622.08 Mbps)</v>
      </c>
      <c r="V303" s="335">
        <v>0</v>
      </c>
      <c r="W303" s="335">
        <v>0</v>
      </c>
      <c r="X303" s="335">
        <v>0</v>
      </c>
      <c r="Y303" s="335">
        <v>0</v>
      </c>
      <c r="Z303" s="335">
        <v>0</v>
      </c>
      <c r="AA303" s="335">
        <v>0</v>
      </c>
      <c r="AB303" s="473"/>
      <c r="AC303" s="473"/>
      <c r="AD303" s="473"/>
      <c r="AE303" s="473"/>
      <c r="AF303" s="473"/>
      <c r="AK303" s="310" t="str">
        <v>STM-4 (622.08 Mbps)</v>
      </c>
      <c r="AM303" s="335">
        <v>0</v>
      </c>
      <c r="AN303" s="335">
        <v>0</v>
      </c>
      <c r="AO303" s="335">
        <v>0</v>
      </c>
      <c r="AP303" s="335">
        <v>0</v>
      </c>
      <c r="AQ303" s="335">
        <v>0</v>
      </c>
      <c r="AR303" s="335">
        <v>0</v>
      </c>
      <c r="AS303" s="473"/>
      <c r="AT303" s="473"/>
      <c r="AU303" s="473"/>
      <c r="AV303" s="473"/>
      <c r="AW303" s="473"/>
    </row>
    <row r="304" spans="3:49" s="299" customFormat="1">
      <c r="C304" s="310" t="str">
        <v>STM-16 (2488.32Mbps)</v>
      </c>
      <c r="E304" s="335">
        <v>0</v>
      </c>
      <c r="F304" s="335">
        <v>0</v>
      </c>
      <c r="G304" s="335">
        <v>0</v>
      </c>
      <c r="H304" s="335">
        <v>0</v>
      </c>
      <c r="I304" s="335">
        <v>0</v>
      </c>
      <c r="J304" s="335">
        <v>0</v>
      </c>
      <c r="K304" s="473"/>
      <c r="L304" s="473"/>
      <c r="M304" s="473"/>
      <c r="N304" s="473"/>
      <c r="O304" s="473"/>
      <c r="T304" s="310" t="str">
        <v>STM-16 (2488.32Mbps)</v>
      </c>
      <c r="V304" s="335">
        <v>0</v>
      </c>
      <c r="W304" s="335">
        <v>0</v>
      </c>
      <c r="X304" s="335">
        <v>0</v>
      </c>
      <c r="Y304" s="335">
        <v>0</v>
      </c>
      <c r="Z304" s="335">
        <v>0</v>
      </c>
      <c r="AA304" s="335">
        <v>0</v>
      </c>
      <c r="AB304" s="473"/>
      <c r="AC304" s="473"/>
      <c r="AD304" s="473"/>
      <c r="AE304" s="473"/>
      <c r="AF304" s="473"/>
      <c r="AK304" s="310" t="str">
        <v>STM-16 (2488.32Mbps)</v>
      </c>
      <c r="AM304" s="335">
        <v>0</v>
      </c>
      <c r="AN304" s="335">
        <v>0</v>
      </c>
      <c r="AO304" s="335">
        <v>0</v>
      </c>
      <c r="AP304" s="335">
        <v>0</v>
      </c>
      <c r="AQ304" s="335">
        <v>0</v>
      </c>
      <c r="AR304" s="335">
        <v>0</v>
      </c>
      <c r="AS304" s="473"/>
      <c r="AT304" s="473"/>
      <c r="AU304" s="473"/>
      <c r="AV304" s="473"/>
      <c r="AW304" s="473"/>
    </row>
    <row r="305" spans="3:49" s="299" customFormat="1">
      <c r="C305" s="310" t="str">
        <v>STM-64 (9953.28Mbps)</v>
      </c>
      <c r="E305" s="335">
        <v>0</v>
      </c>
      <c r="F305" s="335">
        <v>0</v>
      </c>
      <c r="G305" s="335">
        <v>0</v>
      </c>
      <c r="H305" s="335">
        <v>0</v>
      </c>
      <c r="I305" s="335">
        <v>0</v>
      </c>
      <c r="J305" s="335">
        <v>0</v>
      </c>
      <c r="K305" s="473"/>
      <c r="L305" s="473"/>
      <c r="M305" s="473"/>
      <c r="N305" s="473"/>
      <c r="O305" s="473"/>
      <c r="T305" s="310" t="str">
        <v>STM-64 (9953.28Mbps)</v>
      </c>
      <c r="V305" s="335">
        <v>0</v>
      </c>
      <c r="W305" s="335">
        <v>0</v>
      </c>
      <c r="X305" s="335">
        <v>0</v>
      </c>
      <c r="Y305" s="335">
        <v>0</v>
      </c>
      <c r="Z305" s="335">
        <v>0</v>
      </c>
      <c r="AA305" s="335">
        <v>0</v>
      </c>
      <c r="AB305" s="473"/>
      <c r="AC305" s="473"/>
      <c r="AD305" s="473"/>
      <c r="AE305" s="473"/>
      <c r="AF305" s="473"/>
      <c r="AK305" s="310" t="str">
        <v>STM-64 (9953.28Mbps)</v>
      </c>
      <c r="AM305" s="335">
        <v>0</v>
      </c>
      <c r="AN305" s="335">
        <v>0</v>
      </c>
      <c r="AO305" s="335">
        <v>0</v>
      </c>
      <c r="AP305" s="335">
        <v>0</v>
      </c>
      <c r="AQ305" s="335">
        <v>0</v>
      </c>
      <c r="AR305" s="335">
        <v>0</v>
      </c>
      <c r="AS305" s="473"/>
      <c r="AT305" s="473"/>
      <c r="AU305" s="473"/>
      <c r="AV305" s="473"/>
      <c r="AW305" s="473"/>
    </row>
    <row r="306" spans="3:49" s="299" customFormat="1">
      <c r="C306" s="310" t="str">
        <v>STM-256 (39813.12 Mbps)*</v>
      </c>
      <c r="E306" s="335">
        <v>0</v>
      </c>
      <c r="F306" s="335">
        <v>0</v>
      </c>
      <c r="G306" s="335">
        <v>0</v>
      </c>
      <c r="H306" s="335">
        <v>0</v>
      </c>
      <c r="I306" s="335">
        <v>0</v>
      </c>
      <c r="J306" s="335">
        <v>0</v>
      </c>
      <c r="K306" s="473"/>
      <c r="L306" s="473"/>
      <c r="M306" s="473"/>
      <c r="N306" s="473"/>
      <c r="O306" s="473"/>
      <c r="T306" s="310" t="str">
        <v>STM-256 (39813.12 Mbps)*</v>
      </c>
      <c r="V306" s="335">
        <v>0</v>
      </c>
      <c r="W306" s="335">
        <v>0</v>
      </c>
      <c r="X306" s="335">
        <v>0</v>
      </c>
      <c r="Y306" s="335">
        <v>0</v>
      </c>
      <c r="Z306" s="335">
        <v>0</v>
      </c>
      <c r="AA306" s="335">
        <v>0</v>
      </c>
      <c r="AB306" s="473"/>
      <c r="AC306" s="473"/>
      <c r="AD306" s="473"/>
      <c r="AE306" s="473"/>
      <c r="AF306" s="473"/>
      <c r="AK306" s="310" t="str">
        <v>STM-256 (39813.12 Mbps)*</v>
      </c>
      <c r="AM306" s="335">
        <v>0</v>
      </c>
      <c r="AN306" s="335">
        <v>0</v>
      </c>
      <c r="AO306" s="335">
        <v>0</v>
      </c>
      <c r="AP306" s="335">
        <v>0</v>
      </c>
      <c r="AQ306" s="335">
        <v>0</v>
      </c>
      <c r="AR306" s="335">
        <v>0</v>
      </c>
      <c r="AS306" s="473"/>
      <c r="AT306" s="473"/>
      <c r="AU306" s="473"/>
      <c r="AV306" s="473"/>
      <c r="AW306" s="473"/>
    </row>
    <row r="307" spans="3:49" s="299" customFormat="1">
      <c r="C307" s="310" t="str">
        <v>Ethernet (10Mbps)</v>
      </c>
      <c r="E307" s="335">
        <v>5.18</v>
      </c>
      <c r="F307" s="335">
        <v>8.8499999999999979</v>
      </c>
      <c r="G307" s="335">
        <v>16.29</v>
      </c>
      <c r="H307" s="335">
        <v>19.89</v>
      </c>
      <c r="I307" s="335">
        <v>42.519999999999996</v>
      </c>
      <c r="J307" s="335">
        <v>75.25</v>
      </c>
      <c r="K307" s="473"/>
      <c r="L307" s="473"/>
      <c r="M307" s="473"/>
      <c r="N307" s="473"/>
      <c r="O307" s="473"/>
      <c r="T307" s="310" t="str">
        <v>Ethernet (10Mbps)</v>
      </c>
      <c r="V307" s="335">
        <v>7</v>
      </c>
      <c r="W307" s="335">
        <v>9</v>
      </c>
      <c r="X307" s="335">
        <v>18</v>
      </c>
      <c r="Y307" s="335">
        <v>21</v>
      </c>
      <c r="Z307" s="335">
        <v>44</v>
      </c>
      <c r="AA307" s="335">
        <v>76</v>
      </c>
      <c r="AB307" s="473"/>
      <c r="AC307" s="473"/>
      <c r="AD307" s="473"/>
      <c r="AE307" s="473"/>
      <c r="AF307" s="473"/>
      <c r="AK307" s="310" t="str">
        <v>Ethernet (10Mbps)</v>
      </c>
      <c r="AM307" s="335">
        <v>12.18</v>
      </c>
      <c r="AN307" s="335">
        <v>17.849999999999998</v>
      </c>
      <c r="AO307" s="335">
        <v>34.29</v>
      </c>
      <c r="AP307" s="335">
        <v>40.89</v>
      </c>
      <c r="AQ307" s="335">
        <v>86.52</v>
      </c>
      <c r="AR307" s="335">
        <v>151.25</v>
      </c>
      <c r="AS307" s="473"/>
      <c r="AT307" s="473"/>
      <c r="AU307" s="473"/>
      <c r="AV307" s="473"/>
      <c r="AW307" s="473"/>
    </row>
    <row r="308" spans="3:49" s="299" customFormat="1">
      <c r="C308" s="310" t="str">
        <v>Ethernet (20Mbps)</v>
      </c>
      <c r="E308" s="335">
        <v>3.74</v>
      </c>
      <c r="F308" s="335">
        <v>2.16</v>
      </c>
      <c r="G308" s="335">
        <v>3.0499999999999989</v>
      </c>
      <c r="H308" s="335">
        <v>4.4499999999999993</v>
      </c>
      <c r="I308" s="335">
        <v>9</v>
      </c>
      <c r="J308" s="335">
        <v>20.58</v>
      </c>
      <c r="K308" s="473"/>
      <c r="L308" s="473"/>
      <c r="M308" s="473"/>
      <c r="N308" s="473"/>
      <c r="O308" s="473"/>
      <c r="T308" s="310" t="str">
        <v>Ethernet (20Mbps)</v>
      </c>
      <c r="V308" s="335">
        <v>4</v>
      </c>
      <c r="W308" s="335">
        <v>4</v>
      </c>
      <c r="X308" s="335">
        <v>5</v>
      </c>
      <c r="Y308" s="335">
        <v>6</v>
      </c>
      <c r="Z308" s="335">
        <v>9</v>
      </c>
      <c r="AA308" s="335">
        <v>21</v>
      </c>
      <c r="AB308" s="473"/>
      <c r="AC308" s="473"/>
      <c r="AD308" s="473"/>
      <c r="AE308" s="473"/>
      <c r="AF308" s="473"/>
      <c r="AK308" s="310" t="str">
        <v>Ethernet (20Mbps)</v>
      </c>
      <c r="AM308" s="335">
        <v>7.74</v>
      </c>
      <c r="AN308" s="335">
        <v>6.16</v>
      </c>
      <c r="AO308" s="335">
        <v>8.0499999999999989</v>
      </c>
      <c r="AP308" s="335">
        <v>10.45</v>
      </c>
      <c r="AQ308" s="335">
        <v>18</v>
      </c>
      <c r="AR308" s="335">
        <v>41.58</v>
      </c>
      <c r="AS308" s="473"/>
      <c r="AT308" s="473"/>
      <c r="AU308" s="473"/>
      <c r="AV308" s="473"/>
      <c r="AW308" s="473"/>
    </row>
    <row r="309" spans="3:49" s="299" customFormat="1">
      <c r="C309" s="310" t="str">
        <v>Ethernet (30Mbps)</v>
      </c>
      <c r="E309" s="335">
        <v>0.37999999999999989</v>
      </c>
      <c r="F309" s="335">
        <v>0.94</v>
      </c>
      <c r="G309" s="335">
        <v>1.81</v>
      </c>
      <c r="H309" s="335">
        <v>4.4000000000000004</v>
      </c>
      <c r="I309" s="335">
        <v>5.4</v>
      </c>
      <c r="J309" s="335">
        <v>7.0399999999999991</v>
      </c>
      <c r="K309" s="473"/>
      <c r="L309" s="473"/>
      <c r="M309" s="473"/>
      <c r="N309" s="473"/>
      <c r="O309" s="473"/>
      <c r="T309" s="310" t="str">
        <v>Ethernet (30Mbps)</v>
      </c>
      <c r="V309" s="335">
        <v>2</v>
      </c>
      <c r="W309" s="335">
        <v>1</v>
      </c>
      <c r="X309" s="335">
        <v>2</v>
      </c>
      <c r="Y309" s="335">
        <v>6</v>
      </c>
      <c r="Z309" s="335">
        <v>6</v>
      </c>
      <c r="AA309" s="335">
        <v>8</v>
      </c>
      <c r="AB309" s="473"/>
      <c r="AC309" s="473"/>
      <c r="AD309" s="473"/>
      <c r="AE309" s="473"/>
      <c r="AF309" s="473"/>
      <c r="AK309" s="310" t="str">
        <v>Ethernet (30Mbps)</v>
      </c>
      <c r="AM309" s="335">
        <v>2.38</v>
      </c>
      <c r="AN309" s="335">
        <v>1.94</v>
      </c>
      <c r="AO309" s="335">
        <v>3.81</v>
      </c>
      <c r="AP309" s="335">
        <v>10.4</v>
      </c>
      <c r="AQ309" s="335">
        <v>11.4</v>
      </c>
      <c r="AR309" s="335">
        <v>15.04</v>
      </c>
      <c r="AS309" s="473"/>
      <c r="AT309" s="473"/>
      <c r="AU309" s="473"/>
      <c r="AV309" s="473"/>
      <c r="AW309" s="473"/>
    </row>
    <row r="310" spans="3:49" s="299" customFormat="1">
      <c r="C310" s="310" t="str">
        <v>Ethernet (40Mbps)</v>
      </c>
      <c r="E310" s="335">
        <v>0.33999999999999986</v>
      </c>
      <c r="F310" s="335">
        <v>0.48</v>
      </c>
      <c r="G310" s="335">
        <v>0.96999999999999975</v>
      </c>
      <c r="H310" s="335">
        <v>2.4000000000000004</v>
      </c>
      <c r="I310" s="335">
        <v>2.96</v>
      </c>
      <c r="J310" s="335">
        <v>10.989999999999998</v>
      </c>
      <c r="K310" s="473"/>
      <c r="L310" s="473"/>
      <c r="M310" s="473"/>
      <c r="N310" s="473"/>
      <c r="O310" s="473"/>
      <c r="T310" s="310" t="str">
        <v>Ethernet (40Mbps)</v>
      </c>
      <c r="V310" s="335">
        <v>2</v>
      </c>
      <c r="W310" s="335">
        <v>2</v>
      </c>
      <c r="X310" s="335">
        <v>2</v>
      </c>
      <c r="Y310" s="335">
        <v>3</v>
      </c>
      <c r="Z310" s="335">
        <v>4</v>
      </c>
      <c r="AA310" s="335">
        <v>12</v>
      </c>
      <c r="AB310" s="473"/>
      <c r="AC310" s="473"/>
      <c r="AD310" s="473"/>
      <c r="AE310" s="473"/>
      <c r="AF310" s="473"/>
      <c r="AK310" s="310" t="str">
        <v>Ethernet (40Mbps)</v>
      </c>
      <c r="AM310" s="335">
        <v>2.34</v>
      </c>
      <c r="AN310" s="335">
        <v>2.48</v>
      </c>
      <c r="AO310" s="335">
        <v>2.9699999999999998</v>
      </c>
      <c r="AP310" s="335">
        <v>5.4</v>
      </c>
      <c r="AQ310" s="335">
        <v>6.96</v>
      </c>
      <c r="AR310" s="335">
        <v>22.99</v>
      </c>
      <c r="AS310" s="473"/>
      <c r="AT310" s="473"/>
      <c r="AU310" s="473"/>
      <c r="AV310" s="473"/>
      <c r="AW310" s="473"/>
    </row>
    <row r="311" spans="3:49" s="299" customFormat="1">
      <c r="C311" s="310" t="str">
        <v>Ethernet (50Mbps)</v>
      </c>
      <c r="E311" s="335">
        <v>0.20000000000000018</v>
      </c>
      <c r="F311" s="335">
        <v>13.09</v>
      </c>
      <c r="G311" s="335">
        <v>13.98</v>
      </c>
      <c r="H311" s="335">
        <v>12.73</v>
      </c>
      <c r="I311" s="335">
        <v>19.32</v>
      </c>
      <c r="J311" s="335">
        <v>10</v>
      </c>
      <c r="K311" s="473"/>
      <c r="L311" s="473"/>
      <c r="M311" s="473"/>
      <c r="N311" s="473"/>
      <c r="O311" s="473"/>
      <c r="T311" s="310" t="str">
        <v>Ethernet (50Mbps)</v>
      </c>
      <c r="V311" s="335">
        <v>2</v>
      </c>
      <c r="W311" s="335">
        <v>14</v>
      </c>
      <c r="X311" s="335">
        <v>15</v>
      </c>
      <c r="Y311" s="335">
        <v>14</v>
      </c>
      <c r="Z311" s="335">
        <v>21</v>
      </c>
      <c r="AA311" s="335">
        <v>11</v>
      </c>
      <c r="AB311" s="473"/>
      <c r="AC311" s="473"/>
      <c r="AD311" s="473"/>
      <c r="AE311" s="473"/>
      <c r="AF311" s="473"/>
      <c r="AK311" s="310" t="str">
        <v>Ethernet (50Mbps)</v>
      </c>
      <c r="AM311" s="335">
        <v>2.2000000000000002</v>
      </c>
      <c r="AN311" s="335">
        <v>27.09</v>
      </c>
      <c r="AO311" s="335">
        <v>28.98</v>
      </c>
      <c r="AP311" s="335">
        <v>26.73</v>
      </c>
      <c r="AQ311" s="335">
        <v>40.32</v>
      </c>
      <c r="AR311" s="335">
        <v>21</v>
      </c>
      <c r="AS311" s="473"/>
      <c r="AT311" s="473"/>
      <c r="AU311" s="473"/>
      <c r="AV311" s="473"/>
      <c r="AW311" s="473"/>
    </row>
    <row r="312" spans="3:49" s="299" customFormat="1">
      <c r="C312" s="310" t="str">
        <v>Ethernet (60Mbps)</v>
      </c>
      <c r="E312" s="335">
        <v>0</v>
      </c>
      <c r="F312" s="335">
        <v>4.0000000000000036E-2</v>
      </c>
      <c r="G312" s="335">
        <v>0.45999999999999996</v>
      </c>
      <c r="H312" s="335">
        <v>1</v>
      </c>
      <c r="I312" s="335">
        <v>0.41999999999999993</v>
      </c>
      <c r="J312" s="335">
        <v>0.43999999999999995</v>
      </c>
      <c r="K312" s="473"/>
      <c r="L312" s="473"/>
      <c r="M312" s="473"/>
      <c r="N312" s="473"/>
      <c r="O312" s="473"/>
      <c r="T312" s="310" t="str">
        <v>Ethernet (60Mbps)</v>
      </c>
      <c r="V312" s="335">
        <v>0</v>
      </c>
      <c r="W312" s="335">
        <v>1</v>
      </c>
      <c r="X312" s="335">
        <v>2</v>
      </c>
      <c r="Y312" s="335">
        <v>1</v>
      </c>
      <c r="Z312" s="335">
        <v>2</v>
      </c>
      <c r="AA312" s="335">
        <v>1</v>
      </c>
      <c r="AB312" s="473"/>
      <c r="AC312" s="473"/>
      <c r="AD312" s="473"/>
      <c r="AE312" s="473"/>
      <c r="AF312" s="473"/>
      <c r="AK312" s="310" t="str">
        <v>Ethernet (60Mbps)</v>
      </c>
      <c r="AM312" s="335">
        <v>0</v>
      </c>
      <c r="AN312" s="335">
        <v>1.04</v>
      </c>
      <c r="AO312" s="335">
        <v>2.46</v>
      </c>
      <c r="AP312" s="335">
        <v>2</v>
      </c>
      <c r="AQ312" s="335">
        <v>2.42</v>
      </c>
      <c r="AR312" s="335">
        <v>1.44</v>
      </c>
      <c r="AS312" s="473"/>
      <c r="AT312" s="473"/>
      <c r="AU312" s="473"/>
      <c r="AV312" s="473"/>
      <c r="AW312" s="473"/>
    </row>
    <row r="313" spans="3:49" s="299" customFormat="1">
      <c r="C313" s="310" t="str">
        <v>Ethernet (70Mbps)</v>
      </c>
      <c r="E313" s="335">
        <v>0</v>
      </c>
      <c r="F313" s="335">
        <v>0</v>
      </c>
      <c r="G313" s="335">
        <v>0</v>
      </c>
      <c r="H313" s="335">
        <v>0</v>
      </c>
      <c r="I313" s="335">
        <v>0.35999999999999988</v>
      </c>
      <c r="J313" s="335">
        <v>2.75</v>
      </c>
      <c r="K313" s="473"/>
      <c r="L313" s="473"/>
      <c r="M313" s="473"/>
      <c r="N313" s="473"/>
      <c r="O313" s="473"/>
      <c r="T313" s="310" t="str">
        <v>Ethernet (70Mbps)</v>
      </c>
      <c r="V313" s="335">
        <v>0</v>
      </c>
      <c r="W313" s="335">
        <v>0</v>
      </c>
      <c r="X313" s="335">
        <v>0</v>
      </c>
      <c r="Y313" s="335">
        <v>0</v>
      </c>
      <c r="Z313" s="335">
        <v>2</v>
      </c>
      <c r="AA313" s="335">
        <v>3</v>
      </c>
      <c r="AB313" s="473"/>
      <c r="AC313" s="473"/>
      <c r="AD313" s="473"/>
      <c r="AE313" s="473"/>
      <c r="AF313" s="473"/>
      <c r="AK313" s="310" t="str">
        <v>Ethernet (70Mbps)</v>
      </c>
      <c r="AM313" s="335">
        <v>0</v>
      </c>
      <c r="AN313" s="335">
        <v>0</v>
      </c>
      <c r="AO313" s="335">
        <v>0</v>
      </c>
      <c r="AP313" s="335">
        <v>0</v>
      </c>
      <c r="AQ313" s="335">
        <v>2.36</v>
      </c>
      <c r="AR313" s="335">
        <v>5.75</v>
      </c>
      <c r="AS313" s="473"/>
      <c r="AT313" s="473"/>
      <c r="AU313" s="473"/>
      <c r="AV313" s="473"/>
      <c r="AW313" s="473"/>
    </row>
    <row r="314" spans="3:49" s="299" customFormat="1">
      <c r="C314" s="310" t="str">
        <v>Ethernet (80Mbps)</v>
      </c>
      <c r="E314" s="335">
        <v>0</v>
      </c>
      <c r="F314" s="335">
        <v>0</v>
      </c>
      <c r="G314" s="335">
        <v>0</v>
      </c>
      <c r="H314" s="335">
        <v>0</v>
      </c>
      <c r="I314" s="335">
        <v>0</v>
      </c>
      <c r="J314" s="335">
        <v>-0.25</v>
      </c>
      <c r="K314" s="473"/>
      <c r="L314" s="473"/>
      <c r="M314" s="473"/>
      <c r="N314" s="473"/>
      <c r="O314" s="473"/>
      <c r="T314" s="310" t="str">
        <v>Ethernet (80Mbps)</v>
      </c>
      <c r="V314" s="335">
        <v>0</v>
      </c>
      <c r="W314" s="335">
        <v>0</v>
      </c>
      <c r="X314" s="335">
        <v>0</v>
      </c>
      <c r="Y314" s="335">
        <v>0</v>
      </c>
      <c r="Z314" s="335">
        <v>0</v>
      </c>
      <c r="AA314" s="335">
        <v>1</v>
      </c>
      <c r="AB314" s="473"/>
      <c r="AC314" s="473"/>
      <c r="AD314" s="473"/>
      <c r="AE314" s="473"/>
      <c r="AF314" s="473"/>
      <c r="AK314" s="310" t="str">
        <v>Ethernet (80Mbps)</v>
      </c>
      <c r="AM314" s="335">
        <v>0</v>
      </c>
      <c r="AN314" s="335">
        <v>0</v>
      </c>
      <c r="AO314" s="335">
        <v>0</v>
      </c>
      <c r="AP314" s="335">
        <v>0</v>
      </c>
      <c r="AQ314" s="335">
        <v>0</v>
      </c>
      <c r="AR314" s="335">
        <v>0.75</v>
      </c>
      <c r="AS314" s="473"/>
      <c r="AT314" s="473"/>
      <c r="AU314" s="473"/>
      <c r="AV314" s="473"/>
      <c r="AW314" s="473"/>
    </row>
    <row r="315" spans="3:49" s="299" customFormat="1">
      <c r="C315" s="310" t="str">
        <v>Ethernet (90Mbps)</v>
      </c>
      <c r="E315" s="335">
        <v>0</v>
      </c>
      <c r="F315" s="335">
        <v>0</v>
      </c>
      <c r="G315" s="335">
        <v>0</v>
      </c>
      <c r="H315" s="335">
        <v>0</v>
      </c>
      <c r="I315" s="335">
        <v>0.24</v>
      </c>
      <c r="J315" s="335">
        <v>0.73</v>
      </c>
      <c r="K315" s="473"/>
      <c r="L315" s="473"/>
      <c r="M315" s="473"/>
      <c r="N315" s="473"/>
      <c r="O315" s="473"/>
      <c r="T315" s="310" t="str">
        <v>Ethernet (90Mbps)</v>
      </c>
      <c r="V315" s="335">
        <v>0</v>
      </c>
      <c r="W315" s="335">
        <v>0</v>
      </c>
      <c r="X315" s="335">
        <v>0</v>
      </c>
      <c r="Y315" s="335">
        <v>0</v>
      </c>
      <c r="Z315" s="335">
        <v>1</v>
      </c>
      <c r="AA315" s="335">
        <v>2</v>
      </c>
      <c r="AB315" s="473"/>
      <c r="AC315" s="473"/>
      <c r="AD315" s="473"/>
      <c r="AE315" s="473"/>
      <c r="AF315" s="473"/>
      <c r="AK315" s="310" t="str">
        <v>Ethernet (90Mbps)</v>
      </c>
      <c r="AM315" s="335">
        <v>0</v>
      </c>
      <c r="AN315" s="335">
        <v>0</v>
      </c>
      <c r="AO315" s="335">
        <v>0</v>
      </c>
      <c r="AP315" s="335">
        <v>0</v>
      </c>
      <c r="AQ315" s="335">
        <v>1.24</v>
      </c>
      <c r="AR315" s="335">
        <v>2.73</v>
      </c>
      <c r="AS315" s="473"/>
      <c r="AT315" s="473"/>
      <c r="AU315" s="473"/>
      <c r="AV315" s="473"/>
      <c r="AW315" s="473"/>
    </row>
    <row r="316" spans="3:49" s="299" customFormat="1">
      <c r="C316" s="310" t="str">
        <v>GigaEthernet (100Mbps)</v>
      </c>
      <c r="E316" s="335">
        <v>0</v>
      </c>
      <c r="F316" s="335">
        <v>0</v>
      </c>
      <c r="G316" s="335">
        <v>0</v>
      </c>
      <c r="H316" s="335">
        <v>0</v>
      </c>
      <c r="I316" s="335">
        <v>0</v>
      </c>
      <c r="J316" s="335">
        <v>0</v>
      </c>
      <c r="K316" s="473"/>
      <c r="L316" s="473"/>
      <c r="M316" s="473"/>
      <c r="N316" s="473"/>
      <c r="O316" s="473"/>
      <c r="T316" s="310" t="str">
        <v>GigaEthernet (100Mbps)</v>
      </c>
      <c r="V316" s="335">
        <v>5.7399999999999993</v>
      </c>
      <c r="W316" s="335">
        <v>12</v>
      </c>
      <c r="X316" s="335">
        <v>16.939999999999998</v>
      </c>
      <c r="Y316" s="335">
        <v>21.8</v>
      </c>
      <c r="Z316" s="335">
        <v>16.72</v>
      </c>
      <c r="AA316" s="335">
        <v>18.239999999999998</v>
      </c>
      <c r="AB316" s="473"/>
      <c r="AC316" s="473"/>
      <c r="AD316" s="473"/>
      <c r="AE316" s="473"/>
      <c r="AF316" s="473"/>
      <c r="AK316" s="310" t="str">
        <v>GigaEthernet (100Mbps)</v>
      </c>
      <c r="AM316" s="335">
        <v>5.7399999999999993</v>
      </c>
      <c r="AN316" s="335">
        <v>12</v>
      </c>
      <c r="AO316" s="335">
        <v>16.939999999999998</v>
      </c>
      <c r="AP316" s="335">
        <v>21.8</v>
      </c>
      <c r="AQ316" s="335">
        <v>16.72</v>
      </c>
      <c r="AR316" s="335">
        <v>18.239999999999998</v>
      </c>
      <c r="AS316" s="473"/>
      <c r="AT316" s="473"/>
      <c r="AU316" s="473"/>
      <c r="AV316" s="473"/>
      <c r="AW316" s="473"/>
    </row>
    <row r="317" spans="3:49" s="299" customFormat="1">
      <c r="C317" s="310" t="str">
        <v>GigaEthernet (150Mbps)</v>
      </c>
      <c r="E317" s="335">
        <v>0</v>
      </c>
      <c r="F317" s="335">
        <v>0</v>
      </c>
      <c r="G317" s="335">
        <v>0</v>
      </c>
      <c r="H317" s="335">
        <v>0</v>
      </c>
      <c r="I317" s="335">
        <v>0</v>
      </c>
      <c r="J317" s="335">
        <v>0</v>
      </c>
      <c r="K317" s="473"/>
      <c r="L317" s="473"/>
      <c r="M317" s="473"/>
      <c r="N317" s="473"/>
      <c r="O317" s="473"/>
      <c r="T317" s="310" t="str">
        <v>GigaEthernet (150Mbps)</v>
      </c>
      <c r="V317" s="335">
        <v>2.56</v>
      </c>
      <c r="W317" s="335">
        <v>2.06</v>
      </c>
      <c r="X317" s="335">
        <v>2.2999999999999998</v>
      </c>
      <c r="Y317" s="335">
        <v>0</v>
      </c>
      <c r="Z317" s="335">
        <v>2.2400000000000002</v>
      </c>
      <c r="AA317" s="335">
        <v>6.36</v>
      </c>
      <c r="AB317" s="473"/>
      <c r="AC317" s="473"/>
      <c r="AD317" s="473"/>
      <c r="AE317" s="473"/>
      <c r="AF317" s="473"/>
      <c r="AK317" s="310" t="str">
        <v>GigaEthernet (150Mbps)</v>
      </c>
      <c r="AM317" s="335">
        <v>2.56</v>
      </c>
      <c r="AN317" s="335">
        <v>2.06</v>
      </c>
      <c r="AO317" s="335">
        <v>2.2999999999999998</v>
      </c>
      <c r="AP317" s="335">
        <v>0</v>
      </c>
      <c r="AQ317" s="335">
        <v>2.2400000000000002</v>
      </c>
      <c r="AR317" s="335">
        <v>6.36</v>
      </c>
      <c r="AS317" s="473"/>
      <c r="AT317" s="473"/>
      <c r="AU317" s="473"/>
      <c r="AV317" s="473"/>
      <c r="AW317" s="473"/>
    </row>
    <row r="318" spans="3:49" s="299" customFormat="1">
      <c r="C318" s="310" t="str">
        <v>GigaEthernet (200Mbps)</v>
      </c>
      <c r="E318" s="335">
        <v>0</v>
      </c>
      <c r="F318" s="335">
        <v>0</v>
      </c>
      <c r="G318" s="335">
        <v>0</v>
      </c>
      <c r="H318" s="335">
        <v>0</v>
      </c>
      <c r="I318" s="335">
        <v>0</v>
      </c>
      <c r="J318" s="335">
        <v>0</v>
      </c>
      <c r="K318" s="473"/>
      <c r="L318" s="473"/>
      <c r="M318" s="473"/>
      <c r="N318" s="473"/>
      <c r="O318" s="473"/>
      <c r="T318" s="310" t="str">
        <v>GigaEthernet (200Mbps)</v>
      </c>
      <c r="V318" s="335">
        <v>0</v>
      </c>
      <c r="W318" s="335">
        <v>0</v>
      </c>
      <c r="X318" s="335">
        <v>0</v>
      </c>
      <c r="Y318" s="335">
        <v>2.54</v>
      </c>
      <c r="Z318" s="335">
        <v>2.5</v>
      </c>
      <c r="AA318" s="335">
        <v>2.3199999999999998</v>
      </c>
      <c r="AB318" s="473"/>
      <c r="AC318" s="473"/>
      <c r="AD318" s="473"/>
      <c r="AE318" s="473"/>
      <c r="AF318" s="473"/>
      <c r="AK318" s="310" t="str">
        <v>GigaEthernet (200Mbps)</v>
      </c>
      <c r="AM318" s="335">
        <v>0</v>
      </c>
      <c r="AN318" s="335">
        <v>0</v>
      </c>
      <c r="AO318" s="335">
        <v>0</v>
      </c>
      <c r="AP318" s="335">
        <v>2.54</v>
      </c>
      <c r="AQ318" s="335">
        <v>2.5</v>
      </c>
      <c r="AR318" s="335">
        <v>2.3199999999999998</v>
      </c>
      <c r="AS318" s="473"/>
      <c r="AT318" s="473"/>
      <c r="AU318" s="473"/>
      <c r="AV318" s="473"/>
      <c r="AW318" s="473"/>
    </row>
    <row r="319" spans="3:49" s="299" customFormat="1">
      <c r="C319" s="310" t="str">
        <v>GigaEthernet (250Mbps)</v>
      </c>
      <c r="E319" s="335">
        <v>0</v>
      </c>
      <c r="F319" s="335">
        <v>0</v>
      </c>
      <c r="G319" s="335">
        <v>0</v>
      </c>
      <c r="H319" s="335">
        <v>0</v>
      </c>
      <c r="I319" s="335">
        <v>0</v>
      </c>
      <c r="J319" s="335">
        <v>0</v>
      </c>
      <c r="K319" s="473"/>
      <c r="L319" s="473"/>
      <c r="M319" s="473"/>
      <c r="N319" s="473"/>
      <c r="O319" s="473"/>
      <c r="T319" s="310" t="str">
        <v>GigaEthernet (250Mbps)</v>
      </c>
      <c r="V319" s="335">
        <v>0</v>
      </c>
      <c r="W319" s="335">
        <v>0</v>
      </c>
      <c r="X319" s="335">
        <v>0</v>
      </c>
      <c r="Y319" s="335">
        <v>0</v>
      </c>
      <c r="Z319" s="335">
        <v>0</v>
      </c>
      <c r="AA319" s="335">
        <v>0</v>
      </c>
      <c r="AB319" s="473"/>
      <c r="AC319" s="473"/>
      <c r="AD319" s="473"/>
      <c r="AE319" s="473"/>
      <c r="AF319" s="473"/>
      <c r="AK319" s="310" t="str">
        <v>GigaEthernet (250Mbps)</v>
      </c>
      <c r="AM319" s="335">
        <v>0</v>
      </c>
      <c r="AN319" s="335">
        <v>0</v>
      </c>
      <c r="AO319" s="335">
        <v>0</v>
      </c>
      <c r="AP319" s="335">
        <v>0</v>
      </c>
      <c r="AQ319" s="335">
        <v>0</v>
      </c>
      <c r="AR319" s="335">
        <v>0</v>
      </c>
      <c r="AS319" s="473"/>
      <c r="AT319" s="473"/>
      <c r="AU319" s="473"/>
      <c r="AV319" s="473"/>
      <c r="AW319" s="473"/>
    </row>
    <row r="320" spans="3:49" s="299" customFormat="1">
      <c r="C320" s="310" t="str">
        <v>GigaEthernet (300Mbps)</v>
      </c>
      <c r="E320" s="335">
        <v>0</v>
      </c>
      <c r="F320" s="335">
        <v>0</v>
      </c>
      <c r="G320" s="335">
        <v>0</v>
      </c>
      <c r="H320" s="335">
        <v>0</v>
      </c>
      <c r="I320" s="335">
        <v>0</v>
      </c>
      <c r="J320" s="335">
        <v>0</v>
      </c>
      <c r="K320" s="473"/>
      <c r="L320" s="473"/>
      <c r="M320" s="473"/>
      <c r="N320" s="473"/>
      <c r="O320" s="473"/>
      <c r="T320" s="310" t="str">
        <v>GigaEthernet (300Mbps)</v>
      </c>
      <c r="V320" s="335">
        <v>1.88</v>
      </c>
      <c r="W320" s="335">
        <v>2.52</v>
      </c>
      <c r="X320" s="335">
        <v>1.78</v>
      </c>
      <c r="Y320" s="335">
        <v>0</v>
      </c>
      <c r="Z320" s="335">
        <v>0</v>
      </c>
      <c r="AA320" s="335">
        <v>0</v>
      </c>
      <c r="AB320" s="473"/>
      <c r="AC320" s="473"/>
      <c r="AD320" s="473"/>
      <c r="AE320" s="473"/>
      <c r="AF320" s="473"/>
      <c r="AK320" s="310" t="str">
        <v>GigaEthernet (300Mbps)</v>
      </c>
      <c r="AM320" s="335">
        <v>1.88</v>
      </c>
      <c r="AN320" s="335">
        <v>2.52</v>
      </c>
      <c r="AO320" s="335">
        <v>1.78</v>
      </c>
      <c r="AP320" s="335">
        <v>0</v>
      </c>
      <c r="AQ320" s="335">
        <v>0</v>
      </c>
      <c r="AR320" s="335">
        <v>0</v>
      </c>
      <c r="AS320" s="473"/>
      <c r="AT320" s="473"/>
      <c r="AU320" s="473"/>
      <c r="AV320" s="473"/>
      <c r="AW320" s="473"/>
    </row>
    <row r="321" spans="3:52" s="299" customFormat="1">
      <c r="C321" s="310" t="str">
        <v>GigaEthernet (350Mbps)</v>
      </c>
      <c r="E321" s="335">
        <v>0</v>
      </c>
      <c r="F321" s="335">
        <v>0</v>
      </c>
      <c r="G321" s="335">
        <v>0</v>
      </c>
      <c r="H321" s="335">
        <v>0</v>
      </c>
      <c r="I321" s="335">
        <v>0</v>
      </c>
      <c r="J321" s="335">
        <v>0</v>
      </c>
      <c r="K321" s="473"/>
      <c r="L321" s="473"/>
      <c r="M321" s="473"/>
      <c r="N321" s="473"/>
      <c r="O321" s="473"/>
      <c r="T321" s="310" t="str">
        <v>GigaEthernet (350Mbps)</v>
      </c>
      <c r="V321" s="335">
        <v>0</v>
      </c>
      <c r="W321" s="335">
        <v>0</v>
      </c>
      <c r="X321" s="335">
        <v>0</v>
      </c>
      <c r="Y321" s="335">
        <v>0</v>
      </c>
      <c r="Z321" s="335">
        <v>0</v>
      </c>
      <c r="AA321" s="335">
        <v>0</v>
      </c>
      <c r="AB321" s="473"/>
      <c r="AC321" s="473"/>
      <c r="AD321" s="473"/>
      <c r="AE321" s="473"/>
      <c r="AF321" s="473"/>
      <c r="AK321" s="310" t="str">
        <v>GigaEthernet (350Mbps)</v>
      </c>
      <c r="AM321" s="335">
        <v>0</v>
      </c>
      <c r="AN321" s="335">
        <v>0</v>
      </c>
      <c r="AO321" s="335">
        <v>0</v>
      </c>
      <c r="AP321" s="335">
        <v>0</v>
      </c>
      <c r="AQ321" s="335">
        <v>0</v>
      </c>
      <c r="AR321" s="335">
        <v>0</v>
      </c>
      <c r="AS321" s="473"/>
      <c r="AT321" s="473"/>
      <c r="AU321" s="473"/>
      <c r="AV321" s="473"/>
      <c r="AW321" s="473"/>
    </row>
    <row r="322" spans="3:52" s="299" customFormat="1">
      <c r="C322" s="310" t="str">
        <v>GigaEthernet (400Mbps)</v>
      </c>
      <c r="E322" s="335">
        <v>0</v>
      </c>
      <c r="F322" s="335">
        <v>0</v>
      </c>
      <c r="G322" s="335">
        <v>0</v>
      </c>
      <c r="H322" s="335">
        <v>0</v>
      </c>
      <c r="I322" s="335">
        <v>0</v>
      </c>
      <c r="J322" s="335">
        <v>0</v>
      </c>
      <c r="K322" s="473"/>
      <c r="L322" s="473"/>
      <c r="M322" s="473"/>
      <c r="N322" s="473"/>
      <c r="O322" s="473"/>
      <c r="T322" s="310" t="str">
        <v>GigaEthernet (400Mbps)</v>
      </c>
      <c r="V322" s="335">
        <v>0</v>
      </c>
      <c r="W322" s="335">
        <v>0</v>
      </c>
      <c r="X322" s="335">
        <v>0</v>
      </c>
      <c r="Y322" s="335">
        <v>1.72</v>
      </c>
      <c r="Z322" s="335">
        <v>1.66</v>
      </c>
      <c r="AA322" s="335">
        <v>3.69</v>
      </c>
      <c r="AB322" s="473"/>
      <c r="AC322" s="473"/>
      <c r="AD322" s="473"/>
      <c r="AE322" s="473"/>
      <c r="AF322" s="473"/>
      <c r="AK322" s="310" t="str">
        <v>GigaEthernet (400Mbps)</v>
      </c>
      <c r="AM322" s="335">
        <v>0</v>
      </c>
      <c r="AN322" s="335">
        <v>0</v>
      </c>
      <c r="AO322" s="335">
        <v>0</v>
      </c>
      <c r="AP322" s="335">
        <v>1.72</v>
      </c>
      <c r="AQ322" s="335">
        <v>1.66</v>
      </c>
      <c r="AR322" s="335">
        <v>3.69</v>
      </c>
      <c r="AS322" s="473"/>
      <c r="AT322" s="473"/>
      <c r="AU322" s="473"/>
      <c r="AV322" s="473"/>
      <c r="AW322" s="473"/>
    </row>
    <row r="323" spans="3:52" s="299" customFormat="1">
      <c r="C323" s="310" t="str">
        <v>GigaEthernet (450Mbps)</v>
      </c>
      <c r="E323" s="335">
        <v>0</v>
      </c>
      <c r="F323" s="335">
        <v>0</v>
      </c>
      <c r="G323" s="335">
        <v>0</v>
      </c>
      <c r="H323" s="335">
        <v>0</v>
      </c>
      <c r="I323" s="335">
        <v>0</v>
      </c>
      <c r="J323" s="335">
        <v>0</v>
      </c>
      <c r="K323" s="473"/>
      <c r="L323" s="473"/>
      <c r="M323" s="473"/>
      <c r="N323" s="473"/>
      <c r="O323" s="473"/>
      <c r="T323" s="310" t="str">
        <v>GigaEthernet (450Mbps)</v>
      </c>
      <c r="V323" s="335">
        <v>0</v>
      </c>
      <c r="W323" s="335">
        <v>0</v>
      </c>
      <c r="X323" s="335">
        <v>0</v>
      </c>
      <c r="Y323" s="335">
        <v>0</v>
      </c>
      <c r="Z323" s="335">
        <v>0</v>
      </c>
      <c r="AA323" s="335">
        <v>0</v>
      </c>
      <c r="AB323" s="473"/>
      <c r="AC323" s="473"/>
      <c r="AD323" s="473"/>
      <c r="AE323" s="473"/>
      <c r="AF323" s="473"/>
      <c r="AK323" s="310" t="str">
        <v>GigaEthernet (450Mbps)</v>
      </c>
      <c r="AM323" s="335">
        <v>0</v>
      </c>
      <c r="AN323" s="335">
        <v>0</v>
      </c>
      <c r="AO323" s="335">
        <v>0</v>
      </c>
      <c r="AP323" s="335">
        <v>0</v>
      </c>
      <c r="AQ323" s="335">
        <v>0</v>
      </c>
      <c r="AR323" s="335">
        <v>0</v>
      </c>
      <c r="AS323" s="473"/>
      <c r="AT323" s="473"/>
      <c r="AU323" s="473"/>
      <c r="AV323" s="473"/>
      <c r="AW323" s="473"/>
    </row>
    <row r="324" spans="3:52" s="299" customFormat="1">
      <c r="C324" s="310" t="str">
        <v>GigaEthernet (500Mbps)</v>
      </c>
      <c r="E324" s="335">
        <v>0</v>
      </c>
      <c r="F324" s="335">
        <v>0</v>
      </c>
      <c r="G324" s="335">
        <v>0</v>
      </c>
      <c r="H324" s="335">
        <v>0</v>
      </c>
      <c r="I324" s="335">
        <v>0</v>
      </c>
      <c r="J324" s="335">
        <v>0</v>
      </c>
      <c r="K324" s="473"/>
      <c r="L324" s="473"/>
      <c r="M324" s="473"/>
      <c r="N324" s="473"/>
      <c r="O324" s="473"/>
      <c r="T324" s="310" t="str">
        <v>GigaEthernet (500Mbps)</v>
      </c>
      <c r="V324" s="335">
        <v>0</v>
      </c>
      <c r="W324" s="335">
        <v>0</v>
      </c>
      <c r="X324" s="335">
        <v>0</v>
      </c>
      <c r="Y324" s="335">
        <v>0</v>
      </c>
      <c r="Z324" s="335">
        <v>0</v>
      </c>
      <c r="AA324" s="335">
        <v>0</v>
      </c>
      <c r="AB324" s="473"/>
      <c r="AC324" s="473"/>
      <c r="AD324" s="473"/>
      <c r="AE324" s="473"/>
      <c r="AF324" s="473"/>
      <c r="AK324" s="310" t="str">
        <v>GigaEthernet (500Mbps)</v>
      </c>
      <c r="AM324" s="335">
        <v>0</v>
      </c>
      <c r="AN324" s="335">
        <v>0</v>
      </c>
      <c r="AO324" s="335">
        <v>0</v>
      </c>
      <c r="AP324" s="335">
        <v>0</v>
      </c>
      <c r="AQ324" s="335">
        <v>0</v>
      </c>
      <c r="AR324" s="335">
        <v>0</v>
      </c>
      <c r="AS324" s="473"/>
      <c r="AT324" s="473"/>
      <c r="AU324" s="473"/>
      <c r="AV324" s="473"/>
      <c r="AW324" s="473"/>
    </row>
    <row r="325" spans="3:52" s="299" customFormat="1">
      <c r="C325" s="310" t="str">
        <v>GigaEthernet (550Mbps)</v>
      </c>
      <c r="E325" s="336">
        <v>0</v>
      </c>
      <c r="F325" s="335">
        <v>0</v>
      </c>
      <c r="G325" s="335">
        <v>0</v>
      </c>
      <c r="H325" s="335">
        <v>0</v>
      </c>
      <c r="I325" s="335">
        <v>0</v>
      </c>
      <c r="J325" s="335">
        <v>0</v>
      </c>
      <c r="K325" s="473"/>
      <c r="L325" s="473"/>
      <c r="M325" s="473"/>
      <c r="N325" s="473"/>
      <c r="O325" s="473"/>
      <c r="T325" s="310" t="str">
        <v>GigaEthernet (550Mbps)</v>
      </c>
      <c r="V325" s="336">
        <v>0</v>
      </c>
      <c r="W325" s="335">
        <v>0</v>
      </c>
      <c r="X325" s="335">
        <v>0</v>
      </c>
      <c r="Y325" s="335">
        <v>0</v>
      </c>
      <c r="Z325" s="335">
        <v>0</v>
      </c>
      <c r="AA325" s="335">
        <v>0</v>
      </c>
      <c r="AB325" s="473"/>
      <c r="AC325" s="473"/>
      <c r="AD325" s="473"/>
      <c r="AE325" s="473"/>
      <c r="AF325" s="473"/>
      <c r="AK325" s="310" t="str">
        <v>GigaEthernet (550Mbps)</v>
      </c>
      <c r="AM325" s="336">
        <v>0</v>
      </c>
      <c r="AN325" s="335">
        <v>0</v>
      </c>
      <c r="AO325" s="335">
        <v>0</v>
      </c>
      <c r="AP325" s="335">
        <v>0</v>
      </c>
      <c r="AQ325" s="335">
        <v>0</v>
      </c>
      <c r="AR325" s="335">
        <v>0</v>
      </c>
      <c r="AS325" s="473"/>
      <c r="AT325" s="473"/>
      <c r="AU325" s="473"/>
      <c r="AV325" s="473"/>
      <c r="AW325" s="473"/>
    </row>
    <row r="326" spans="3:52" s="299" customFormat="1">
      <c r="C326" s="310" t="str">
        <v>GigaEthernet (600Mbps)</v>
      </c>
      <c r="E326" s="335">
        <v>0</v>
      </c>
      <c r="F326" s="335">
        <v>0</v>
      </c>
      <c r="G326" s="335">
        <v>0</v>
      </c>
      <c r="H326" s="335">
        <v>0</v>
      </c>
      <c r="I326" s="335">
        <v>0</v>
      </c>
      <c r="J326" s="335">
        <v>0</v>
      </c>
      <c r="K326" s="473"/>
      <c r="L326" s="473"/>
      <c r="M326" s="473"/>
      <c r="N326" s="473"/>
      <c r="O326" s="473"/>
      <c r="T326" s="310" t="str">
        <v>GigaEthernet (600Mbps)</v>
      </c>
      <c r="V326" s="335">
        <v>0.78</v>
      </c>
      <c r="W326" s="335">
        <v>0.7</v>
      </c>
      <c r="X326" s="335">
        <v>0</v>
      </c>
      <c r="Y326" s="335">
        <v>0</v>
      </c>
      <c r="Z326" s="335">
        <v>0</v>
      </c>
      <c r="AA326" s="335">
        <v>0</v>
      </c>
      <c r="AB326" s="473"/>
      <c r="AC326" s="473"/>
      <c r="AD326" s="473"/>
      <c r="AE326" s="473"/>
      <c r="AF326" s="473"/>
      <c r="AK326" s="310" t="str">
        <v>GigaEthernet (600Mbps)</v>
      </c>
      <c r="AM326" s="335">
        <v>0.78</v>
      </c>
      <c r="AN326" s="335">
        <v>0.7</v>
      </c>
      <c r="AO326" s="335">
        <v>0</v>
      </c>
      <c r="AP326" s="335">
        <v>0</v>
      </c>
      <c r="AQ326" s="335">
        <v>0</v>
      </c>
      <c r="AR326" s="335">
        <v>0</v>
      </c>
      <c r="AS326" s="473"/>
      <c r="AT326" s="473"/>
      <c r="AU326" s="473"/>
      <c r="AV326" s="473"/>
      <c r="AW326" s="473"/>
    </row>
    <row r="327" spans="3:52" s="299" customFormat="1">
      <c r="C327" s="310" t="str">
        <v>GigaEthernet (750Mbps)</v>
      </c>
      <c r="E327" s="335">
        <v>0</v>
      </c>
      <c r="F327" s="335">
        <v>0</v>
      </c>
      <c r="G327" s="335">
        <v>0</v>
      </c>
      <c r="H327" s="335">
        <v>0</v>
      </c>
      <c r="I327" s="335">
        <v>0</v>
      </c>
      <c r="J327" s="335">
        <v>0</v>
      </c>
      <c r="K327" s="473"/>
      <c r="L327" s="473"/>
      <c r="M327" s="473"/>
      <c r="N327" s="473"/>
      <c r="O327" s="473"/>
      <c r="T327" s="310" t="str">
        <v>GigaEthernet (750Mbps)</v>
      </c>
      <c r="V327" s="335">
        <v>0</v>
      </c>
      <c r="W327" s="335">
        <v>0</v>
      </c>
      <c r="X327" s="335">
        <v>0.96</v>
      </c>
      <c r="Y327" s="335">
        <v>1.28</v>
      </c>
      <c r="Z327" s="335">
        <v>0.91</v>
      </c>
      <c r="AA327" s="335">
        <v>0</v>
      </c>
      <c r="AB327" s="473"/>
      <c r="AC327" s="473"/>
      <c r="AD327" s="473"/>
      <c r="AE327" s="473"/>
      <c r="AF327" s="473"/>
      <c r="AK327" s="310" t="str">
        <v>GigaEthernet (750Mbps)</v>
      </c>
      <c r="AM327" s="335">
        <v>0</v>
      </c>
      <c r="AN327" s="335">
        <v>0</v>
      </c>
      <c r="AO327" s="335">
        <v>0.96</v>
      </c>
      <c r="AP327" s="335">
        <v>1.28</v>
      </c>
      <c r="AQ327" s="335">
        <v>0.91</v>
      </c>
      <c r="AR327" s="335">
        <v>0</v>
      </c>
      <c r="AS327" s="473"/>
      <c r="AT327" s="473"/>
      <c r="AU327" s="473"/>
      <c r="AV327" s="473"/>
      <c r="AW327" s="473"/>
    </row>
    <row r="328" spans="3:52" s="299" customFormat="1">
      <c r="C328" s="310" t="str">
        <v>GigaEthernet (1 Gbps)</v>
      </c>
      <c r="E328" s="335">
        <v>0</v>
      </c>
      <c r="F328" s="335">
        <v>0</v>
      </c>
      <c r="G328" s="335">
        <v>0</v>
      </c>
      <c r="H328" s="335">
        <v>0</v>
      </c>
      <c r="I328" s="335">
        <v>0</v>
      </c>
      <c r="J328" s="335">
        <v>0</v>
      </c>
      <c r="K328" s="473"/>
      <c r="L328" s="473"/>
      <c r="M328" s="473"/>
      <c r="N328" s="473"/>
      <c r="O328" s="473"/>
      <c r="Q328" s="326" t="s">
        <v>500</v>
      </c>
      <c r="T328" s="310" t="str">
        <v>GigaEthernet (1 Gbps)</v>
      </c>
      <c r="V328" s="335">
        <v>0</v>
      </c>
      <c r="W328" s="335">
        <v>0.95</v>
      </c>
      <c r="X328" s="335">
        <v>0</v>
      </c>
      <c r="Y328" s="335">
        <v>0</v>
      </c>
      <c r="Z328" s="335">
        <v>1.08</v>
      </c>
      <c r="AA328" s="335">
        <v>10.4</v>
      </c>
      <c r="AB328" s="473"/>
      <c r="AC328" s="473"/>
      <c r="AD328" s="473"/>
      <c r="AE328" s="473"/>
      <c r="AF328" s="473"/>
      <c r="AH328" s="338" t="s">
        <v>500</v>
      </c>
      <c r="AK328" s="310" t="str">
        <v>GigaEthernet (1 Gbps)</v>
      </c>
      <c r="AM328" s="335">
        <v>0</v>
      </c>
      <c r="AN328" s="335">
        <v>0.95</v>
      </c>
      <c r="AO328" s="335">
        <v>0</v>
      </c>
      <c r="AP328" s="335">
        <v>0</v>
      </c>
      <c r="AQ328" s="335">
        <v>1.08</v>
      </c>
      <c r="AR328" s="335">
        <v>10.4</v>
      </c>
      <c r="AS328" s="473"/>
      <c r="AT328" s="473"/>
      <c r="AU328" s="473"/>
      <c r="AV328" s="473"/>
      <c r="AW328" s="473"/>
      <c r="AY328" s="338" t="s">
        <v>500</v>
      </c>
    </row>
    <row r="329" spans="3:52" s="299" customFormat="1">
      <c r="E329" s="337">
        <f>SUM(E291:E328)</f>
        <v>1439.85</v>
      </c>
      <c r="F329" s="337">
        <f t="shared" ref="F329" si="23">SUM(F291:F328)</f>
        <v>1708.7100000000003</v>
      </c>
      <c r="G329" s="337">
        <f t="shared" ref="G329" si="24">SUM(G291:G328)</f>
        <v>1470.85</v>
      </c>
      <c r="H329" s="337">
        <f t="shared" ref="H329" si="25">SUM(H291:H328)</f>
        <v>1288.7400000000005</v>
      </c>
      <c r="I329" s="337">
        <f t="shared" ref="I329" si="26">SUM(I291:I328)</f>
        <v>1332.9199999999998</v>
      </c>
      <c r="J329" s="337">
        <f t="shared" ref="J329:O329" si="27">SUM(J291:J328)</f>
        <v>1322.5599999999997</v>
      </c>
      <c r="K329" s="337">
        <f t="shared" si="27"/>
        <v>0</v>
      </c>
      <c r="L329" s="337">
        <f t="shared" si="27"/>
        <v>0</v>
      </c>
      <c r="M329" s="337">
        <f t="shared" si="27"/>
        <v>0</v>
      </c>
      <c r="N329" s="337">
        <f t="shared" si="27"/>
        <v>0</v>
      </c>
      <c r="O329" s="337">
        <f t="shared" si="27"/>
        <v>0</v>
      </c>
      <c r="P329" s="307" t="s">
        <v>536</v>
      </c>
      <c r="Q329" s="334">
        <f>(J329/E329)^(1/(J290-E290))-1</f>
        <v>-1.6850355363717595E-2</v>
      </c>
      <c r="V329" s="337">
        <f>SUM(V291:V328)</f>
        <v>2265.58</v>
      </c>
      <c r="W329" s="337">
        <f t="shared" ref="W329:AA329" si="28">SUM(W291:W328)</f>
        <v>2699.5799999999995</v>
      </c>
      <c r="X329" s="337">
        <f t="shared" si="28"/>
        <v>2684.2800000000007</v>
      </c>
      <c r="Y329" s="337">
        <f t="shared" si="28"/>
        <v>2966.53</v>
      </c>
      <c r="Z329" s="337">
        <f t="shared" si="28"/>
        <v>2623.9999999999991</v>
      </c>
      <c r="AA329" s="337">
        <f t="shared" si="28"/>
        <v>3045.05</v>
      </c>
      <c r="AB329" s="337">
        <f t="shared" ref="AB329:AF329" si="29">SUM(AB291:AB328)</f>
        <v>0</v>
      </c>
      <c r="AC329" s="337">
        <f t="shared" si="29"/>
        <v>0</v>
      </c>
      <c r="AD329" s="337">
        <f t="shared" si="29"/>
        <v>0</v>
      </c>
      <c r="AE329" s="337">
        <f t="shared" si="29"/>
        <v>0</v>
      </c>
      <c r="AF329" s="337">
        <f t="shared" si="29"/>
        <v>0</v>
      </c>
      <c r="AG329" s="307" t="s">
        <v>608</v>
      </c>
      <c r="AH329" s="334">
        <f>(AA329/V329)^(1/(AA290-V290))-1</f>
        <v>6.0920900398036437E-2</v>
      </c>
      <c r="AM329" s="337">
        <f>SUM(AM291:AM328)</f>
        <v>3705.43</v>
      </c>
      <c r="AN329" s="337">
        <f t="shared" ref="AN329:AR329" si="30">SUM(AN291:AN328)</f>
        <v>4408.2900000000009</v>
      </c>
      <c r="AO329" s="337">
        <f t="shared" si="30"/>
        <v>4155.13</v>
      </c>
      <c r="AP329" s="337">
        <f t="shared" si="30"/>
        <v>4255.2699999999986</v>
      </c>
      <c r="AQ329" s="337">
        <f t="shared" si="30"/>
        <v>3956.9199999999992</v>
      </c>
      <c r="AR329" s="337">
        <f t="shared" si="30"/>
        <v>4367.6099999999969</v>
      </c>
      <c r="AS329" s="337">
        <f t="shared" ref="AS329:AW329" si="31">SUM(AS291:AS328)</f>
        <v>0</v>
      </c>
      <c r="AT329" s="337">
        <f t="shared" si="31"/>
        <v>0</v>
      </c>
      <c r="AU329" s="337">
        <f t="shared" si="31"/>
        <v>0</v>
      </c>
      <c r="AV329" s="337">
        <f t="shared" si="31"/>
        <v>0</v>
      </c>
      <c r="AW329" s="337">
        <f t="shared" si="31"/>
        <v>0</v>
      </c>
      <c r="AX329" s="307" t="s">
        <v>601</v>
      </c>
      <c r="AY329" s="334">
        <f>(AR329/AM329)^(1/(AR290-AM290))-1</f>
        <v>3.3429959319165592E-2</v>
      </c>
    </row>
    <row r="330" spans="3:52" s="299" customFormat="1"/>
    <row r="331" spans="3:52" s="299" customFormat="1" ht="15">
      <c r="C331" s="332" t="s">
        <v>502</v>
      </c>
      <c r="T331" s="332" t="s">
        <v>502</v>
      </c>
      <c r="AK331" s="332" t="s">
        <v>502</v>
      </c>
    </row>
    <row r="332" spans="3:52" s="299" customFormat="1" ht="15">
      <c r="C332" s="332" t="s">
        <v>501</v>
      </c>
      <c r="T332" s="332" t="s">
        <v>501</v>
      </c>
      <c r="AK332" s="332" t="s">
        <v>501</v>
      </c>
    </row>
    <row r="333" spans="3:52" s="299" customFormat="1">
      <c r="AH333"/>
      <c r="AI333"/>
      <c r="AY333"/>
      <c r="AZ333"/>
    </row>
    <row r="334" spans="3:52" s="299" customFormat="1">
      <c r="C334" s="326" t="s">
        <v>442</v>
      </c>
      <c r="D334" s="326">
        <f t="array" ref="D334:O334">TRANSPOSE(Years)</f>
        <v>2008</v>
      </c>
      <c r="E334" s="326">
        <v>2009</v>
      </c>
      <c r="F334" s="326">
        <v>2010</v>
      </c>
      <c r="G334" s="326">
        <v>2011</v>
      </c>
      <c r="H334" s="326">
        <v>2012</v>
      </c>
      <c r="I334" s="326">
        <v>2013</v>
      </c>
      <c r="J334" s="326">
        <v>2014</v>
      </c>
      <c r="K334" s="326">
        <v>2015</v>
      </c>
      <c r="L334" s="326">
        <v>2016</v>
      </c>
      <c r="M334" s="326">
        <v>2017</v>
      </c>
      <c r="N334" s="326">
        <v>2018</v>
      </c>
      <c r="O334" s="326">
        <v>2019</v>
      </c>
      <c r="T334" s="338" t="s">
        <v>442</v>
      </c>
      <c r="U334" s="338">
        <f t="array" ref="U334:AF334">TRANSPOSE(Years)</f>
        <v>2008</v>
      </c>
      <c r="V334" s="338">
        <v>2009</v>
      </c>
      <c r="W334" s="338">
        <v>2010</v>
      </c>
      <c r="X334" s="338">
        <v>2011</v>
      </c>
      <c r="Y334" s="338">
        <v>2012</v>
      </c>
      <c r="Z334" s="338">
        <v>2013</v>
      </c>
      <c r="AA334" s="338">
        <v>2014</v>
      </c>
      <c r="AB334" s="338">
        <v>2015</v>
      </c>
      <c r="AC334" s="338">
        <v>2016</v>
      </c>
      <c r="AD334" s="338">
        <v>2017</v>
      </c>
      <c r="AE334" s="338">
        <v>2018</v>
      </c>
      <c r="AF334" s="338">
        <v>2019</v>
      </c>
      <c r="AH334"/>
      <c r="AI334"/>
      <c r="AK334" s="338" t="s">
        <v>442</v>
      </c>
      <c r="AL334" s="338">
        <f t="array" ref="AL334:AW334">TRANSPOSE(Years)</f>
        <v>2008</v>
      </c>
      <c r="AM334" s="338">
        <v>2009</v>
      </c>
      <c r="AN334" s="338">
        <v>2010</v>
      </c>
      <c r="AO334" s="338">
        <v>2011</v>
      </c>
      <c r="AP334" s="338">
        <v>2012</v>
      </c>
      <c r="AQ334" s="338">
        <v>2013</v>
      </c>
      <c r="AR334" s="338">
        <v>2014</v>
      </c>
      <c r="AS334" s="338">
        <v>2015</v>
      </c>
      <c r="AT334" s="338">
        <v>2016</v>
      </c>
      <c r="AU334" s="338">
        <v>2017</v>
      </c>
      <c r="AV334" s="338">
        <v>2018</v>
      </c>
      <c r="AW334" s="338">
        <v>2019</v>
      </c>
      <c r="AY334"/>
      <c r="AZ334"/>
    </row>
    <row r="335" spans="3:52" s="299" customFormat="1">
      <c r="C335" s="310" t="str">
        <f t="array" ref="C335:C372">LL.list</f>
        <v>64 kbps</v>
      </c>
      <c r="E335" s="333">
        <f t="array" ref="E335:E372">E291:E328/E329</f>
        <v>0.30794874466090216</v>
      </c>
      <c r="F335" s="333">
        <f t="array" ref="F335:F372">F291:F328/F329</f>
        <v>0.34455817546570217</v>
      </c>
      <c r="G335" s="333">
        <f t="array" ref="G335:G372">G291:G328/G329</f>
        <v>0.26944283917462691</v>
      </c>
      <c r="H335" s="333">
        <f t="array" ref="H335:H372">H291:H328/H329</f>
        <v>0.2056272017629622</v>
      </c>
      <c r="I335" s="333">
        <f t="array" ref="I335:I372">I291:I328/I329</f>
        <v>0.18181886384779281</v>
      </c>
      <c r="J335" s="333">
        <f t="array" ref="J335:J372">J291:J328/J329</f>
        <v>0.27859605613355926</v>
      </c>
      <c r="K335" s="474"/>
      <c r="L335" s="474"/>
      <c r="M335" s="474"/>
      <c r="N335" s="474"/>
      <c r="O335" s="474"/>
      <c r="T335" s="310" t="str">
        <f t="array" ref="T335:T372">LL.list</f>
        <v>64 kbps</v>
      </c>
      <c r="V335" s="333">
        <f t="array" ref="V335:V372">V291:V328/V329</f>
        <v>0.19597630628801455</v>
      </c>
      <c r="W335" s="333">
        <f t="array" ref="W335:W372">W291:W328/W329</f>
        <v>0.21855251557649713</v>
      </c>
      <c r="X335" s="333">
        <f t="array" ref="X335:X372">X291:X328/X329</f>
        <v>0.14827067221005258</v>
      </c>
      <c r="Y335" s="333">
        <f t="array" ref="Y335:Y372">Y291:Y328/Y329</f>
        <v>8.9667052077679971E-2</v>
      </c>
      <c r="Z335" s="333">
        <f t="array" ref="Z335:Z372">Z291:Z328/Z329</f>
        <v>9.2987804878048808E-2</v>
      </c>
      <c r="AA335" s="333">
        <f t="array" ref="AA335:AA372">AA291:AA328/AA329</f>
        <v>0.12118027618594111</v>
      </c>
      <c r="AB335" s="474"/>
      <c r="AC335" s="474"/>
      <c r="AD335" s="474"/>
      <c r="AE335" s="474"/>
      <c r="AF335" s="474"/>
      <c r="AH335"/>
      <c r="AI335"/>
      <c r="AK335" s="310" t="str">
        <f t="array" ref="AK335:AK372">LL.list</f>
        <v>64 kbps</v>
      </c>
      <c r="AM335" s="333">
        <f t="array" ref="AM335:AM372">AM291:AM328/AM329</f>
        <v>0.23948637540042586</v>
      </c>
      <c r="AN335" s="333">
        <f t="array" ref="AN335:AN372">AN291:AN328/AN329</f>
        <v>0.26739393279480245</v>
      </c>
      <c r="AO335" s="333">
        <f t="array" ref="AO335:AO372">AO291:AO328/AO329</f>
        <v>0.19116369403604699</v>
      </c>
      <c r="AP335" s="333">
        <f t="array" ref="AP335:AP372">AP291:AP328/AP329</f>
        <v>0.12478644128339686</v>
      </c>
      <c r="AQ335" s="333">
        <f t="array" ref="AQ335:AQ372">AQ291:AQ328/AQ329</f>
        <v>0.12291125420781822</v>
      </c>
      <c r="AR335" s="333">
        <f t="array" ref="AR335:AR372">AR291:AR328/AR329</f>
        <v>0.16884749325145801</v>
      </c>
      <c r="AS335" s="474"/>
      <c r="AT335" s="474"/>
      <c r="AU335" s="474"/>
      <c r="AV335" s="474"/>
      <c r="AW335" s="474"/>
      <c r="AY335"/>
      <c r="AZ335"/>
    </row>
    <row r="336" spans="3:52" s="299" customFormat="1">
      <c r="C336" s="310" t="str">
        <v>128 kbps</v>
      </c>
      <c r="E336" s="333">
        <v>0.23208667569538491</v>
      </c>
      <c r="F336" s="333">
        <v>0.1951881828982098</v>
      </c>
      <c r="G336" s="333">
        <v>0.15210252575041641</v>
      </c>
      <c r="H336" s="333">
        <v>0.15404193243012548</v>
      </c>
      <c r="I336" s="333">
        <v>0.19729616181016119</v>
      </c>
      <c r="J336" s="333">
        <v>0.12384315267360275</v>
      </c>
      <c r="K336" s="474"/>
      <c r="L336" s="474"/>
      <c r="M336" s="474"/>
      <c r="N336" s="474"/>
      <c r="O336" s="474"/>
      <c r="T336" s="310" t="str">
        <v>128 kbps</v>
      </c>
      <c r="V336" s="333">
        <v>0.14830639394768669</v>
      </c>
      <c r="W336" s="333">
        <v>0.12409337748835006</v>
      </c>
      <c r="X336" s="333">
        <v>8.3448820540331092E-2</v>
      </c>
      <c r="Y336" s="333">
        <v>6.7418836148631561E-2</v>
      </c>
      <c r="Z336" s="333">
        <v>0.1002286585365854</v>
      </c>
      <c r="AA336" s="333">
        <v>5.4186302359567166E-2</v>
      </c>
      <c r="AB336" s="474"/>
      <c r="AC336" s="474"/>
      <c r="AD336" s="474"/>
      <c r="AE336" s="474"/>
      <c r="AF336" s="474"/>
      <c r="AH336"/>
      <c r="AI336"/>
      <c r="AK336" s="310" t="str">
        <v>128 kbps</v>
      </c>
      <c r="AM336" s="333">
        <v>0.1808616004080498</v>
      </c>
      <c r="AN336" s="333">
        <v>0.15165064004409873</v>
      </c>
      <c r="AO336" s="333">
        <v>0.1077511413601981</v>
      </c>
      <c r="AP336" s="333">
        <v>9.3653281695403615E-2</v>
      </c>
      <c r="AQ336" s="333">
        <v>0.13292661969410555</v>
      </c>
      <c r="AR336" s="333">
        <v>7.5279157250761911E-2</v>
      </c>
      <c r="AS336" s="474"/>
      <c r="AT336" s="474"/>
      <c r="AU336" s="474"/>
      <c r="AV336" s="474"/>
      <c r="AW336" s="474"/>
      <c r="AY336"/>
      <c r="AZ336"/>
    </row>
    <row r="337" spans="3:52" s="299" customFormat="1">
      <c r="C337" s="310" t="str">
        <v>192 kbps</v>
      </c>
      <c r="E337" s="333">
        <v>6.2006459006146479E-2</v>
      </c>
      <c r="F337" s="333">
        <v>6.2526701429733531E-2</v>
      </c>
      <c r="G337" s="333">
        <v>6.0753985790529298E-2</v>
      </c>
      <c r="H337" s="333">
        <v>5.5053773453140248E-2</v>
      </c>
      <c r="I337" s="333">
        <v>7.0236773399753913E-2</v>
      </c>
      <c r="J337" s="333">
        <v>4.3098233728526503E-2</v>
      </c>
      <c r="K337" s="474"/>
      <c r="L337" s="474"/>
      <c r="M337" s="474"/>
      <c r="N337" s="474"/>
      <c r="O337" s="474"/>
      <c r="T337" s="310" t="str">
        <v>192 kbps</v>
      </c>
      <c r="V337" s="333">
        <v>3.9724926950273222E-2</v>
      </c>
      <c r="W337" s="333">
        <v>3.9635795197771516E-2</v>
      </c>
      <c r="X337" s="333">
        <v>3.390108334450951E-2</v>
      </c>
      <c r="Y337" s="333">
        <v>2.3933686832764204E-2</v>
      </c>
      <c r="Z337" s="333">
        <v>3.5823170731707328E-2</v>
      </c>
      <c r="AA337" s="333">
        <v>1.8718904451486839E-2</v>
      </c>
      <c r="AB337" s="474"/>
      <c r="AC337" s="474"/>
      <c r="AD337" s="474"/>
      <c r="AE337" s="474"/>
      <c r="AF337" s="474"/>
      <c r="AH337"/>
      <c r="AI337"/>
      <c r="AK337" s="310" t="str">
        <v>192 kbps</v>
      </c>
      <c r="AM337" s="333">
        <v>4.8383048661019099E-2</v>
      </c>
      <c r="AN337" s="333">
        <v>4.8508605377595389E-2</v>
      </c>
      <c r="AO337" s="333">
        <v>4.3406584150195063E-2</v>
      </c>
      <c r="AP337" s="333">
        <v>3.3358635292237634E-2</v>
      </c>
      <c r="AQ337" s="333">
        <v>4.7415666730689532E-2</v>
      </c>
      <c r="AR337" s="333">
        <v>2.6101231566005224E-2</v>
      </c>
      <c r="AS337" s="474"/>
      <c r="AT337" s="474"/>
      <c r="AU337" s="474"/>
      <c r="AV337" s="474"/>
      <c r="AW337" s="474"/>
      <c r="AY337"/>
      <c r="AZ337"/>
    </row>
    <row r="338" spans="3:52" s="299" customFormat="1">
      <c r="C338" s="310" t="str">
        <v>256 kbps</v>
      </c>
      <c r="E338" s="333">
        <v>0.10103830260096536</v>
      </c>
      <c r="F338" s="333">
        <v>0.10373907801791993</v>
      </c>
      <c r="G338" s="333">
        <v>0.16232110684298195</v>
      </c>
      <c r="H338" s="333">
        <v>0.12275555969396459</v>
      </c>
      <c r="I338" s="333">
        <v>0.17256099390811153</v>
      </c>
      <c r="J338" s="333">
        <v>0.10396503750302447</v>
      </c>
      <c r="K338" s="474"/>
      <c r="L338" s="474"/>
      <c r="M338" s="474"/>
      <c r="N338" s="474"/>
      <c r="O338" s="474"/>
      <c r="T338" s="310" t="str">
        <v>256 kbps</v>
      </c>
      <c r="V338" s="333">
        <v>6.4442659274887668E-2</v>
      </c>
      <c r="W338" s="333">
        <v>6.5936182665451676E-2</v>
      </c>
      <c r="X338" s="333">
        <v>8.9409450578926172E-2</v>
      </c>
      <c r="Y338" s="333">
        <v>5.3935068918905246E-2</v>
      </c>
      <c r="Z338" s="333">
        <v>8.803353658536589E-2</v>
      </c>
      <c r="AA338" s="333">
        <v>4.531945288254708E-2</v>
      </c>
      <c r="AB338" s="474"/>
      <c r="AC338" s="474"/>
      <c r="AD338" s="474"/>
      <c r="AE338" s="474"/>
      <c r="AF338" s="474"/>
      <c r="AH338"/>
      <c r="AI338"/>
      <c r="AK338" s="310" t="str">
        <v>256 kbps</v>
      </c>
      <c r="AM338" s="333">
        <v>7.8662935205900522E-2</v>
      </c>
      <c r="AN338" s="333">
        <v>8.0589071953070218E-2</v>
      </c>
      <c r="AO338" s="333">
        <v>0.1152190184181963</v>
      </c>
      <c r="AP338" s="333">
        <v>7.4777863684325582E-2</v>
      </c>
      <c r="AQ338" s="333">
        <v>0.11650728344267766</v>
      </c>
      <c r="AR338" s="333">
        <v>6.307797628451263E-2</v>
      </c>
      <c r="AS338" s="474"/>
      <c r="AT338" s="474"/>
      <c r="AU338" s="474"/>
      <c r="AV338" s="474"/>
      <c r="AW338" s="474"/>
      <c r="AY338"/>
      <c r="AZ338"/>
    </row>
    <row r="339" spans="3:52" s="299" customFormat="1">
      <c r="C339" s="310" t="str">
        <v>384 kbps</v>
      </c>
      <c r="E339" s="333">
        <v>5.7318470674028552E-2</v>
      </c>
      <c r="F339" s="333">
        <v>5.0564460909106865E-2</v>
      </c>
      <c r="G339" s="333">
        <v>5.3730835911207808E-2</v>
      </c>
      <c r="H339" s="333">
        <v>8.4190759967099613E-2</v>
      </c>
      <c r="I339" s="333">
        <v>7.1662215286738912E-2</v>
      </c>
      <c r="J339" s="333">
        <v>7.8453907573191414E-2</v>
      </c>
      <c r="K339" s="474"/>
      <c r="L339" s="474"/>
      <c r="M339" s="474"/>
      <c r="N339" s="474"/>
      <c r="O339" s="474"/>
      <c r="T339" s="310" t="str">
        <v>384 kbps</v>
      </c>
      <c r="V339" s="333">
        <v>3.7076598486921672E-2</v>
      </c>
      <c r="W339" s="333">
        <v>3.2227235347720762E-2</v>
      </c>
      <c r="X339" s="333">
        <v>2.980315019297539E-2</v>
      </c>
      <c r="Y339" s="333">
        <v>3.6743265701004203E-2</v>
      </c>
      <c r="Z339" s="333">
        <v>3.6585365853658548E-2</v>
      </c>
      <c r="AA339" s="333">
        <v>3.4153790578151426E-2</v>
      </c>
      <c r="AB339" s="474"/>
      <c r="AC339" s="474"/>
      <c r="AD339" s="474"/>
      <c r="AE339" s="474"/>
      <c r="AF339" s="474"/>
      <c r="AH339"/>
      <c r="AI339"/>
      <c r="AK339" s="310" t="str">
        <v>384 kbps</v>
      </c>
      <c r="AM339" s="333">
        <v>4.4942152462737119E-2</v>
      </c>
      <c r="AN339" s="333">
        <v>3.933498023042948E-2</v>
      </c>
      <c r="AO339" s="333">
        <v>3.8273170755186964E-2</v>
      </c>
      <c r="AP339" s="333">
        <v>5.111309035619363E-2</v>
      </c>
      <c r="AQ339" s="333">
        <v>4.8401281805040296E-2</v>
      </c>
      <c r="AR339" s="333">
        <v>4.7568349738186369E-2</v>
      </c>
      <c r="AS339" s="474"/>
      <c r="AT339" s="474"/>
      <c r="AU339" s="474"/>
      <c r="AV339" s="474"/>
      <c r="AW339" s="474"/>
      <c r="AY339"/>
      <c r="AZ339"/>
    </row>
    <row r="340" spans="3:52" s="299" customFormat="1">
      <c r="C340" s="310" t="str">
        <v>512 kbps</v>
      </c>
      <c r="E340" s="333">
        <v>9.5065458207452172E-2</v>
      </c>
      <c r="F340" s="333">
        <v>0.10298997489334058</v>
      </c>
      <c r="G340" s="333">
        <v>0.11489954788047728</v>
      </c>
      <c r="H340" s="333">
        <v>0.13326970529354248</v>
      </c>
      <c r="I340" s="333">
        <v>8.6036671368124137E-2</v>
      </c>
      <c r="J340" s="333">
        <v>7.5626058553109152E-2</v>
      </c>
      <c r="K340" s="474"/>
      <c r="L340" s="474"/>
      <c r="M340" s="474"/>
      <c r="N340" s="474"/>
      <c r="O340" s="474"/>
      <c r="T340" s="310" t="str">
        <v>512 kbps</v>
      </c>
      <c r="V340" s="333">
        <v>6.0470166579860346E-2</v>
      </c>
      <c r="W340" s="333">
        <v>6.5565754672949145E-2</v>
      </c>
      <c r="X340" s="333">
        <v>6.2959154782660509E-2</v>
      </c>
      <c r="Y340" s="333">
        <v>5.7980199087823141E-2</v>
      </c>
      <c r="Z340" s="333">
        <v>4.382621951219514E-2</v>
      </c>
      <c r="AA340" s="333">
        <v>3.3496986913186977E-2</v>
      </c>
      <c r="AB340" s="474"/>
      <c r="AC340" s="474"/>
      <c r="AD340" s="474"/>
      <c r="AE340" s="474"/>
      <c r="AF340" s="474"/>
      <c r="AH340"/>
      <c r="AI340"/>
      <c r="AK340" s="310" t="str">
        <v>512 kbps</v>
      </c>
      <c r="AM340" s="333">
        <v>7.3913149081213242E-2</v>
      </c>
      <c r="AN340" s="333">
        <v>8.0071864600559386E-2</v>
      </c>
      <c r="AO340" s="333">
        <v>8.1345228669139111E-2</v>
      </c>
      <c r="AP340" s="333">
        <v>8.078218303421407E-2</v>
      </c>
      <c r="AQ340" s="333">
        <v>5.8045146224841554E-2</v>
      </c>
      <c r="AR340" s="333">
        <v>4.6254129833020838E-2</v>
      </c>
      <c r="AS340" s="474"/>
      <c r="AT340" s="474"/>
      <c r="AU340" s="474"/>
      <c r="AV340" s="474"/>
      <c r="AW340" s="474"/>
      <c r="AY340"/>
      <c r="AZ340"/>
    </row>
    <row r="341" spans="3:52" s="299" customFormat="1">
      <c r="C341" s="310" t="str">
        <v>768 kbps</v>
      </c>
      <c r="E341" s="333">
        <v>3.0885161648782862E-2</v>
      </c>
      <c r="F341" s="333">
        <v>2.8536147151945024E-2</v>
      </c>
      <c r="G341" s="333">
        <v>4.2016521059251466E-2</v>
      </c>
      <c r="H341" s="333">
        <v>3.6337818334186874E-2</v>
      </c>
      <c r="I341" s="333">
        <v>2.6145605137592662E-2</v>
      </c>
      <c r="J341" s="333">
        <v>1.9265666586015005E-2</v>
      </c>
      <c r="K341" s="474"/>
      <c r="L341" s="474"/>
      <c r="M341" s="474"/>
      <c r="N341" s="474"/>
      <c r="O341" s="474"/>
      <c r="T341" s="310" t="str">
        <v>768 kbps</v>
      </c>
      <c r="V341" s="333">
        <v>2.0303851552361869E-2</v>
      </c>
      <c r="W341" s="333">
        <v>1.8150971632624337E-2</v>
      </c>
      <c r="X341" s="333">
        <v>2.346998077696812E-2</v>
      </c>
      <c r="Y341" s="333">
        <v>1.6180520675671575E-2</v>
      </c>
      <c r="Z341" s="333">
        <v>1.3719512195121956E-2</v>
      </c>
      <c r="AA341" s="333">
        <v>8.5384476445378565E-3</v>
      </c>
      <c r="AB341" s="474"/>
      <c r="AC341" s="474"/>
      <c r="AD341" s="474"/>
      <c r="AE341" s="474"/>
      <c r="AF341" s="474"/>
      <c r="AH341"/>
      <c r="AI341"/>
      <c r="AK341" s="310" t="str">
        <v>768 kbps</v>
      </c>
      <c r="AM341" s="333">
        <v>2.4415519926162418E-2</v>
      </c>
      <c r="AN341" s="333">
        <v>2.2176399465552395E-2</v>
      </c>
      <c r="AO341" s="333">
        <v>3.003516135475906E-2</v>
      </c>
      <c r="AP341" s="333">
        <v>2.2285307395300425E-2</v>
      </c>
      <c r="AQ341" s="333">
        <v>1.7905340517372102E-2</v>
      </c>
      <c r="AR341" s="333">
        <v>1.1786766675596043E-2</v>
      </c>
      <c r="AS341" s="474"/>
      <c r="AT341" s="474"/>
      <c r="AU341" s="474"/>
      <c r="AV341" s="474"/>
      <c r="AW341" s="474"/>
      <c r="AY341"/>
      <c r="AZ341"/>
    </row>
    <row r="342" spans="3:52" s="299" customFormat="1">
      <c r="C342" s="310" t="str">
        <v>1024 kbps</v>
      </c>
      <c r="E342" s="333">
        <v>3.6878841545994384E-2</v>
      </c>
      <c r="F342" s="333">
        <v>2.5680191489486213E-2</v>
      </c>
      <c r="G342" s="333">
        <v>1.9947649318421318E-2</v>
      </c>
      <c r="H342" s="333">
        <v>1.5068982106553684E-2</v>
      </c>
      <c r="I342" s="333">
        <v>1.4254418869849655E-2</v>
      </c>
      <c r="J342" s="333">
        <v>2.2683280909750792E-2</v>
      </c>
      <c r="K342" s="474"/>
      <c r="L342" s="474"/>
      <c r="M342" s="474"/>
      <c r="N342" s="474"/>
      <c r="O342" s="474"/>
      <c r="T342" s="310" t="str">
        <v>1024 kbps</v>
      </c>
      <c r="V342" s="333">
        <v>2.3834956170163932E-2</v>
      </c>
      <c r="W342" s="333">
        <v>1.6669259662614188E-2</v>
      </c>
      <c r="X342" s="333">
        <v>1.1176181322365772E-2</v>
      </c>
      <c r="Y342" s="333">
        <v>6.7418836148631558E-3</v>
      </c>
      <c r="Z342" s="333">
        <v>7.6219512195121976E-3</v>
      </c>
      <c r="AA342" s="333">
        <v>9.8520549744667563E-3</v>
      </c>
      <c r="AB342" s="474"/>
      <c r="AC342" s="474"/>
      <c r="AD342" s="474"/>
      <c r="AE342" s="474"/>
      <c r="AF342" s="474"/>
      <c r="AH342"/>
      <c r="AI342"/>
      <c r="AK342" s="310" t="str">
        <v>1024 kbps</v>
      </c>
      <c r="AM342" s="333">
        <v>2.8903528065568642E-2</v>
      </c>
      <c r="AN342" s="333">
        <v>2.0162012934720714E-2</v>
      </c>
      <c r="AO342" s="333">
        <v>1.4281141624931108E-2</v>
      </c>
      <c r="AP342" s="333">
        <v>9.2638069969708178E-3</v>
      </c>
      <c r="AQ342" s="333">
        <v>9.8561507435075794E-3</v>
      </c>
      <c r="AR342" s="333">
        <v>1.3737490297897486E-2</v>
      </c>
      <c r="AS342" s="474"/>
      <c r="AT342" s="474"/>
      <c r="AU342" s="474"/>
      <c r="AV342" s="474"/>
      <c r="AW342" s="474"/>
      <c r="AY342"/>
      <c r="AZ342"/>
    </row>
    <row r="343" spans="3:52" s="299" customFormat="1">
      <c r="C343" s="331" t="str">
        <v>E1 (2.04 Mbps)</v>
      </c>
      <c r="E343" s="333">
        <v>6.7645935340486921E-2</v>
      </c>
      <c r="F343" s="333">
        <v>6.9145729819571539E-2</v>
      </c>
      <c r="G343" s="333">
        <v>9.8514464425332363E-2</v>
      </c>
      <c r="H343" s="333">
        <v>0.15619907816937464</v>
      </c>
      <c r="I343" s="333">
        <v>0.1153932719142934</v>
      </c>
      <c r="J343" s="333">
        <v>0.15524437454633419</v>
      </c>
      <c r="K343" s="474"/>
      <c r="L343" s="474"/>
      <c r="M343" s="474"/>
      <c r="N343" s="474"/>
      <c r="O343" s="474"/>
      <c r="T343" s="331" t="str">
        <v>E1 (2.04 Mbps)</v>
      </c>
      <c r="V343" s="333">
        <v>0.39106983642157861</v>
      </c>
      <c r="W343" s="333">
        <v>0.39413538402269993</v>
      </c>
      <c r="X343" s="333">
        <v>0.48653642690032323</v>
      </c>
      <c r="Y343" s="333">
        <v>0.61283722059106094</v>
      </c>
      <c r="Z343" s="333">
        <v>0.52782012195121975</v>
      </c>
      <c r="AA343" s="333">
        <v>0.60951380108701003</v>
      </c>
      <c r="AB343" s="474"/>
      <c r="AC343" s="474"/>
      <c r="AD343" s="474"/>
      <c r="AE343" s="474"/>
      <c r="AF343" s="474"/>
      <c r="AH343"/>
      <c r="AI343"/>
      <c r="AK343" s="331" t="str">
        <v>E1 (2.04 Mbps)</v>
      </c>
      <c r="AM343" s="333">
        <v>0.26539429971690198</v>
      </c>
      <c r="AN343" s="333">
        <v>0.26816520691696777</v>
      </c>
      <c r="AO343" s="333">
        <v>0.34918281738477497</v>
      </c>
      <c r="AP343" s="333">
        <v>0.47454098094833008</v>
      </c>
      <c r="AQ343" s="333">
        <v>0.38889085450299737</v>
      </c>
      <c r="AR343" s="333">
        <v>0.47195605834770071</v>
      </c>
      <c r="AS343" s="474"/>
      <c r="AT343" s="474"/>
      <c r="AU343" s="474"/>
      <c r="AV343" s="474"/>
      <c r="AW343" s="474"/>
      <c r="AY343"/>
      <c r="AZ343"/>
    </row>
    <row r="344" spans="3:52" s="299" customFormat="1">
      <c r="C344" s="331" t="str">
        <v>E2 *</v>
      </c>
      <c r="E344" s="333">
        <v>0</v>
      </c>
      <c r="F344" s="333">
        <v>0</v>
      </c>
      <c r="G344" s="333">
        <v>0</v>
      </c>
      <c r="H344" s="333">
        <v>0</v>
      </c>
      <c r="I344" s="333">
        <v>0</v>
      </c>
      <c r="J344" s="333">
        <v>0</v>
      </c>
      <c r="K344" s="474"/>
      <c r="L344" s="474"/>
      <c r="M344" s="474"/>
      <c r="N344" s="474"/>
      <c r="O344" s="474"/>
      <c r="T344" s="331" t="str">
        <v>E2 *</v>
      </c>
      <c r="V344" s="333">
        <v>0</v>
      </c>
      <c r="W344" s="333">
        <v>0</v>
      </c>
      <c r="X344" s="333">
        <v>0</v>
      </c>
      <c r="Y344" s="333">
        <v>0</v>
      </c>
      <c r="Z344" s="333">
        <v>0</v>
      </c>
      <c r="AA344" s="333">
        <v>0</v>
      </c>
      <c r="AB344" s="474"/>
      <c r="AC344" s="474"/>
      <c r="AD344" s="474"/>
      <c r="AE344" s="474"/>
      <c r="AF344" s="474"/>
      <c r="AH344"/>
      <c r="AI344"/>
      <c r="AK344" s="331" t="str">
        <v>E2 *</v>
      </c>
      <c r="AM344" s="333">
        <v>0</v>
      </c>
      <c r="AN344" s="333">
        <v>0</v>
      </c>
      <c r="AO344" s="333">
        <v>0</v>
      </c>
      <c r="AP344" s="333">
        <v>0</v>
      </c>
      <c r="AQ344" s="333">
        <v>0</v>
      </c>
      <c r="AR344" s="333">
        <v>0</v>
      </c>
      <c r="AS344" s="474"/>
      <c r="AT344" s="474"/>
      <c r="AU344" s="474"/>
      <c r="AV344" s="474"/>
      <c r="AW344" s="474"/>
      <c r="AY344"/>
      <c r="AZ344"/>
    </row>
    <row r="345" spans="3:52" s="299" customFormat="1">
      <c r="C345" s="331" t="str">
        <v>E3 (34 Mbps)</v>
      </c>
      <c r="E345" s="333">
        <v>2.2919054068132093E-3</v>
      </c>
      <c r="F345" s="333">
        <v>2.1127049060402285E-3</v>
      </c>
      <c r="G345" s="333">
        <v>1.4141482816058743E-3</v>
      </c>
      <c r="H345" s="333">
        <v>2.638235796204042E-3</v>
      </c>
      <c r="I345" s="333">
        <v>4.4113675239324185E-3</v>
      </c>
      <c r="J345" s="333">
        <v>2.7976046455359315E-3</v>
      </c>
      <c r="K345" s="474"/>
      <c r="L345" s="474"/>
      <c r="M345" s="474"/>
      <c r="N345" s="474"/>
      <c r="O345" s="474"/>
      <c r="T345" s="331" t="str">
        <v>E3 (34 Mbps)</v>
      </c>
      <c r="V345" s="333">
        <v>2.2069403861262899E-3</v>
      </c>
      <c r="W345" s="333">
        <v>1.8521399625126874E-3</v>
      </c>
      <c r="X345" s="333">
        <v>1.4901575096487696E-3</v>
      </c>
      <c r="Y345" s="333">
        <v>1.6854709037157889E-3</v>
      </c>
      <c r="Z345" s="333">
        <v>2.2865853658536593E-3</v>
      </c>
      <c r="AA345" s="333">
        <v>1.3136073299289009E-3</v>
      </c>
      <c r="AB345" s="474"/>
      <c r="AC345" s="474"/>
      <c r="AD345" s="474"/>
      <c r="AE345" s="474"/>
      <c r="AF345" s="474"/>
      <c r="AH345"/>
      <c r="AI345"/>
      <c r="AK345" s="331" t="str">
        <v>E3 (34 Mbps)</v>
      </c>
      <c r="AM345" s="333">
        <v>2.2399559565286619E-3</v>
      </c>
      <c r="AN345" s="333">
        <v>1.953138291718557E-3</v>
      </c>
      <c r="AO345" s="333">
        <v>1.4632514506164669E-3</v>
      </c>
      <c r="AP345" s="333">
        <v>1.9740227999633397E-3</v>
      </c>
      <c r="AQ345" s="333">
        <v>3.0023351495607697E-3</v>
      </c>
      <c r="AR345" s="333">
        <v>1.762977921563511E-3</v>
      </c>
      <c r="AS345" s="474"/>
      <c r="AT345" s="474"/>
      <c r="AU345" s="474"/>
      <c r="AV345" s="474"/>
      <c r="AW345" s="474"/>
      <c r="AY345"/>
      <c r="AZ345"/>
    </row>
    <row r="346" spans="3:52" s="299" customFormat="1">
      <c r="C346" s="331" t="str">
        <v>STM-1 (155 Mbps)</v>
      </c>
      <c r="E346" s="333">
        <v>0</v>
      </c>
      <c r="F346" s="333">
        <v>0</v>
      </c>
      <c r="G346" s="333">
        <v>0</v>
      </c>
      <c r="H346" s="333">
        <v>0</v>
      </c>
      <c r="I346" s="333">
        <v>0</v>
      </c>
      <c r="J346" s="333">
        <v>0</v>
      </c>
      <c r="K346" s="474"/>
      <c r="L346" s="474"/>
      <c r="M346" s="474"/>
      <c r="N346" s="474"/>
      <c r="O346" s="474"/>
      <c r="T346" s="331" t="str">
        <v>STM-1 (155 Mbps)</v>
      </c>
      <c r="V346" s="333">
        <v>4.2461533029069815E-3</v>
      </c>
      <c r="W346" s="333">
        <v>4.9452136999088752E-3</v>
      </c>
      <c r="X346" s="333">
        <v>4.9547737195821586E-3</v>
      </c>
      <c r="Y346" s="333">
        <v>6.4688373284611991E-3</v>
      </c>
      <c r="Z346" s="333">
        <v>7.5800304878048813E-3</v>
      </c>
      <c r="AA346" s="333">
        <v>5.9243690579793432E-3</v>
      </c>
      <c r="AB346" s="474"/>
      <c r="AC346" s="474"/>
      <c r="AD346" s="474"/>
      <c r="AE346" s="474"/>
      <c r="AF346" s="474"/>
      <c r="AH346"/>
      <c r="AI346"/>
      <c r="AK346" s="331" t="str">
        <v>STM-1 (155 Mbps)</v>
      </c>
      <c r="AM346" s="333">
        <v>2.5961899158802081E-3</v>
      </c>
      <c r="AN346" s="333">
        <v>3.0283851561489824E-3</v>
      </c>
      <c r="AO346" s="333">
        <v>3.2008625482235209E-3</v>
      </c>
      <c r="AP346" s="333">
        <v>4.5097020870591073E-3</v>
      </c>
      <c r="AQ346" s="333">
        <v>5.0266368791888651E-3</v>
      </c>
      <c r="AR346" s="333">
        <v>4.1304054162345106E-3</v>
      </c>
      <c r="AS346" s="474"/>
      <c r="AT346" s="474"/>
      <c r="AU346" s="474"/>
      <c r="AV346" s="474"/>
      <c r="AW346" s="474"/>
      <c r="AY346"/>
      <c r="AZ346"/>
    </row>
    <row r="347" spans="3:52" s="299" customFormat="1">
      <c r="C347" s="310" t="str">
        <v>STM-4 (622.08 Mbps)</v>
      </c>
      <c r="E347" s="333">
        <v>0</v>
      </c>
      <c r="F347" s="333">
        <v>0</v>
      </c>
      <c r="G347" s="333">
        <v>0</v>
      </c>
      <c r="H347" s="333">
        <v>0</v>
      </c>
      <c r="I347" s="333">
        <v>0</v>
      </c>
      <c r="J347" s="333">
        <v>0</v>
      </c>
      <c r="K347" s="474"/>
      <c r="L347" s="474"/>
      <c r="M347" s="474"/>
      <c r="N347" s="474"/>
      <c r="O347" s="474"/>
      <c r="T347" s="310" t="str">
        <v>STM-4 (622.08 Mbps)</v>
      </c>
      <c r="V347" s="333">
        <v>0</v>
      </c>
      <c r="W347" s="333">
        <v>0</v>
      </c>
      <c r="X347" s="333">
        <v>0</v>
      </c>
      <c r="Y347" s="333">
        <v>0</v>
      </c>
      <c r="Z347" s="333">
        <v>0</v>
      </c>
      <c r="AA347" s="333">
        <v>0</v>
      </c>
      <c r="AB347" s="474"/>
      <c r="AC347" s="474"/>
      <c r="AD347" s="474"/>
      <c r="AE347" s="474"/>
      <c r="AF347" s="474"/>
      <c r="AH347"/>
      <c r="AI347"/>
      <c r="AK347" s="310" t="str">
        <v>STM-4 (622.08 Mbps)</v>
      </c>
      <c r="AM347" s="333">
        <v>0</v>
      </c>
      <c r="AN347" s="333">
        <v>0</v>
      </c>
      <c r="AO347" s="333">
        <v>0</v>
      </c>
      <c r="AP347" s="333">
        <v>0</v>
      </c>
      <c r="AQ347" s="333">
        <v>0</v>
      </c>
      <c r="AR347" s="333">
        <v>0</v>
      </c>
      <c r="AS347" s="474"/>
      <c r="AT347" s="474"/>
      <c r="AU347" s="474"/>
      <c r="AV347" s="474"/>
      <c r="AW347" s="474"/>
      <c r="AY347"/>
      <c r="AZ347"/>
    </row>
    <row r="348" spans="3:52" s="299" customFormat="1">
      <c r="C348" s="310" t="str">
        <v>STM-16 (2488.32Mbps)</v>
      </c>
      <c r="E348" s="333">
        <v>0</v>
      </c>
      <c r="F348" s="333">
        <v>0</v>
      </c>
      <c r="G348" s="333">
        <v>0</v>
      </c>
      <c r="H348" s="333">
        <v>0</v>
      </c>
      <c r="I348" s="333">
        <v>0</v>
      </c>
      <c r="J348" s="333">
        <v>0</v>
      </c>
      <c r="K348" s="474"/>
      <c r="L348" s="474"/>
      <c r="M348" s="474"/>
      <c r="N348" s="474"/>
      <c r="O348" s="474"/>
      <c r="T348" s="310" t="str">
        <v>STM-16 (2488.32Mbps)</v>
      </c>
      <c r="V348" s="333">
        <v>0</v>
      </c>
      <c r="W348" s="333">
        <v>0</v>
      </c>
      <c r="X348" s="333">
        <v>0</v>
      </c>
      <c r="Y348" s="333">
        <v>0</v>
      </c>
      <c r="Z348" s="333">
        <v>0</v>
      </c>
      <c r="AA348" s="333">
        <v>0</v>
      </c>
      <c r="AB348" s="474"/>
      <c r="AC348" s="474"/>
      <c r="AD348" s="474"/>
      <c r="AE348" s="474"/>
      <c r="AF348" s="474"/>
      <c r="AH348"/>
      <c r="AI348"/>
      <c r="AK348" s="310" t="str">
        <v>STM-16 (2488.32Mbps)</v>
      </c>
      <c r="AM348" s="333">
        <v>0</v>
      </c>
      <c r="AN348" s="333">
        <v>0</v>
      </c>
      <c r="AO348" s="333">
        <v>0</v>
      </c>
      <c r="AP348" s="333">
        <v>0</v>
      </c>
      <c r="AQ348" s="333">
        <v>0</v>
      </c>
      <c r="AR348" s="333">
        <v>0</v>
      </c>
      <c r="AS348" s="474"/>
      <c r="AT348" s="474"/>
      <c r="AU348" s="474"/>
      <c r="AV348" s="474"/>
      <c r="AW348" s="474"/>
      <c r="AY348"/>
      <c r="AZ348"/>
    </row>
    <row r="349" spans="3:52" s="299" customFormat="1">
      <c r="C349" s="310" t="str">
        <v>STM-64 (9953.28Mbps)</v>
      </c>
      <c r="E349" s="333">
        <v>0</v>
      </c>
      <c r="F349" s="333">
        <v>0</v>
      </c>
      <c r="G349" s="333">
        <v>0</v>
      </c>
      <c r="H349" s="333">
        <v>0</v>
      </c>
      <c r="I349" s="333">
        <v>0</v>
      </c>
      <c r="J349" s="333">
        <v>0</v>
      </c>
      <c r="K349" s="474"/>
      <c r="L349" s="474"/>
      <c r="M349" s="474"/>
      <c r="N349" s="474"/>
      <c r="O349" s="474"/>
      <c r="T349" s="310" t="str">
        <v>STM-64 (9953.28Mbps)</v>
      </c>
      <c r="V349" s="333">
        <v>0</v>
      </c>
      <c r="W349" s="333">
        <v>0</v>
      </c>
      <c r="X349" s="333">
        <v>0</v>
      </c>
      <c r="Y349" s="333">
        <v>0</v>
      </c>
      <c r="Z349" s="333">
        <v>0</v>
      </c>
      <c r="AA349" s="333">
        <v>0</v>
      </c>
      <c r="AB349" s="474"/>
      <c r="AC349" s="474"/>
      <c r="AD349" s="474"/>
      <c r="AE349" s="474"/>
      <c r="AF349" s="474"/>
      <c r="AH349"/>
      <c r="AI349"/>
      <c r="AK349" s="310" t="str">
        <v>STM-64 (9953.28Mbps)</v>
      </c>
      <c r="AM349" s="333">
        <v>0</v>
      </c>
      <c r="AN349" s="333">
        <v>0</v>
      </c>
      <c r="AO349" s="333">
        <v>0</v>
      </c>
      <c r="AP349" s="333">
        <v>0</v>
      </c>
      <c r="AQ349" s="333">
        <v>0</v>
      </c>
      <c r="AR349" s="333">
        <v>0</v>
      </c>
      <c r="AS349" s="474"/>
      <c r="AT349" s="474"/>
      <c r="AU349" s="474"/>
      <c r="AV349" s="474"/>
      <c r="AW349" s="474"/>
      <c r="AY349"/>
      <c r="AZ349"/>
    </row>
    <row r="350" spans="3:52" s="299" customFormat="1">
      <c r="C350" s="310" t="str">
        <v>STM-256 (39813.12 Mbps)*</v>
      </c>
      <c r="E350" s="333">
        <v>0</v>
      </c>
      <c r="F350" s="333">
        <v>0</v>
      </c>
      <c r="G350" s="333">
        <v>0</v>
      </c>
      <c r="H350" s="333">
        <v>0</v>
      </c>
      <c r="I350" s="333">
        <v>0</v>
      </c>
      <c r="J350" s="333">
        <v>0</v>
      </c>
      <c r="K350" s="474"/>
      <c r="L350" s="474"/>
      <c r="M350" s="474"/>
      <c r="N350" s="474"/>
      <c r="O350" s="474"/>
      <c r="T350" s="310" t="str">
        <v>STM-256 (39813.12 Mbps)*</v>
      </c>
      <c r="V350" s="333">
        <v>0</v>
      </c>
      <c r="W350" s="333">
        <v>0</v>
      </c>
      <c r="X350" s="333">
        <v>0</v>
      </c>
      <c r="Y350" s="333">
        <v>0</v>
      </c>
      <c r="Z350" s="333">
        <v>0</v>
      </c>
      <c r="AA350" s="333">
        <v>0</v>
      </c>
      <c r="AB350" s="474"/>
      <c r="AC350" s="474"/>
      <c r="AD350" s="474"/>
      <c r="AE350" s="474"/>
      <c r="AF350" s="474"/>
      <c r="AH350"/>
      <c r="AI350"/>
      <c r="AK350" s="310" t="str">
        <v>STM-256 (39813.12 Mbps)*</v>
      </c>
      <c r="AM350" s="333">
        <v>0</v>
      </c>
      <c r="AN350" s="333">
        <v>0</v>
      </c>
      <c r="AO350" s="333">
        <v>0</v>
      </c>
      <c r="AP350" s="333">
        <v>0</v>
      </c>
      <c r="AQ350" s="333">
        <v>0</v>
      </c>
      <c r="AR350" s="333">
        <v>0</v>
      </c>
      <c r="AS350" s="474"/>
      <c r="AT350" s="474"/>
      <c r="AU350" s="474"/>
      <c r="AV350" s="474"/>
      <c r="AW350" s="474"/>
      <c r="AY350"/>
      <c r="AZ350"/>
    </row>
    <row r="351" spans="3:52" s="299" customFormat="1">
      <c r="C351" s="310" t="str">
        <v>Ethernet (10Mbps)</v>
      </c>
      <c r="E351" s="333">
        <v>3.5975969719067957E-3</v>
      </c>
      <c r="F351" s="333">
        <v>5.179345822286986E-3</v>
      </c>
      <c r="G351" s="333">
        <v>1.1075228609307543E-2</v>
      </c>
      <c r="H351" s="333">
        <v>1.5433679407793654E-2</v>
      </c>
      <c r="I351" s="333">
        <v>3.1899888965579333E-2</v>
      </c>
      <c r="J351" s="333">
        <v>5.6897229615291568E-2</v>
      </c>
      <c r="K351" s="474"/>
      <c r="L351" s="474"/>
      <c r="M351" s="474"/>
      <c r="N351" s="474"/>
      <c r="O351" s="474"/>
      <c r="T351" s="310" t="str">
        <v>Ethernet (10Mbps)</v>
      </c>
      <c r="V351" s="333">
        <v>3.0897165405768061E-3</v>
      </c>
      <c r="W351" s="333">
        <v>3.3338519325228377E-3</v>
      </c>
      <c r="X351" s="333">
        <v>6.7057087934194624E-3</v>
      </c>
      <c r="Y351" s="333">
        <v>7.0789777956063137E-3</v>
      </c>
      <c r="Z351" s="333">
        <v>1.6768292682926834E-2</v>
      </c>
      <c r="AA351" s="333">
        <v>2.4958539268649119E-2</v>
      </c>
      <c r="AB351" s="474"/>
      <c r="AC351" s="474"/>
      <c r="AD351" s="474"/>
      <c r="AE351" s="474"/>
      <c r="AF351" s="474"/>
      <c r="AH351"/>
      <c r="AI351"/>
      <c r="AK351" s="310" t="str">
        <v>Ethernet (10Mbps)</v>
      </c>
      <c r="AM351" s="333">
        <v>3.2870678976529041E-3</v>
      </c>
      <c r="AN351" s="333">
        <v>4.0491891413677403E-3</v>
      </c>
      <c r="AO351" s="333">
        <v>8.2524493818484611E-3</v>
      </c>
      <c r="AP351" s="333">
        <v>9.6092609869644022E-3</v>
      </c>
      <c r="AQ351" s="333">
        <v>2.186549134175066E-2</v>
      </c>
      <c r="AR351" s="333">
        <v>3.462992345928325E-2</v>
      </c>
      <c r="AS351" s="474"/>
      <c r="AT351" s="474"/>
      <c r="AU351" s="474"/>
      <c r="AV351" s="474"/>
      <c r="AW351" s="474"/>
      <c r="AY351"/>
      <c r="AZ351"/>
    </row>
    <row r="352" spans="3:52" s="299" customFormat="1">
      <c r="C352" s="310" t="str">
        <v>Ethernet (20Mbps)</v>
      </c>
      <c r="E352" s="333">
        <v>2.5974927943883046E-3</v>
      </c>
      <c r="F352" s="333">
        <v>1.2641115227276715E-3</v>
      </c>
      <c r="G352" s="333">
        <v>2.0736308937009205E-3</v>
      </c>
      <c r="H352" s="333">
        <v>3.4529850862082328E-3</v>
      </c>
      <c r="I352" s="333">
        <v>6.7520931488761525E-3</v>
      </c>
      <c r="J352" s="333">
        <v>1.5560730704089042E-2</v>
      </c>
      <c r="K352" s="474"/>
      <c r="L352" s="474"/>
      <c r="M352" s="474"/>
      <c r="N352" s="474"/>
      <c r="O352" s="474"/>
      <c r="T352" s="310" t="str">
        <v>Ethernet (20Mbps)</v>
      </c>
      <c r="V352" s="333">
        <v>1.765552308901032E-3</v>
      </c>
      <c r="W352" s="333">
        <v>1.48171197001015E-3</v>
      </c>
      <c r="X352" s="333">
        <v>1.8626968870609619E-3</v>
      </c>
      <c r="Y352" s="333">
        <v>2.0225650844589468E-3</v>
      </c>
      <c r="Z352" s="333">
        <v>3.4298780487804891E-3</v>
      </c>
      <c r="AA352" s="333">
        <v>6.8964384821267296E-3</v>
      </c>
      <c r="AB352" s="474"/>
      <c r="AC352" s="474"/>
      <c r="AD352" s="474"/>
      <c r="AE352" s="474"/>
      <c r="AF352" s="474"/>
      <c r="AH352"/>
      <c r="AI352"/>
      <c r="AK352" s="310" t="str">
        <v>Ethernet (20Mbps)</v>
      </c>
      <c r="AM352" s="333">
        <v>2.0888263980158848E-3</v>
      </c>
      <c r="AN352" s="333">
        <v>1.3973672330994556E-3</v>
      </c>
      <c r="AO352" s="333">
        <v>1.9373641739247626E-3</v>
      </c>
      <c r="AP352" s="333">
        <v>2.4557783642401077E-3</v>
      </c>
      <c r="AQ352" s="333">
        <v>4.5489926508496519E-3</v>
      </c>
      <c r="AR352" s="333">
        <v>9.5200807764429587E-3</v>
      </c>
      <c r="AS352" s="474"/>
      <c r="AT352" s="474"/>
      <c r="AU352" s="474"/>
      <c r="AV352" s="474"/>
      <c r="AW352" s="474"/>
      <c r="AY352"/>
      <c r="AZ352"/>
    </row>
    <row r="353" spans="3:52" s="299" customFormat="1">
      <c r="C353" s="310" t="str">
        <v>Ethernet (30Mbps)</v>
      </c>
      <c r="E353" s="333">
        <v>2.6391638017849074E-4</v>
      </c>
      <c r="F353" s="333">
        <v>5.5012260711296819E-4</v>
      </c>
      <c r="G353" s="333">
        <v>1.2305809565897271E-3</v>
      </c>
      <c r="H353" s="333">
        <v>3.4141875009699387E-3</v>
      </c>
      <c r="I353" s="333">
        <v>4.0512558893256913E-3</v>
      </c>
      <c r="J353" s="333">
        <v>5.3230099201548517E-3</v>
      </c>
      <c r="K353" s="474"/>
      <c r="L353" s="474"/>
      <c r="M353" s="474"/>
      <c r="N353" s="474"/>
      <c r="O353" s="474"/>
      <c r="T353" s="310" t="str">
        <v>Ethernet (30Mbps)</v>
      </c>
      <c r="V353" s="333">
        <v>8.8277615445051601E-4</v>
      </c>
      <c r="W353" s="333">
        <v>3.7042799250253751E-4</v>
      </c>
      <c r="X353" s="333">
        <v>7.4507875482438478E-4</v>
      </c>
      <c r="Y353" s="333">
        <v>2.0225650844589468E-3</v>
      </c>
      <c r="Z353" s="333">
        <v>2.2865853658536593E-3</v>
      </c>
      <c r="AA353" s="333">
        <v>2.6272146598578018E-3</v>
      </c>
      <c r="AB353" s="474"/>
      <c r="AC353" s="474"/>
      <c r="AD353" s="474"/>
      <c r="AE353" s="474"/>
      <c r="AF353" s="474"/>
      <c r="AH353"/>
      <c r="AI353"/>
      <c r="AK353" s="310" t="str">
        <v>Ethernet (30Mbps)</v>
      </c>
      <c r="AM353" s="333">
        <v>6.4230062367930303E-4</v>
      </c>
      <c r="AN353" s="333">
        <v>4.4007994029430901E-4</v>
      </c>
      <c r="AO353" s="333">
        <v>9.1693882020538468E-4</v>
      </c>
      <c r="AP353" s="333">
        <v>2.4440282285260405E-3</v>
      </c>
      <c r="AQ353" s="333">
        <v>2.8810286788714464E-3</v>
      </c>
      <c r="AR353" s="333">
        <v>3.4435309013396364E-3</v>
      </c>
      <c r="AS353" s="474"/>
      <c r="AT353" s="474"/>
      <c r="AU353" s="474"/>
      <c r="AV353" s="474"/>
      <c r="AW353" s="474"/>
      <c r="AY353"/>
      <c r="AZ353"/>
    </row>
    <row r="354" spans="3:52" s="299" customFormat="1">
      <c r="C354" s="310" t="str">
        <v>Ethernet (40Mbps)</v>
      </c>
      <c r="E354" s="333">
        <v>2.3613570858075486E-4</v>
      </c>
      <c r="F354" s="333">
        <v>2.8091367171726036E-4</v>
      </c>
      <c r="G354" s="333">
        <v>6.5948261209504693E-4</v>
      </c>
      <c r="H354" s="333">
        <v>1.8622840914381486E-3</v>
      </c>
      <c r="I354" s="333">
        <v>2.2206884134081568E-3</v>
      </c>
      <c r="J354" s="333">
        <v>8.3096419066053719E-3</v>
      </c>
      <c r="K354" s="474"/>
      <c r="L354" s="474"/>
      <c r="M354" s="474"/>
      <c r="N354" s="474"/>
      <c r="O354" s="474"/>
      <c r="T354" s="310" t="str">
        <v>Ethernet (40Mbps)</v>
      </c>
      <c r="V354" s="333">
        <v>8.8277615445051601E-4</v>
      </c>
      <c r="W354" s="333">
        <v>7.4085598500507502E-4</v>
      </c>
      <c r="X354" s="333">
        <v>7.4507875482438478E-4</v>
      </c>
      <c r="Y354" s="333">
        <v>1.0112825422294734E-3</v>
      </c>
      <c r="Z354" s="333">
        <v>1.5243902439024395E-3</v>
      </c>
      <c r="AA354" s="333">
        <v>3.9408219897867029E-3</v>
      </c>
      <c r="AB354" s="474"/>
      <c r="AC354" s="474"/>
      <c r="AD354" s="474"/>
      <c r="AE354" s="474"/>
      <c r="AF354" s="474"/>
      <c r="AH354"/>
      <c r="AI354"/>
      <c r="AK354" s="310" t="str">
        <v>Ethernet (40Mbps)</v>
      </c>
      <c r="AM354" s="333">
        <v>6.3150565521410474E-4</v>
      </c>
      <c r="AN354" s="333">
        <v>5.6257641852055997E-4</v>
      </c>
      <c r="AO354" s="333">
        <v>7.1477908031758323E-4</v>
      </c>
      <c r="AP354" s="333">
        <v>1.2690146571192901E-3</v>
      </c>
      <c r="AQ354" s="333">
        <v>1.7589438249951987E-3</v>
      </c>
      <c r="AR354" s="333">
        <v>5.2637483658110537E-3</v>
      </c>
      <c r="AS354" s="474"/>
      <c r="AT354" s="474"/>
      <c r="AU354" s="474"/>
      <c r="AV354" s="474"/>
      <c r="AW354" s="474"/>
      <c r="AY354"/>
      <c r="AZ354"/>
    </row>
    <row r="355" spans="3:52" s="299" customFormat="1">
      <c r="C355" s="310" t="str">
        <v>Ethernet (50Mbps)</v>
      </c>
      <c r="E355" s="333">
        <v>1.3890335798867951E-4</v>
      </c>
      <c r="F355" s="333">
        <v>7.6607499224561207E-3</v>
      </c>
      <c r="G355" s="333">
        <v>9.504708161947175E-3</v>
      </c>
      <c r="H355" s="333">
        <v>9.8778652016698453E-3</v>
      </c>
      <c r="I355" s="333">
        <v>1.4494493292920808E-2</v>
      </c>
      <c r="J355" s="333">
        <v>7.5610936365835971E-3</v>
      </c>
      <c r="K355" s="474"/>
      <c r="L355" s="474"/>
      <c r="M355" s="474"/>
      <c r="N355" s="474"/>
      <c r="O355" s="474"/>
      <c r="T355" s="310" t="str">
        <v>Ethernet (50Mbps)</v>
      </c>
      <c r="V355" s="333">
        <v>8.8277615445051601E-4</v>
      </c>
      <c r="W355" s="333">
        <v>5.1859918950355249E-3</v>
      </c>
      <c r="X355" s="333">
        <v>5.5880906611828858E-3</v>
      </c>
      <c r="Y355" s="333">
        <v>4.7193185304042094E-3</v>
      </c>
      <c r="Z355" s="333">
        <v>8.0030487804878085E-3</v>
      </c>
      <c r="AA355" s="333">
        <v>3.6124201573044775E-3</v>
      </c>
      <c r="AB355" s="474"/>
      <c r="AC355" s="474"/>
      <c r="AD355" s="474"/>
      <c r="AE355" s="474"/>
      <c r="AF355" s="474"/>
      <c r="AH355"/>
      <c r="AI355"/>
      <c r="AK355" s="310" t="str">
        <v>Ethernet (50Mbps)</v>
      </c>
      <c r="AM355" s="333">
        <v>5.9372326558591046E-4</v>
      </c>
      <c r="AN355" s="333">
        <v>6.1452399910169233E-3</v>
      </c>
      <c r="AO355" s="333">
        <v>6.9745110261291467E-3</v>
      </c>
      <c r="AP355" s="333">
        <v>6.2816225527404859E-3</v>
      </c>
      <c r="AQ355" s="333">
        <v>1.018974353790322E-2</v>
      </c>
      <c r="AR355" s="333">
        <v>4.8081216042641208E-3</v>
      </c>
      <c r="AS355" s="474"/>
      <c r="AT355" s="474"/>
      <c r="AU355" s="474"/>
      <c r="AV355" s="474"/>
      <c r="AW355" s="474"/>
      <c r="AY355"/>
      <c r="AZ355"/>
    </row>
    <row r="356" spans="3:52" s="299" customFormat="1">
      <c r="C356" s="310" t="str">
        <v>Ethernet (60Mbps)</v>
      </c>
      <c r="E356" s="333">
        <v>0</v>
      </c>
      <c r="F356" s="333">
        <v>2.3409472643105049E-5</v>
      </c>
      <c r="G356" s="333">
        <v>3.1274433150899137E-4</v>
      </c>
      <c r="H356" s="333">
        <v>7.7595170476589504E-4</v>
      </c>
      <c r="I356" s="333">
        <v>3.1509768028088704E-4</v>
      </c>
      <c r="J356" s="333">
        <v>3.3268812000967823E-4</v>
      </c>
      <c r="K356" s="474"/>
      <c r="L356" s="474"/>
      <c r="M356" s="474"/>
      <c r="N356" s="474"/>
      <c r="O356" s="474"/>
      <c r="T356" s="310" t="str">
        <v>Ethernet (60Mbps)</v>
      </c>
      <c r="V356" s="333">
        <v>0</v>
      </c>
      <c r="W356" s="333">
        <v>3.7042799250253751E-4</v>
      </c>
      <c r="X356" s="333">
        <v>7.4507875482438478E-4</v>
      </c>
      <c r="Y356" s="333">
        <v>3.3709418074315782E-4</v>
      </c>
      <c r="Z356" s="333">
        <v>7.6219512195121976E-4</v>
      </c>
      <c r="AA356" s="333">
        <v>3.2840183248222522E-4</v>
      </c>
      <c r="AB356" s="474"/>
      <c r="AC356" s="474"/>
      <c r="AD356" s="474"/>
      <c r="AE356" s="474"/>
      <c r="AF356" s="474"/>
      <c r="AH356"/>
      <c r="AI356"/>
      <c r="AK356" s="310" t="str">
        <v>Ethernet (60Mbps)</v>
      </c>
      <c r="AM356" s="333">
        <v>0</v>
      </c>
      <c r="AN356" s="333">
        <v>2.3591914325055743E-4</v>
      </c>
      <c r="AO356" s="333">
        <v>5.9203923824284672E-4</v>
      </c>
      <c r="AP356" s="333">
        <v>4.7000542856270004E-4</v>
      </c>
      <c r="AQ356" s="333">
        <v>6.115867897253421E-4</v>
      </c>
      <c r="AR356" s="333">
        <v>3.2969976714953967E-4</v>
      </c>
      <c r="AS356" s="474"/>
      <c r="AT356" s="474"/>
      <c r="AU356" s="474"/>
      <c r="AV356" s="474"/>
      <c r="AW356" s="474"/>
      <c r="AY356"/>
      <c r="AZ356"/>
    </row>
    <row r="357" spans="3:52" s="299" customFormat="1">
      <c r="C357" s="310" t="str">
        <v>Ethernet (70Mbps)</v>
      </c>
      <c r="E357" s="333">
        <v>0</v>
      </c>
      <c r="F357" s="333">
        <v>0</v>
      </c>
      <c r="G357" s="333">
        <v>0</v>
      </c>
      <c r="H357" s="333">
        <v>0</v>
      </c>
      <c r="I357" s="333">
        <v>2.7008372595504598E-4</v>
      </c>
      <c r="J357" s="333">
        <v>2.0793007500604891E-3</v>
      </c>
      <c r="K357" s="474"/>
      <c r="L357" s="474"/>
      <c r="M357" s="474"/>
      <c r="N357" s="474"/>
      <c r="O357" s="474"/>
      <c r="T357" s="310" t="str">
        <v>Ethernet (70Mbps)</v>
      </c>
      <c r="V357" s="333">
        <v>0</v>
      </c>
      <c r="W357" s="333">
        <v>0</v>
      </c>
      <c r="X357" s="333">
        <v>0</v>
      </c>
      <c r="Y357" s="333">
        <v>0</v>
      </c>
      <c r="Z357" s="333">
        <v>7.6219512195121976E-4</v>
      </c>
      <c r="AA357" s="333">
        <v>9.8520549744667571E-4</v>
      </c>
      <c r="AB357" s="474"/>
      <c r="AC357" s="474"/>
      <c r="AD357" s="474"/>
      <c r="AE357" s="474"/>
      <c r="AF357" s="474"/>
      <c r="AH357"/>
      <c r="AI357"/>
      <c r="AK357" s="310" t="str">
        <v>Ethernet (70Mbps)</v>
      </c>
      <c r="AM357" s="333">
        <v>0</v>
      </c>
      <c r="AN357" s="333">
        <v>0</v>
      </c>
      <c r="AO357" s="333">
        <v>0</v>
      </c>
      <c r="AP357" s="333">
        <v>0</v>
      </c>
      <c r="AQ357" s="333">
        <v>5.9642348088917658E-4</v>
      </c>
      <c r="AR357" s="333">
        <v>1.3165094868818426E-3</v>
      </c>
      <c r="AS357" s="474"/>
      <c r="AT357" s="474"/>
      <c r="AU357" s="474"/>
      <c r="AV357" s="474"/>
      <c r="AW357" s="474"/>
      <c r="AY357"/>
      <c r="AZ357"/>
    </row>
    <row r="358" spans="3:52" s="299" customFormat="1">
      <c r="C358" s="310" t="str">
        <v>Ethernet (80Mbps)</v>
      </c>
      <c r="E358" s="333">
        <v>0</v>
      </c>
      <c r="F358" s="333">
        <v>0</v>
      </c>
      <c r="G358" s="333">
        <v>0</v>
      </c>
      <c r="H358" s="333">
        <v>0</v>
      </c>
      <c r="I358" s="333">
        <v>0</v>
      </c>
      <c r="J358" s="333">
        <v>-1.8902734091458994E-4</v>
      </c>
      <c r="K358" s="474"/>
      <c r="L358" s="474"/>
      <c r="M358" s="474"/>
      <c r="N358" s="474"/>
      <c r="O358" s="474"/>
      <c r="T358" s="310" t="str">
        <v>Ethernet (80Mbps)</v>
      </c>
      <c r="V358" s="333">
        <v>0</v>
      </c>
      <c r="W358" s="333">
        <v>0</v>
      </c>
      <c r="X358" s="333">
        <v>0</v>
      </c>
      <c r="Y358" s="333">
        <v>0</v>
      </c>
      <c r="Z358" s="333">
        <v>0</v>
      </c>
      <c r="AA358" s="333">
        <v>3.2840183248222522E-4</v>
      </c>
      <c r="AB358" s="474"/>
      <c r="AC358" s="474"/>
      <c r="AD358" s="474"/>
      <c r="AE358" s="474"/>
      <c r="AF358" s="474"/>
      <c r="AH358"/>
      <c r="AI358"/>
      <c r="AK358" s="310" t="str">
        <v>Ethernet (80Mbps)</v>
      </c>
      <c r="AM358" s="333">
        <v>0</v>
      </c>
      <c r="AN358" s="333">
        <v>0</v>
      </c>
      <c r="AO358" s="333">
        <v>0</v>
      </c>
      <c r="AP358" s="333">
        <v>0</v>
      </c>
      <c r="AQ358" s="333">
        <v>0</v>
      </c>
      <c r="AR358" s="333">
        <v>1.7171862872371858E-4</v>
      </c>
      <c r="AS358" s="474"/>
      <c r="AT358" s="474"/>
      <c r="AU358" s="474"/>
      <c r="AV358" s="474"/>
      <c r="AW358" s="474"/>
      <c r="AY358"/>
      <c r="AZ358"/>
    </row>
    <row r="359" spans="3:52" s="299" customFormat="1">
      <c r="C359" s="310" t="str">
        <v>Ethernet (90Mbps)</v>
      </c>
      <c r="E359" s="333">
        <v>0</v>
      </c>
      <c r="F359" s="333">
        <v>0</v>
      </c>
      <c r="G359" s="333">
        <v>0</v>
      </c>
      <c r="H359" s="333">
        <v>0</v>
      </c>
      <c r="I359" s="333">
        <v>1.8005581730336405E-4</v>
      </c>
      <c r="J359" s="333">
        <v>5.5195983547060262E-4</v>
      </c>
      <c r="K359" s="474"/>
      <c r="L359" s="474"/>
      <c r="M359" s="474"/>
      <c r="N359" s="474"/>
      <c r="O359" s="474"/>
      <c r="T359" s="310" t="str">
        <v>Ethernet (90Mbps)</v>
      </c>
      <c r="V359" s="333">
        <v>0</v>
      </c>
      <c r="W359" s="333">
        <v>0</v>
      </c>
      <c r="X359" s="333">
        <v>0</v>
      </c>
      <c r="Y359" s="333">
        <v>0</v>
      </c>
      <c r="Z359" s="333">
        <v>3.8109756097560988E-4</v>
      </c>
      <c r="AA359" s="333">
        <v>6.5680366496445044E-4</v>
      </c>
      <c r="AB359" s="474"/>
      <c r="AC359" s="474"/>
      <c r="AD359" s="474"/>
      <c r="AE359" s="474"/>
      <c r="AF359" s="474"/>
      <c r="AH359"/>
      <c r="AI359"/>
      <c r="AK359" s="310" t="str">
        <v>Ethernet (90Mbps)</v>
      </c>
      <c r="AM359" s="333">
        <v>0</v>
      </c>
      <c r="AN359" s="333">
        <v>0</v>
      </c>
      <c r="AO359" s="333">
        <v>0</v>
      </c>
      <c r="AP359" s="333">
        <v>0</v>
      </c>
      <c r="AQ359" s="333">
        <v>3.1337504928075381E-4</v>
      </c>
      <c r="AR359" s="333">
        <v>6.2505580855433569E-4</v>
      </c>
      <c r="AS359" s="474"/>
      <c r="AT359" s="474"/>
      <c r="AU359" s="474"/>
      <c r="AV359" s="474"/>
      <c r="AW359" s="474"/>
      <c r="AY359"/>
      <c r="AZ359"/>
    </row>
    <row r="360" spans="3:52" s="299" customFormat="1">
      <c r="C360" s="310" t="str">
        <v>GigaEthernet (100Mbps)</v>
      </c>
      <c r="E360" s="333">
        <v>0</v>
      </c>
      <c r="F360" s="333">
        <v>0</v>
      </c>
      <c r="G360" s="333">
        <v>0</v>
      </c>
      <c r="H360" s="333">
        <v>0</v>
      </c>
      <c r="I360" s="333">
        <v>0</v>
      </c>
      <c r="J360" s="333">
        <v>0</v>
      </c>
      <c r="K360" s="474"/>
      <c r="L360" s="474"/>
      <c r="M360" s="474"/>
      <c r="N360" s="474"/>
      <c r="O360" s="474"/>
      <c r="T360" s="310" t="str">
        <v>GigaEthernet (100Mbps)</v>
      </c>
      <c r="V360" s="333">
        <v>2.5335675632729808E-3</v>
      </c>
      <c r="W360" s="333">
        <v>4.4451359100304497E-3</v>
      </c>
      <c r="X360" s="333">
        <v>6.3108170533625382E-3</v>
      </c>
      <c r="Y360" s="333">
        <v>7.3486531402008406E-3</v>
      </c>
      <c r="Z360" s="333">
        <v>6.3719512195121973E-3</v>
      </c>
      <c r="AA360" s="333">
        <v>5.9900494244757877E-3</v>
      </c>
      <c r="AB360" s="474"/>
      <c r="AC360" s="474"/>
      <c r="AD360" s="474"/>
      <c r="AE360" s="474"/>
      <c r="AF360" s="474"/>
      <c r="AH360"/>
      <c r="AI360"/>
      <c r="AK360" s="310" t="str">
        <v>GigaEthernet (100Mbps)</v>
      </c>
      <c r="AM360" s="333">
        <v>1.5490779747559661E-3</v>
      </c>
      <c r="AN360" s="333">
        <v>2.7221439605833548E-3</v>
      </c>
      <c r="AO360" s="333">
        <v>4.0768880877373268E-3</v>
      </c>
      <c r="AP360" s="333">
        <v>5.1230591713334311E-3</v>
      </c>
      <c r="AQ360" s="333">
        <v>4.2255087290114538E-3</v>
      </c>
      <c r="AR360" s="333">
        <v>4.1761970505608354E-3</v>
      </c>
      <c r="AS360" s="474"/>
      <c r="AT360" s="474"/>
      <c r="AU360" s="474"/>
      <c r="AV360" s="474"/>
      <c r="AW360" s="474"/>
      <c r="AY360"/>
      <c r="AZ360"/>
    </row>
    <row r="361" spans="3:52" s="299" customFormat="1">
      <c r="C361" s="310" t="str">
        <v>GigaEthernet (150Mbps)</v>
      </c>
      <c r="E361" s="333">
        <v>0</v>
      </c>
      <c r="F361" s="333">
        <v>0</v>
      </c>
      <c r="G361" s="333">
        <v>0</v>
      </c>
      <c r="H361" s="333">
        <v>0</v>
      </c>
      <c r="I361" s="333">
        <v>0</v>
      </c>
      <c r="J361" s="333">
        <v>0</v>
      </c>
      <c r="K361" s="474"/>
      <c r="L361" s="474"/>
      <c r="M361" s="474"/>
      <c r="N361" s="474"/>
      <c r="O361" s="474"/>
      <c r="T361" s="310" t="str">
        <v>GigaEthernet (150Mbps)</v>
      </c>
      <c r="V361" s="333">
        <v>1.1299534776966606E-3</v>
      </c>
      <c r="W361" s="333">
        <v>7.6308166455522723E-4</v>
      </c>
      <c r="X361" s="333">
        <v>8.568405680480424E-4</v>
      </c>
      <c r="Y361" s="333">
        <v>0</v>
      </c>
      <c r="Z361" s="333">
        <v>8.5365853658536618E-4</v>
      </c>
      <c r="AA361" s="333">
        <v>2.0886356545869525E-3</v>
      </c>
      <c r="AB361" s="474"/>
      <c r="AC361" s="474"/>
      <c r="AD361" s="474"/>
      <c r="AE361" s="474"/>
      <c r="AF361" s="474"/>
      <c r="AH361"/>
      <c r="AI361"/>
      <c r="AK361" s="310" t="str">
        <v>GigaEthernet (150Mbps)</v>
      </c>
      <c r="AM361" s="333">
        <v>6.9087798177269581E-4</v>
      </c>
      <c r="AN361" s="333">
        <v>4.6730137990014258E-4</v>
      </c>
      <c r="AO361" s="333">
        <v>5.5353262112136075E-4</v>
      </c>
      <c r="AP361" s="333">
        <v>0</v>
      </c>
      <c r="AQ361" s="333">
        <v>5.6609686321684564E-4</v>
      </c>
      <c r="AR361" s="333">
        <v>1.4561739715771337E-3</v>
      </c>
      <c r="AS361" s="474"/>
      <c r="AT361" s="474"/>
      <c r="AU361" s="474"/>
      <c r="AV361" s="474"/>
      <c r="AW361" s="474"/>
      <c r="AY361"/>
      <c r="AZ361"/>
    </row>
    <row r="362" spans="3:52" s="299" customFormat="1">
      <c r="C362" s="310" t="str">
        <v>GigaEthernet (200Mbps)</v>
      </c>
      <c r="E362" s="333">
        <v>0</v>
      </c>
      <c r="F362" s="333">
        <v>0</v>
      </c>
      <c r="G362" s="333">
        <v>0</v>
      </c>
      <c r="H362" s="333">
        <v>0</v>
      </c>
      <c r="I362" s="333">
        <v>0</v>
      </c>
      <c r="J362" s="333">
        <v>0</v>
      </c>
      <c r="K362" s="474"/>
      <c r="L362" s="474"/>
      <c r="M362" s="474"/>
      <c r="N362" s="474"/>
      <c r="O362" s="474"/>
      <c r="T362" s="310" t="str">
        <v>GigaEthernet (200Mbps)</v>
      </c>
      <c r="V362" s="333">
        <v>0</v>
      </c>
      <c r="W362" s="333">
        <v>0</v>
      </c>
      <c r="X362" s="333">
        <v>0</v>
      </c>
      <c r="Y362" s="333">
        <v>8.5621921908762084E-4</v>
      </c>
      <c r="Z362" s="333">
        <v>9.5274390243902469E-4</v>
      </c>
      <c r="AA362" s="333">
        <v>7.6189225135876249E-4</v>
      </c>
      <c r="AB362" s="474"/>
      <c r="AC362" s="474"/>
      <c r="AD362" s="474"/>
      <c r="AE362" s="474"/>
      <c r="AF362" s="474"/>
      <c r="AH362"/>
      <c r="AI362"/>
      <c r="AK362" s="310" t="str">
        <v>GigaEthernet (200Mbps)</v>
      </c>
      <c r="AM362" s="333">
        <v>0</v>
      </c>
      <c r="AN362" s="333">
        <v>0</v>
      </c>
      <c r="AO362" s="333">
        <v>0</v>
      </c>
      <c r="AP362" s="333">
        <v>5.9690689427462909E-4</v>
      </c>
      <c r="AQ362" s="333">
        <v>6.3180453484022942E-4</v>
      </c>
      <c r="AR362" s="333">
        <v>5.3118295818536942E-4</v>
      </c>
      <c r="AS362" s="474"/>
      <c r="AT362" s="474"/>
      <c r="AU362" s="474"/>
      <c r="AV362" s="474"/>
      <c r="AW362" s="474"/>
      <c r="AY362"/>
      <c r="AZ362"/>
    </row>
    <row r="363" spans="3:52" s="299" customFormat="1">
      <c r="C363" s="310" t="str">
        <v>GigaEthernet (250Mbps)</v>
      </c>
      <c r="E363" s="333">
        <v>0</v>
      </c>
      <c r="F363" s="333">
        <v>0</v>
      </c>
      <c r="G363" s="333">
        <v>0</v>
      </c>
      <c r="H363" s="333">
        <v>0</v>
      </c>
      <c r="I363" s="333">
        <v>0</v>
      </c>
      <c r="J363" s="333">
        <v>0</v>
      </c>
      <c r="K363" s="474"/>
      <c r="L363" s="474"/>
      <c r="M363" s="474"/>
      <c r="N363" s="474"/>
      <c r="O363" s="474"/>
      <c r="T363" s="310" t="str">
        <v>GigaEthernet (250Mbps)</v>
      </c>
      <c r="V363" s="333">
        <v>0</v>
      </c>
      <c r="W363" s="333">
        <v>0</v>
      </c>
      <c r="X363" s="333">
        <v>0</v>
      </c>
      <c r="Y363" s="333">
        <v>0</v>
      </c>
      <c r="Z363" s="333">
        <v>0</v>
      </c>
      <c r="AA363" s="333">
        <v>0</v>
      </c>
      <c r="AB363" s="474"/>
      <c r="AC363" s="474"/>
      <c r="AD363" s="474"/>
      <c r="AE363" s="474"/>
      <c r="AF363" s="474"/>
      <c r="AH363"/>
      <c r="AI363"/>
      <c r="AK363" s="310" t="str">
        <v>GigaEthernet (250Mbps)</v>
      </c>
      <c r="AM363" s="333">
        <v>0</v>
      </c>
      <c r="AN363" s="333">
        <v>0</v>
      </c>
      <c r="AO363" s="333">
        <v>0</v>
      </c>
      <c r="AP363" s="333">
        <v>0</v>
      </c>
      <c r="AQ363" s="333">
        <v>0</v>
      </c>
      <c r="AR363" s="333">
        <v>0</v>
      </c>
      <c r="AS363" s="474"/>
      <c r="AT363" s="474"/>
      <c r="AU363" s="474"/>
      <c r="AV363" s="474"/>
      <c r="AW363" s="474"/>
      <c r="AY363"/>
      <c r="AZ363"/>
    </row>
    <row r="364" spans="3:52" s="299" customFormat="1">
      <c r="C364" s="310" t="str">
        <v>GigaEthernet (300Mbps)</v>
      </c>
      <c r="E364" s="333">
        <v>0</v>
      </c>
      <c r="F364" s="333">
        <v>0</v>
      </c>
      <c r="G364" s="333">
        <v>0</v>
      </c>
      <c r="H364" s="333">
        <v>0</v>
      </c>
      <c r="I364" s="333">
        <v>0</v>
      </c>
      <c r="J364" s="333">
        <v>0</v>
      </c>
      <c r="K364" s="474"/>
      <c r="L364" s="474"/>
      <c r="M364" s="474"/>
      <c r="N364" s="474"/>
      <c r="O364" s="474"/>
      <c r="T364" s="310" t="str">
        <v>GigaEthernet (300Mbps)</v>
      </c>
      <c r="V364" s="333">
        <v>8.2980958518348504E-4</v>
      </c>
      <c r="W364" s="333">
        <v>9.3347854110639456E-4</v>
      </c>
      <c r="X364" s="333">
        <v>6.6312009179370242E-4</v>
      </c>
      <c r="Y364" s="333">
        <v>0</v>
      </c>
      <c r="Z364" s="333">
        <v>0</v>
      </c>
      <c r="AA364" s="333">
        <v>0</v>
      </c>
      <c r="AB364" s="474"/>
      <c r="AC364" s="474"/>
      <c r="AD364" s="474"/>
      <c r="AE364" s="474"/>
      <c r="AF364" s="474"/>
      <c r="AH364"/>
      <c r="AI364"/>
      <c r="AK364" s="310" t="str">
        <v>GigaEthernet (300Mbps)</v>
      </c>
      <c r="AM364" s="333">
        <v>5.0736351786432341E-4</v>
      </c>
      <c r="AN364" s="333">
        <v>5.7165023172250451E-4</v>
      </c>
      <c r="AO364" s="333">
        <v>4.2838611547653144E-4</v>
      </c>
      <c r="AP364" s="333">
        <v>0</v>
      </c>
      <c r="AQ364" s="333">
        <v>0</v>
      </c>
      <c r="AR364" s="333">
        <v>0</v>
      </c>
      <c r="AS364" s="474"/>
      <c r="AT364" s="474"/>
      <c r="AU364" s="474"/>
      <c r="AV364" s="474"/>
      <c r="AW364" s="474"/>
      <c r="AY364"/>
      <c r="AZ364"/>
    </row>
    <row r="365" spans="3:52" s="299" customFormat="1">
      <c r="C365" s="310" t="str">
        <v>GigaEthernet (350Mbps)</v>
      </c>
      <c r="E365" s="333">
        <v>0</v>
      </c>
      <c r="F365" s="333">
        <v>0</v>
      </c>
      <c r="G365" s="333">
        <v>0</v>
      </c>
      <c r="H365" s="333">
        <v>0</v>
      </c>
      <c r="I365" s="333">
        <v>0</v>
      </c>
      <c r="J365" s="333">
        <v>0</v>
      </c>
      <c r="K365" s="474"/>
      <c r="L365" s="474"/>
      <c r="M365" s="474"/>
      <c r="N365" s="474"/>
      <c r="O365" s="474"/>
      <c r="T365" s="310" t="str">
        <v>GigaEthernet (350Mbps)</v>
      </c>
      <c r="V365" s="333">
        <v>0</v>
      </c>
      <c r="W365" s="333">
        <v>0</v>
      </c>
      <c r="X365" s="333">
        <v>0</v>
      </c>
      <c r="Y365" s="333">
        <v>0</v>
      </c>
      <c r="Z365" s="333">
        <v>0</v>
      </c>
      <c r="AA365" s="333">
        <v>0</v>
      </c>
      <c r="AB365" s="474"/>
      <c r="AC365" s="474"/>
      <c r="AD365" s="474"/>
      <c r="AE365" s="474"/>
      <c r="AF365" s="474"/>
      <c r="AH365"/>
      <c r="AI365"/>
      <c r="AK365" s="310" t="str">
        <v>GigaEthernet (350Mbps)</v>
      </c>
      <c r="AM365" s="333">
        <v>0</v>
      </c>
      <c r="AN365" s="333">
        <v>0</v>
      </c>
      <c r="AO365" s="333">
        <v>0</v>
      </c>
      <c r="AP365" s="333">
        <v>0</v>
      </c>
      <c r="AQ365" s="333">
        <v>0</v>
      </c>
      <c r="AR365" s="333">
        <v>0</v>
      </c>
      <c r="AS365" s="474"/>
      <c r="AT365" s="474"/>
      <c r="AU365" s="474"/>
      <c r="AV365" s="474"/>
      <c r="AW365" s="474"/>
      <c r="AY365"/>
      <c r="AZ365"/>
    </row>
    <row r="366" spans="3:52" s="299" customFormat="1">
      <c r="C366" s="310" t="str">
        <v>GigaEthernet (400Mbps)</v>
      </c>
      <c r="E366" s="333">
        <v>0</v>
      </c>
      <c r="F366" s="333">
        <v>0</v>
      </c>
      <c r="G366" s="333">
        <v>0</v>
      </c>
      <c r="H366" s="333">
        <v>0</v>
      </c>
      <c r="I366" s="333">
        <v>0</v>
      </c>
      <c r="J366" s="333">
        <v>0</v>
      </c>
      <c r="K366" s="474"/>
      <c r="L366" s="474"/>
      <c r="M366" s="474"/>
      <c r="N366" s="474"/>
      <c r="O366" s="474"/>
      <c r="T366" s="310" t="str">
        <v>GigaEthernet (400Mbps)</v>
      </c>
      <c r="V366" s="333">
        <v>0</v>
      </c>
      <c r="W366" s="333">
        <v>0</v>
      </c>
      <c r="X366" s="333">
        <v>0</v>
      </c>
      <c r="Y366" s="333">
        <v>5.7980199087823137E-4</v>
      </c>
      <c r="Z366" s="333">
        <v>6.3262195121951243E-4</v>
      </c>
      <c r="AA366" s="333">
        <v>1.2118027618594112E-3</v>
      </c>
      <c r="AB366" s="474"/>
      <c r="AC366" s="474"/>
      <c r="AD366" s="474"/>
      <c r="AE366" s="474"/>
      <c r="AF366" s="474"/>
      <c r="AH366"/>
      <c r="AI366"/>
      <c r="AK366" s="310" t="str">
        <v>GigaEthernet (400Mbps)</v>
      </c>
      <c r="AM366" s="333">
        <v>0</v>
      </c>
      <c r="AN366" s="333">
        <v>0</v>
      </c>
      <c r="AO366" s="333">
        <v>0</v>
      </c>
      <c r="AP366" s="333">
        <v>4.0420466856392202E-4</v>
      </c>
      <c r="AQ366" s="333">
        <v>4.1951821113391229E-4</v>
      </c>
      <c r="AR366" s="333">
        <v>8.4485565332069544E-4</v>
      </c>
      <c r="AS366" s="474"/>
      <c r="AT366" s="474"/>
      <c r="AU366" s="474"/>
      <c r="AV366" s="474"/>
      <c r="AW366" s="474"/>
      <c r="AY366"/>
      <c r="AZ366"/>
    </row>
    <row r="367" spans="3:52" s="299" customFormat="1">
      <c r="C367" s="310" t="str">
        <v>GigaEthernet (450Mbps)</v>
      </c>
      <c r="E367" s="333">
        <v>0</v>
      </c>
      <c r="F367" s="333">
        <v>0</v>
      </c>
      <c r="G367" s="333">
        <v>0</v>
      </c>
      <c r="H367" s="333">
        <v>0</v>
      </c>
      <c r="I367" s="333">
        <v>0</v>
      </c>
      <c r="J367" s="333">
        <v>0</v>
      </c>
      <c r="K367" s="474"/>
      <c r="L367" s="474"/>
      <c r="M367" s="474"/>
      <c r="N367" s="474"/>
      <c r="O367" s="474"/>
      <c r="T367" s="310" t="str">
        <v>GigaEthernet (450Mbps)</v>
      </c>
      <c r="V367" s="333">
        <v>0</v>
      </c>
      <c r="W367" s="333">
        <v>0</v>
      </c>
      <c r="X367" s="333">
        <v>0</v>
      </c>
      <c r="Y367" s="333">
        <v>0</v>
      </c>
      <c r="Z367" s="333">
        <v>0</v>
      </c>
      <c r="AA367" s="333">
        <v>0</v>
      </c>
      <c r="AB367" s="474"/>
      <c r="AC367" s="474"/>
      <c r="AD367" s="474"/>
      <c r="AE367" s="474"/>
      <c r="AF367" s="474"/>
      <c r="AH367"/>
      <c r="AI367"/>
      <c r="AK367" s="310" t="str">
        <v>GigaEthernet (450Mbps)</v>
      </c>
      <c r="AM367" s="333">
        <v>0</v>
      </c>
      <c r="AN367" s="333">
        <v>0</v>
      </c>
      <c r="AO367" s="333">
        <v>0</v>
      </c>
      <c r="AP367" s="333">
        <v>0</v>
      </c>
      <c r="AQ367" s="333">
        <v>0</v>
      </c>
      <c r="AR367" s="333">
        <v>0</v>
      </c>
      <c r="AS367" s="474"/>
      <c r="AT367" s="474"/>
      <c r="AU367" s="474"/>
      <c r="AV367" s="474"/>
      <c r="AW367" s="474"/>
      <c r="AY367"/>
      <c r="AZ367"/>
    </row>
    <row r="368" spans="3:52" s="299" customFormat="1">
      <c r="C368" s="310" t="str">
        <v>GigaEthernet (500Mbps)</v>
      </c>
      <c r="E368" s="333">
        <v>0</v>
      </c>
      <c r="F368" s="333">
        <v>0</v>
      </c>
      <c r="G368" s="333">
        <v>0</v>
      </c>
      <c r="H368" s="333">
        <v>0</v>
      </c>
      <c r="I368" s="333">
        <v>0</v>
      </c>
      <c r="J368" s="333">
        <v>0</v>
      </c>
      <c r="K368" s="474"/>
      <c r="L368" s="474"/>
      <c r="M368" s="474"/>
      <c r="N368" s="474"/>
      <c r="O368" s="474"/>
      <c r="T368" s="310" t="str">
        <v>GigaEthernet (500Mbps)</v>
      </c>
      <c r="V368" s="333">
        <v>0</v>
      </c>
      <c r="W368" s="333">
        <v>0</v>
      </c>
      <c r="X368" s="333">
        <v>0</v>
      </c>
      <c r="Y368" s="333">
        <v>0</v>
      </c>
      <c r="Z368" s="333">
        <v>0</v>
      </c>
      <c r="AA368" s="333">
        <v>0</v>
      </c>
      <c r="AB368" s="474"/>
      <c r="AC368" s="474"/>
      <c r="AD368" s="474"/>
      <c r="AE368" s="474"/>
      <c r="AF368" s="474"/>
      <c r="AH368"/>
      <c r="AI368"/>
      <c r="AK368" s="310" t="str">
        <v>GigaEthernet (500Mbps)</v>
      </c>
      <c r="AM368" s="333">
        <v>0</v>
      </c>
      <c r="AN368" s="333">
        <v>0</v>
      </c>
      <c r="AO368" s="333">
        <v>0</v>
      </c>
      <c r="AP368" s="333">
        <v>0</v>
      </c>
      <c r="AQ368" s="333">
        <v>0</v>
      </c>
      <c r="AR368" s="333">
        <v>0</v>
      </c>
      <c r="AS368" s="474"/>
      <c r="AT368" s="474"/>
      <c r="AU368" s="474"/>
      <c r="AV368" s="474"/>
      <c r="AW368" s="474"/>
      <c r="AY368"/>
      <c r="AZ368"/>
    </row>
    <row r="369" spans="3:53" s="299" customFormat="1">
      <c r="C369" s="310" t="str">
        <v>GigaEthernet (550Mbps)</v>
      </c>
      <c r="E369" s="333">
        <v>0</v>
      </c>
      <c r="F369" s="333">
        <v>0</v>
      </c>
      <c r="G369" s="333">
        <v>0</v>
      </c>
      <c r="H369" s="333">
        <v>0</v>
      </c>
      <c r="I369" s="333">
        <v>0</v>
      </c>
      <c r="J369" s="333">
        <v>0</v>
      </c>
      <c r="K369" s="474"/>
      <c r="L369" s="474"/>
      <c r="M369" s="474"/>
      <c r="N369" s="474"/>
      <c r="O369" s="474"/>
      <c r="T369" s="310" t="str">
        <v>GigaEthernet (550Mbps)</v>
      </c>
      <c r="V369" s="333">
        <v>0</v>
      </c>
      <c r="W369" s="333">
        <v>0</v>
      </c>
      <c r="X369" s="333">
        <v>0</v>
      </c>
      <c r="Y369" s="333">
        <v>0</v>
      </c>
      <c r="Z369" s="333">
        <v>0</v>
      </c>
      <c r="AA369" s="333">
        <v>0</v>
      </c>
      <c r="AB369" s="474"/>
      <c r="AC369" s="474"/>
      <c r="AD369" s="474"/>
      <c r="AE369" s="474"/>
      <c r="AF369" s="474"/>
      <c r="AH369"/>
      <c r="AI369"/>
      <c r="AK369" s="310" t="str">
        <v>GigaEthernet (550Mbps)</v>
      </c>
      <c r="AM369" s="333">
        <v>0</v>
      </c>
      <c r="AN369" s="333">
        <v>0</v>
      </c>
      <c r="AO369" s="333">
        <v>0</v>
      </c>
      <c r="AP369" s="333">
        <v>0</v>
      </c>
      <c r="AQ369" s="333">
        <v>0</v>
      </c>
      <c r="AR369" s="333">
        <v>0</v>
      </c>
      <c r="AS369" s="474"/>
      <c r="AT369" s="474"/>
      <c r="AU369" s="474"/>
      <c r="AV369" s="474"/>
      <c r="AW369" s="474"/>
      <c r="AY369"/>
      <c r="AZ369"/>
    </row>
    <row r="370" spans="3:53" s="299" customFormat="1">
      <c r="C370" s="310" t="str">
        <v>GigaEthernet (600Mbps)</v>
      </c>
      <c r="E370" s="333">
        <v>0</v>
      </c>
      <c r="F370" s="333">
        <v>0</v>
      </c>
      <c r="G370" s="333">
        <v>0</v>
      </c>
      <c r="H370" s="333">
        <v>0</v>
      </c>
      <c r="I370" s="333">
        <v>0</v>
      </c>
      <c r="J370" s="333">
        <v>0</v>
      </c>
      <c r="K370" s="474"/>
      <c r="L370" s="474"/>
      <c r="M370" s="474"/>
      <c r="N370" s="474"/>
      <c r="O370" s="474"/>
      <c r="T370" s="310" t="str">
        <v>GigaEthernet (600Mbps)</v>
      </c>
      <c r="V370" s="333">
        <v>3.4428270023570125E-4</v>
      </c>
      <c r="W370" s="333">
        <v>2.5929959475177626E-4</v>
      </c>
      <c r="X370" s="333">
        <v>0</v>
      </c>
      <c r="Y370" s="333">
        <v>0</v>
      </c>
      <c r="Z370" s="333">
        <v>0</v>
      </c>
      <c r="AA370" s="333">
        <v>0</v>
      </c>
      <c r="AB370" s="474"/>
      <c r="AC370" s="474"/>
      <c r="AD370" s="474"/>
      <c r="AE370" s="474"/>
      <c r="AF370" s="474"/>
      <c r="AH370"/>
      <c r="AI370"/>
      <c r="AK370" s="310" t="str">
        <v>GigaEthernet (600Mbps)</v>
      </c>
      <c r="AM370" s="333">
        <v>2.1050188507136826E-4</v>
      </c>
      <c r="AN370" s="333">
        <v>1.5879173103402902E-4</v>
      </c>
      <c r="AO370" s="333">
        <v>0</v>
      </c>
      <c r="AP370" s="333">
        <v>0</v>
      </c>
      <c r="AQ370" s="333">
        <v>0</v>
      </c>
      <c r="AR370" s="333">
        <v>0</v>
      </c>
      <c r="AS370" s="474"/>
      <c r="AT370" s="474"/>
      <c r="AU370" s="474"/>
      <c r="AV370" s="474"/>
      <c r="AW370" s="474"/>
      <c r="AY370"/>
      <c r="AZ370"/>
    </row>
    <row r="371" spans="3:53" s="299" customFormat="1">
      <c r="C371" s="310" t="str">
        <v>GigaEthernet (750Mbps)</v>
      </c>
      <c r="E371" s="333">
        <v>0</v>
      </c>
      <c r="F371" s="333">
        <v>0</v>
      </c>
      <c r="G371" s="333">
        <v>0</v>
      </c>
      <c r="H371" s="333">
        <v>0</v>
      </c>
      <c r="I371" s="333">
        <v>0</v>
      </c>
      <c r="J371" s="333">
        <v>0</v>
      </c>
      <c r="K371" s="474"/>
      <c r="L371" s="474"/>
      <c r="M371" s="474"/>
      <c r="N371" s="474"/>
      <c r="O371" s="474"/>
      <c r="T371" s="310" t="str">
        <v>GigaEthernet (750Mbps)</v>
      </c>
      <c r="V371" s="333">
        <v>0</v>
      </c>
      <c r="W371" s="333">
        <v>0</v>
      </c>
      <c r="X371" s="333">
        <v>3.5763780231570465E-4</v>
      </c>
      <c r="Y371" s="333">
        <v>4.3148055135124199E-4</v>
      </c>
      <c r="Z371" s="333">
        <v>3.4679878048780502E-4</v>
      </c>
      <c r="AA371" s="333">
        <v>0</v>
      </c>
      <c r="AB371" s="474"/>
      <c r="AC371" s="474"/>
      <c r="AD371" s="474"/>
      <c r="AE371" s="474"/>
      <c r="AF371" s="474"/>
      <c r="AH371"/>
      <c r="AI371"/>
      <c r="AK371" s="310" t="str">
        <v>GigaEthernet (750Mbps)</v>
      </c>
      <c r="AM371" s="333">
        <v>0</v>
      </c>
      <c r="AN371" s="333">
        <v>0</v>
      </c>
      <c r="AO371" s="333">
        <v>2.310397027289158E-4</v>
      </c>
      <c r="AP371" s="333">
        <v>3.0080347428012802E-4</v>
      </c>
      <c r="AQ371" s="333">
        <v>2.299768506818435E-4</v>
      </c>
      <c r="AR371" s="333">
        <v>0</v>
      </c>
      <c r="AS371" s="474"/>
      <c r="AT371" s="474"/>
      <c r="AU371" s="474"/>
      <c r="AV371" s="474"/>
      <c r="AW371" s="474"/>
      <c r="AY371"/>
      <c r="AZ371"/>
    </row>
    <row r="372" spans="3:53" s="299" customFormat="1">
      <c r="C372" s="310" t="str">
        <v>GigaEthernet (1 Gbps)</v>
      </c>
      <c r="E372" s="333">
        <v>0</v>
      </c>
      <c r="F372" s="333">
        <v>0</v>
      </c>
      <c r="G372" s="333">
        <v>0</v>
      </c>
      <c r="H372" s="333">
        <v>0</v>
      </c>
      <c r="I372" s="333">
        <v>0</v>
      </c>
      <c r="J372" s="333">
        <v>0</v>
      </c>
      <c r="K372" s="474"/>
      <c r="L372" s="474"/>
      <c r="M372" s="474"/>
      <c r="N372" s="474"/>
      <c r="O372" s="474"/>
      <c r="T372" s="310" t="str">
        <v>GigaEthernet (1 Gbps)</v>
      </c>
      <c r="V372" s="333">
        <v>0</v>
      </c>
      <c r="W372" s="333">
        <v>3.5190659287741061E-4</v>
      </c>
      <c r="X372" s="333">
        <v>0</v>
      </c>
      <c r="Y372" s="333">
        <v>0</v>
      </c>
      <c r="Z372" s="333">
        <v>4.1158536585365869E-4</v>
      </c>
      <c r="AA372" s="333">
        <v>3.4153790578151425E-3</v>
      </c>
      <c r="AB372" s="474"/>
      <c r="AC372" s="474"/>
      <c r="AD372" s="474"/>
      <c r="AE372" s="474"/>
      <c r="AF372" s="474"/>
      <c r="AH372"/>
      <c r="AI372"/>
      <c r="AK372" s="310" t="str">
        <v>GigaEthernet (1 Gbps)</v>
      </c>
      <c r="AM372" s="333">
        <v>0</v>
      </c>
      <c r="AN372" s="333">
        <v>2.1550306354618226E-4</v>
      </c>
      <c r="AO372" s="333">
        <v>0</v>
      </c>
      <c r="AP372" s="333">
        <v>0</v>
      </c>
      <c r="AQ372" s="333">
        <v>2.729395590509791E-4</v>
      </c>
      <c r="AR372" s="333">
        <v>2.381164984968898E-3</v>
      </c>
      <c r="AS372" s="474"/>
      <c r="AT372" s="474"/>
      <c r="AU372" s="474"/>
      <c r="AV372" s="474"/>
      <c r="AW372" s="474"/>
      <c r="AY372"/>
      <c r="AZ372"/>
    </row>
    <row r="373" spans="3:53" s="299" customFormat="1">
      <c r="AH373"/>
      <c r="AI373"/>
      <c r="AY373"/>
      <c r="AZ373"/>
    </row>
    <row r="374" spans="3:53" s="299" customFormat="1">
      <c r="AH374"/>
      <c r="AI374"/>
    </row>
    <row r="375" spans="3:53" s="299" customFormat="1" ht="15.75" thickBot="1">
      <c r="C375" s="130" t="s">
        <v>490</v>
      </c>
      <c r="T375" s="130" t="s">
        <v>490</v>
      </c>
      <c r="AK375" s="130" t="s">
        <v>490</v>
      </c>
    </row>
    <row r="376" spans="3:53" s="299" customFormat="1" ht="15.75" thickBot="1">
      <c r="C376" s="130" t="s">
        <v>491</v>
      </c>
      <c r="D376" s="130"/>
      <c r="E376" s="130"/>
      <c r="F376" s="130"/>
      <c r="G376" s="130"/>
      <c r="H376" s="130"/>
      <c r="I376" s="130"/>
      <c r="J376" s="130"/>
      <c r="K376" s="130"/>
      <c r="L376" s="130"/>
      <c r="M376" s="130"/>
      <c r="N376" s="130"/>
      <c r="O376" s="130"/>
      <c r="P376" s="130"/>
      <c r="Q376" s="130"/>
      <c r="T376" s="130" t="s">
        <v>491</v>
      </c>
      <c r="U376" s="130"/>
      <c r="V376" s="130"/>
      <c r="W376" s="130"/>
      <c r="X376" s="130"/>
      <c r="Y376" s="130"/>
      <c r="Z376" s="130"/>
      <c r="AA376" s="130"/>
      <c r="AB376" s="130"/>
      <c r="AC376" s="130"/>
      <c r="AD376" s="130"/>
      <c r="AE376" s="130"/>
      <c r="AF376" s="130"/>
      <c r="AG376" s="130"/>
      <c r="AH376" s="130"/>
      <c r="AK376" s="130" t="s">
        <v>491</v>
      </c>
      <c r="AL376" s="130"/>
      <c r="AM376" s="130"/>
      <c r="AN376" s="130"/>
      <c r="AO376" s="130"/>
      <c r="AP376" s="130"/>
      <c r="AQ376" s="130"/>
      <c r="AR376" s="130"/>
      <c r="AS376" s="130"/>
      <c r="AT376" s="130"/>
      <c r="AU376" s="130"/>
      <c r="AV376" s="130"/>
      <c r="AW376" s="130"/>
      <c r="AX376" s="130"/>
      <c r="AY376" s="130"/>
      <c r="AZ376" s="130"/>
      <c r="BA376" s="130"/>
    </row>
    <row r="377" spans="3:53" s="299" customFormat="1"/>
    <row r="378" spans="3:53" s="299" customFormat="1" ht="15">
      <c r="C378" s="332" t="s">
        <v>499</v>
      </c>
      <c r="T378" s="332" t="s">
        <v>499</v>
      </c>
      <c r="AK378" s="332" t="s">
        <v>499</v>
      </c>
    </row>
    <row r="379" spans="3:53" s="299" customFormat="1" ht="15">
      <c r="C379" s="332" t="s">
        <v>498</v>
      </c>
      <c r="T379" s="332" t="s">
        <v>498</v>
      </c>
      <c r="AK379" s="332" t="s">
        <v>498</v>
      </c>
    </row>
    <row r="380" spans="3:53" s="299" customFormat="1"/>
    <row r="381" spans="3:53" s="299" customFormat="1">
      <c r="C381" s="326" t="s">
        <v>442</v>
      </c>
      <c r="D381" s="326">
        <f t="array" ref="D381:O381">TRANSPOSE(Years)</f>
        <v>2008</v>
      </c>
      <c r="E381" s="326">
        <v>2009</v>
      </c>
      <c r="F381" s="326">
        <v>2010</v>
      </c>
      <c r="G381" s="326">
        <v>2011</v>
      </c>
      <c r="H381" s="326">
        <v>2012</v>
      </c>
      <c r="I381" s="326">
        <v>2013</v>
      </c>
      <c r="J381" s="326">
        <v>2014</v>
      </c>
      <c r="K381" s="326">
        <v>2015</v>
      </c>
      <c r="L381" s="326">
        <v>2016</v>
      </c>
      <c r="M381" s="326">
        <v>2017</v>
      </c>
      <c r="N381" s="326">
        <v>2018</v>
      </c>
      <c r="O381" s="326">
        <v>2019</v>
      </c>
      <c r="T381" s="338" t="s">
        <v>442</v>
      </c>
      <c r="U381" s="338">
        <f t="array" ref="U381:AF381">TRANSPOSE(Years)</f>
        <v>2008</v>
      </c>
      <c r="V381" s="338">
        <v>2009</v>
      </c>
      <c r="W381" s="338">
        <v>2010</v>
      </c>
      <c r="X381" s="338">
        <v>2011</v>
      </c>
      <c r="Y381" s="338">
        <v>2012</v>
      </c>
      <c r="Z381" s="338">
        <v>2013</v>
      </c>
      <c r="AA381" s="338">
        <v>2014</v>
      </c>
      <c r="AB381" s="338">
        <v>2015</v>
      </c>
      <c r="AC381" s="338">
        <v>2016</v>
      </c>
      <c r="AD381" s="338">
        <v>2017</v>
      </c>
      <c r="AE381" s="338">
        <v>2018</v>
      </c>
      <c r="AF381" s="338">
        <v>2019</v>
      </c>
      <c r="AK381" s="338" t="s">
        <v>442</v>
      </c>
      <c r="AL381" s="338">
        <f t="array" ref="AL381:AW381">TRANSPOSE(Years)</f>
        <v>2008</v>
      </c>
      <c r="AM381" s="338">
        <v>2009</v>
      </c>
      <c r="AN381" s="338">
        <v>2010</v>
      </c>
      <c r="AO381" s="338">
        <v>2011</v>
      </c>
      <c r="AP381" s="338">
        <v>2012</v>
      </c>
      <c r="AQ381" s="338">
        <v>2013</v>
      </c>
      <c r="AR381" s="338">
        <v>2014</v>
      </c>
      <c r="AS381" s="338">
        <v>2015</v>
      </c>
      <c r="AT381" s="338">
        <v>2016</v>
      </c>
      <c r="AU381" s="338">
        <v>2017</v>
      </c>
      <c r="AV381" s="338">
        <v>2018</v>
      </c>
      <c r="AW381" s="338">
        <v>2019</v>
      </c>
    </row>
    <row r="382" spans="3:53" s="299" customFormat="1">
      <c r="C382" s="310" t="str">
        <f t="array" ref="C382:C419">LL.list</f>
        <v>64 kbps</v>
      </c>
      <c r="E382" s="335">
        <f t="array" ref="E382:J419">National.LL.above.805.km.2009.2014.retail</f>
        <v>52.91</v>
      </c>
      <c r="F382" s="335">
        <v>34.349999999999994</v>
      </c>
      <c r="G382" s="335">
        <v>26.08</v>
      </c>
      <c r="H382" s="335">
        <v>25.299999999999997</v>
      </c>
      <c r="I382" s="335">
        <v>22.990000000000002</v>
      </c>
      <c r="J382" s="335">
        <v>20.240000000000002</v>
      </c>
      <c r="K382" s="473"/>
      <c r="L382" s="473"/>
      <c r="M382" s="473"/>
      <c r="N382" s="473"/>
      <c r="O382" s="473"/>
      <c r="T382" s="310" t="str">
        <f t="array" ref="T382:T419">LL.list</f>
        <v>64 kbps</v>
      </c>
      <c r="V382" s="335">
        <f t="array" ref="V382:AA419">National.LL.above.805.km.2009.2014.wholesale</f>
        <v>53</v>
      </c>
      <c r="W382" s="335">
        <v>35</v>
      </c>
      <c r="X382" s="335">
        <v>28</v>
      </c>
      <c r="Y382" s="335">
        <v>26</v>
      </c>
      <c r="Z382" s="335">
        <v>24</v>
      </c>
      <c r="AA382" s="335">
        <v>22</v>
      </c>
      <c r="AB382" s="473"/>
      <c r="AC382" s="473"/>
      <c r="AD382" s="473"/>
      <c r="AE382" s="473"/>
      <c r="AF382" s="473"/>
      <c r="AK382" s="310" t="str">
        <f t="array" ref="AK382:AK419">LL.list</f>
        <v>64 kbps</v>
      </c>
      <c r="AM382" s="335">
        <f t="array" ref="AM382:AR419">National.LL.above.805.km.2009.2014.total</f>
        <v>105.91</v>
      </c>
      <c r="AN382" s="335">
        <v>69.349999999999994</v>
      </c>
      <c r="AO382" s="335">
        <v>54.08</v>
      </c>
      <c r="AP382" s="335">
        <v>51.3</v>
      </c>
      <c r="AQ382" s="335">
        <v>46.99</v>
      </c>
      <c r="AR382" s="335">
        <v>42.24</v>
      </c>
      <c r="AS382" s="473"/>
      <c r="AT382" s="473"/>
      <c r="AU382" s="473"/>
      <c r="AV382" s="473"/>
      <c r="AW382" s="473"/>
    </row>
    <row r="383" spans="3:53" s="299" customFormat="1">
      <c r="C383" s="310" t="str">
        <v>128 kbps</v>
      </c>
      <c r="E383" s="335">
        <v>10.75</v>
      </c>
      <c r="F383" s="335">
        <v>7.379999999999999</v>
      </c>
      <c r="G383" s="335">
        <v>7.5399999999999991</v>
      </c>
      <c r="H383" s="335">
        <v>9.16</v>
      </c>
      <c r="I383" s="335">
        <v>10.32</v>
      </c>
      <c r="J383" s="335">
        <v>15.25</v>
      </c>
      <c r="K383" s="473"/>
      <c r="L383" s="473"/>
      <c r="M383" s="473"/>
      <c r="N383" s="473"/>
      <c r="O383" s="473"/>
      <c r="T383" s="310" t="str">
        <v>128 kbps</v>
      </c>
      <c r="V383" s="335">
        <v>11</v>
      </c>
      <c r="W383" s="335">
        <v>9</v>
      </c>
      <c r="X383" s="335">
        <v>8</v>
      </c>
      <c r="Y383" s="335">
        <v>11</v>
      </c>
      <c r="Z383" s="335">
        <v>11</v>
      </c>
      <c r="AA383" s="335">
        <v>17</v>
      </c>
      <c r="AB383" s="473"/>
      <c r="AC383" s="473"/>
      <c r="AD383" s="473"/>
      <c r="AE383" s="473"/>
      <c r="AF383" s="473"/>
      <c r="AK383" s="310" t="str">
        <v>128 kbps</v>
      </c>
      <c r="AM383" s="335">
        <v>21.75</v>
      </c>
      <c r="AN383" s="335">
        <v>16.38</v>
      </c>
      <c r="AO383" s="335">
        <v>15.54</v>
      </c>
      <c r="AP383" s="335">
        <v>20.16</v>
      </c>
      <c r="AQ383" s="335">
        <v>21.32</v>
      </c>
      <c r="AR383" s="335">
        <v>32.25</v>
      </c>
      <c r="AS383" s="473"/>
      <c r="AT383" s="473"/>
      <c r="AU383" s="473"/>
      <c r="AV383" s="473"/>
      <c r="AW383" s="473"/>
    </row>
    <row r="384" spans="3:53" s="299" customFormat="1">
      <c r="C384" s="310" t="str">
        <v>192 kbps</v>
      </c>
      <c r="E384" s="335">
        <v>11.43</v>
      </c>
      <c r="F384" s="335">
        <v>11.559999999999999</v>
      </c>
      <c r="G384" s="335">
        <v>17.479999999999997</v>
      </c>
      <c r="H384" s="335">
        <v>18.759999999999998</v>
      </c>
      <c r="I384" s="335">
        <v>13.080000000000002</v>
      </c>
      <c r="J384" s="335">
        <v>15.68</v>
      </c>
      <c r="K384" s="473"/>
      <c r="L384" s="473"/>
      <c r="M384" s="473"/>
      <c r="N384" s="473"/>
      <c r="O384" s="473"/>
      <c r="T384" s="310" t="str">
        <v>192 kbps</v>
      </c>
      <c r="V384" s="335">
        <v>12</v>
      </c>
      <c r="W384" s="335">
        <v>12</v>
      </c>
      <c r="X384" s="335">
        <v>19</v>
      </c>
      <c r="Y384" s="335">
        <v>20</v>
      </c>
      <c r="Z384" s="335">
        <v>15</v>
      </c>
      <c r="AA384" s="335">
        <v>16</v>
      </c>
      <c r="AB384" s="473"/>
      <c r="AC384" s="473"/>
      <c r="AD384" s="473"/>
      <c r="AE384" s="473"/>
      <c r="AF384" s="473"/>
      <c r="AK384" s="310" t="str">
        <v>192 kbps</v>
      </c>
      <c r="AM384" s="335">
        <v>23.43</v>
      </c>
      <c r="AN384" s="335">
        <v>23.56</v>
      </c>
      <c r="AO384" s="335">
        <v>36.479999999999997</v>
      </c>
      <c r="AP384" s="335">
        <v>38.76</v>
      </c>
      <c r="AQ384" s="335">
        <v>28.080000000000002</v>
      </c>
      <c r="AR384" s="335">
        <v>31.68</v>
      </c>
      <c r="AS384" s="473"/>
      <c r="AT384" s="473"/>
      <c r="AU384" s="473"/>
      <c r="AV384" s="473"/>
      <c r="AW384" s="473"/>
    </row>
    <row r="385" spans="3:49" s="299" customFormat="1">
      <c r="C385" s="310" t="str">
        <v>256 kbps</v>
      </c>
      <c r="E385" s="335">
        <v>10</v>
      </c>
      <c r="F385" s="335">
        <v>7.34</v>
      </c>
      <c r="G385" s="335">
        <v>6.5600000000000005</v>
      </c>
      <c r="H385" s="335">
        <v>8.1499999999999986</v>
      </c>
      <c r="I385" s="335">
        <v>4.4499999999999993</v>
      </c>
      <c r="J385" s="335">
        <v>4.99</v>
      </c>
      <c r="K385" s="473"/>
      <c r="L385" s="473"/>
      <c r="M385" s="473"/>
      <c r="N385" s="473"/>
      <c r="O385" s="473"/>
      <c r="T385" s="310" t="str">
        <v>256 kbps</v>
      </c>
      <c r="V385" s="335">
        <v>11</v>
      </c>
      <c r="W385" s="335">
        <v>9</v>
      </c>
      <c r="X385" s="335">
        <v>8</v>
      </c>
      <c r="Y385" s="335">
        <v>10</v>
      </c>
      <c r="Z385" s="335">
        <v>6</v>
      </c>
      <c r="AA385" s="335">
        <v>5</v>
      </c>
      <c r="AB385" s="473"/>
      <c r="AC385" s="473"/>
      <c r="AD385" s="473"/>
      <c r="AE385" s="473"/>
      <c r="AF385" s="473"/>
      <c r="AK385" s="310" t="str">
        <v>256 kbps</v>
      </c>
      <c r="AM385" s="335">
        <v>21</v>
      </c>
      <c r="AN385" s="335">
        <v>16.34</v>
      </c>
      <c r="AO385" s="335">
        <v>14.56</v>
      </c>
      <c r="AP385" s="335">
        <v>18.149999999999999</v>
      </c>
      <c r="AQ385" s="335">
        <v>10.45</v>
      </c>
      <c r="AR385" s="335">
        <v>9.99</v>
      </c>
      <c r="AS385" s="473"/>
      <c r="AT385" s="473"/>
      <c r="AU385" s="473"/>
      <c r="AV385" s="473"/>
      <c r="AW385" s="473"/>
    </row>
    <row r="386" spans="3:49" s="299" customFormat="1">
      <c r="C386" s="310" t="str">
        <v>384 kbps</v>
      </c>
      <c r="E386" s="335">
        <v>2</v>
      </c>
      <c r="F386" s="335">
        <v>0.56000000000000005</v>
      </c>
      <c r="G386" s="335">
        <v>0.74</v>
      </c>
      <c r="H386" s="335">
        <v>-6.0000000000000053E-2</v>
      </c>
      <c r="I386" s="335">
        <v>-0.17000000000000004</v>
      </c>
      <c r="J386" s="335">
        <v>0.1100000000000001</v>
      </c>
      <c r="K386" s="473"/>
      <c r="L386" s="473"/>
      <c r="M386" s="473"/>
      <c r="N386" s="473"/>
      <c r="O386" s="473"/>
      <c r="T386" s="310" t="str">
        <v>384 kbps</v>
      </c>
      <c r="V386" s="335">
        <v>3</v>
      </c>
      <c r="W386" s="335">
        <v>2</v>
      </c>
      <c r="X386" s="335">
        <v>1</v>
      </c>
      <c r="Y386" s="335">
        <v>1</v>
      </c>
      <c r="Z386" s="335">
        <v>1</v>
      </c>
      <c r="AA386" s="335">
        <v>1</v>
      </c>
      <c r="AB386" s="473"/>
      <c r="AC386" s="473"/>
      <c r="AD386" s="473"/>
      <c r="AE386" s="473"/>
      <c r="AF386" s="473"/>
      <c r="AK386" s="310" t="str">
        <v>384 kbps</v>
      </c>
      <c r="AM386" s="335">
        <v>5</v>
      </c>
      <c r="AN386" s="335">
        <v>2.56</v>
      </c>
      <c r="AO386" s="335">
        <v>1.74</v>
      </c>
      <c r="AP386" s="335">
        <v>0.94</v>
      </c>
      <c r="AQ386" s="335">
        <v>0.83</v>
      </c>
      <c r="AR386" s="335">
        <v>1.1100000000000001</v>
      </c>
      <c r="AS386" s="473"/>
      <c r="AT386" s="473"/>
      <c r="AU386" s="473"/>
      <c r="AV386" s="473"/>
      <c r="AW386" s="473"/>
    </row>
    <row r="387" spans="3:49" s="299" customFormat="1">
      <c r="C387" s="310" t="str">
        <v>512 kbps</v>
      </c>
      <c r="E387" s="335">
        <v>1.6000000000000005</v>
      </c>
      <c r="F387" s="335">
        <v>1.69</v>
      </c>
      <c r="G387" s="335">
        <v>0.25999999999999979</v>
      </c>
      <c r="H387" s="335">
        <v>0.22999999999999998</v>
      </c>
      <c r="I387" s="335">
        <v>0.1100000000000001</v>
      </c>
      <c r="J387" s="335">
        <v>0.56000000000000005</v>
      </c>
      <c r="K387" s="473"/>
      <c r="L387" s="473"/>
      <c r="M387" s="473"/>
      <c r="N387" s="473"/>
      <c r="O387" s="473"/>
      <c r="T387" s="310" t="str">
        <v>512 kbps</v>
      </c>
      <c r="V387" s="335">
        <v>3</v>
      </c>
      <c r="W387" s="335">
        <v>2</v>
      </c>
      <c r="X387" s="335">
        <v>2</v>
      </c>
      <c r="Y387" s="335">
        <v>1</v>
      </c>
      <c r="Z387" s="335">
        <v>1</v>
      </c>
      <c r="AA387" s="335">
        <v>1</v>
      </c>
      <c r="AB387" s="473"/>
      <c r="AC387" s="473"/>
      <c r="AD387" s="473"/>
      <c r="AE387" s="473"/>
      <c r="AF387" s="473"/>
      <c r="AK387" s="310" t="str">
        <v>512 kbps</v>
      </c>
      <c r="AM387" s="335">
        <v>4.6000000000000005</v>
      </c>
      <c r="AN387" s="335">
        <v>3.69</v>
      </c>
      <c r="AO387" s="335">
        <v>2.2599999999999998</v>
      </c>
      <c r="AP387" s="335">
        <v>1.23</v>
      </c>
      <c r="AQ387" s="335">
        <v>1.1100000000000001</v>
      </c>
      <c r="AR387" s="335">
        <v>1.56</v>
      </c>
      <c r="AS387" s="473"/>
      <c r="AT387" s="473"/>
      <c r="AU387" s="473"/>
      <c r="AV387" s="473"/>
      <c r="AW387" s="473"/>
    </row>
    <row r="388" spans="3:49" s="299" customFormat="1">
      <c r="C388" s="310" t="str">
        <v>768 kbps</v>
      </c>
      <c r="E388" s="335">
        <v>-0.16000000000000003</v>
      </c>
      <c r="F388" s="335">
        <v>0.24</v>
      </c>
      <c r="G388" s="335">
        <v>-0.24</v>
      </c>
      <c r="H388" s="335">
        <v>8.0000000000000071E-2</v>
      </c>
      <c r="I388" s="335">
        <v>0.28000000000000003</v>
      </c>
      <c r="J388" s="335">
        <v>2.0000000000000018E-2</v>
      </c>
      <c r="K388" s="473"/>
      <c r="L388" s="473"/>
      <c r="M388" s="473"/>
      <c r="N388" s="473"/>
      <c r="O388" s="473"/>
      <c r="T388" s="310" t="str">
        <v>768 kbps</v>
      </c>
      <c r="V388" s="335">
        <v>1</v>
      </c>
      <c r="W388" s="335">
        <v>1</v>
      </c>
      <c r="X388" s="335">
        <v>1</v>
      </c>
      <c r="Y388" s="335">
        <v>1</v>
      </c>
      <c r="Z388" s="335">
        <v>1</v>
      </c>
      <c r="AA388" s="335">
        <v>1</v>
      </c>
      <c r="AB388" s="473"/>
      <c r="AC388" s="473"/>
      <c r="AD388" s="473"/>
      <c r="AE388" s="473"/>
      <c r="AF388" s="473"/>
      <c r="AK388" s="310" t="str">
        <v>768 kbps</v>
      </c>
      <c r="AM388" s="335">
        <v>0.84</v>
      </c>
      <c r="AN388" s="335">
        <v>1.24</v>
      </c>
      <c r="AO388" s="335">
        <v>0.76</v>
      </c>
      <c r="AP388" s="335">
        <v>1.08</v>
      </c>
      <c r="AQ388" s="335">
        <v>1.28</v>
      </c>
      <c r="AR388" s="335">
        <v>1.02</v>
      </c>
      <c r="AS388" s="473"/>
      <c r="AT388" s="473"/>
      <c r="AU388" s="473"/>
      <c r="AV388" s="473"/>
      <c r="AW388" s="473"/>
    </row>
    <row r="389" spans="3:49" s="299" customFormat="1">
      <c r="C389" s="310" t="str">
        <v>1024 kbps</v>
      </c>
      <c r="E389" s="335">
        <v>2.2400000000000002</v>
      </c>
      <c r="F389" s="335">
        <v>0.43999999999999995</v>
      </c>
      <c r="G389" s="335">
        <v>0.5</v>
      </c>
      <c r="H389" s="335">
        <v>0.60000000000000009</v>
      </c>
      <c r="I389" s="335">
        <v>0.12000000000000011</v>
      </c>
      <c r="J389" s="335">
        <v>-4.0000000000000036E-2</v>
      </c>
      <c r="K389" s="473"/>
      <c r="L389" s="473"/>
      <c r="M389" s="473"/>
      <c r="N389" s="473"/>
      <c r="O389" s="473"/>
      <c r="T389" s="310" t="str">
        <v>1024 kbps</v>
      </c>
      <c r="V389" s="335">
        <v>4</v>
      </c>
      <c r="W389" s="335">
        <v>1</v>
      </c>
      <c r="X389" s="335">
        <v>2</v>
      </c>
      <c r="Y389" s="335">
        <v>1</v>
      </c>
      <c r="Z389" s="335">
        <v>1</v>
      </c>
      <c r="AA389" s="335">
        <v>1</v>
      </c>
      <c r="AB389" s="473"/>
      <c r="AC389" s="473"/>
      <c r="AD389" s="473"/>
      <c r="AE389" s="473"/>
      <c r="AF389" s="473"/>
      <c r="AK389" s="310" t="str">
        <v>1024 kbps</v>
      </c>
      <c r="AM389" s="335">
        <v>6.24</v>
      </c>
      <c r="AN389" s="335">
        <v>1.44</v>
      </c>
      <c r="AO389" s="335">
        <v>2.5</v>
      </c>
      <c r="AP389" s="335">
        <v>1.6</v>
      </c>
      <c r="AQ389" s="335">
        <v>1.1200000000000001</v>
      </c>
      <c r="AR389" s="335">
        <v>0.96</v>
      </c>
      <c r="AS389" s="473"/>
      <c r="AT389" s="473"/>
      <c r="AU389" s="473"/>
      <c r="AV389" s="473"/>
      <c r="AW389" s="473"/>
    </row>
    <row r="390" spans="3:49" s="299" customFormat="1">
      <c r="C390" s="331" t="str">
        <v>E1 (2.04 Mbps)</v>
      </c>
      <c r="E390" s="335">
        <v>17.119999999999997</v>
      </c>
      <c r="F390" s="335">
        <v>17.880000000000003</v>
      </c>
      <c r="G390" s="335">
        <v>15</v>
      </c>
      <c r="H390" s="335">
        <v>11.48</v>
      </c>
      <c r="I390" s="335">
        <v>8.1900000000000013</v>
      </c>
      <c r="J390" s="335">
        <v>7.1999999999999993</v>
      </c>
      <c r="K390" s="473"/>
      <c r="L390" s="473"/>
      <c r="M390" s="473"/>
      <c r="N390" s="473"/>
      <c r="O390" s="473"/>
      <c r="T390" s="331" t="str">
        <v>E1 (2.04 Mbps)</v>
      </c>
      <c r="V390" s="335">
        <v>19</v>
      </c>
      <c r="W390" s="335">
        <v>18</v>
      </c>
      <c r="X390" s="335">
        <v>15</v>
      </c>
      <c r="Y390" s="335">
        <v>13</v>
      </c>
      <c r="Z390" s="335">
        <v>10</v>
      </c>
      <c r="AA390" s="335">
        <v>8</v>
      </c>
      <c r="AB390" s="473"/>
      <c r="AC390" s="473"/>
      <c r="AD390" s="473"/>
      <c r="AE390" s="473"/>
      <c r="AF390" s="473"/>
      <c r="AK390" s="331" t="str">
        <v>E1 (2.04 Mbps)</v>
      </c>
      <c r="AM390" s="335">
        <v>36.119999999999997</v>
      </c>
      <c r="AN390" s="335">
        <v>35.880000000000003</v>
      </c>
      <c r="AO390" s="335">
        <v>30</v>
      </c>
      <c r="AP390" s="335">
        <v>24.48</v>
      </c>
      <c r="AQ390" s="335">
        <v>18.190000000000001</v>
      </c>
      <c r="AR390" s="335">
        <v>15.2</v>
      </c>
      <c r="AS390" s="473"/>
      <c r="AT390" s="473"/>
      <c r="AU390" s="473"/>
      <c r="AV390" s="473"/>
      <c r="AW390" s="473"/>
    </row>
    <row r="391" spans="3:49" s="299" customFormat="1">
      <c r="C391" s="331" t="str">
        <v>E2 *</v>
      </c>
      <c r="E391" s="335">
        <v>0</v>
      </c>
      <c r="F391" s="335">
        <v>0</v>
      </c>
      <c r="G391" s="335">
        <v>0</v>
      </c>
      <c r="H391" s="335">
        <v>0</v>
      </c>
      <c r="I391" s="335">
        <v>0</v>
      </c>
      <c r="J391" s="335">
        <v>0</v>
      </c>
      <c r="K391" s="473"/>
      <c r="L391" s="473"/>
      <c r="M391" s="473"/>
      <c r="N391" s="473"/>
      <c r="O391" s="473"/>
      <c r="T391" s="331" t="str">
        <v>E2 *</v>
      </c>
      <c r="V391" s="335">
        <v>0</v>
      </c>
      <c r="W391" s="335">
        <v>0</v>
      </c>
      <c r="X391" s="335">
        <v>0</v>
      </c>
      <c r="Y391" s="335">
        <v>0</v>
      </c>
      <c r="Z391" s="335">
        <v>0</v>
      </c>
      <c r="AA391" s="335">
        <v>0</v>
      </c>
      <c r="AB391" s="473"/>
      <c r="AC391" s="473"/>
      <c r="AD391" s="473"/>
      <c r="AE391" s="473"/>
      <c r="AF391" s="473"/>
      <c r="AK391" s="331" t="str">
        <v>E2 *</v>
      </c>
      <c r="AM391" s="335">
        <v>0</v>
      </c>
      <c r="AN391" s="335">
        <v>0</v>
      </c>
      <c r="AO391" s="335">
        <v>0</v>
      </c>
      <c r="AP391" s="335">
        <v>0</v>
      </c>
      <c r="AQ391" s="335">
        <v>0</v>
      </c>
      <c r="AR391" s="335">
        <v>0</v>
      </c>
      <c r="AS391" s="473"/>
      <c r="AT391" s="473"/>
      <c r="AU391" s="473"/>
      <c r="AV391" s="473"/>
      <c r="AW391" s="473"/>
    </row>
    <row r="392" spans="3:49" s="299" customFormat="1">
      <c r="C392" s="331" t="str">
        <v>E3 (34 Mbps)</v>
      </c>
      <c r="E392" s="335">
        <v>0.70000000000000018</v>
      </c>
      <c r="F392" s="335">
        <v>0.58000000000000007</v>
      </c>
      <c r="G392" s="335">
        <v>-7.999999999999996E-2</v>
      </c>
      <c r="H392" s="335">
        <v>6.0000000000000053E-2</v>
      </c>
      <c r="I392" s="335">
        <v>0.10000000000000009</v>
      </c>
      <c r="J392" s="335">
        <v>-0.17000000000000004</v>
      </c>
      <c r="K392" s="473"/>
      <c r="L392" s="473"/>
      <c r="M392" s="473"/>
      <c r="N392" s="473"/>
      <c r="O392" s="473"/>
      <c r="T392" s="331" t="str">
        <v>E3 (34 Mbps)</v>
      </c>
      <c r="V392" s="335">
        <v>2</v>
      </c>
      <c r="W392" s="335">
        <v>2</v>
      </c>
      <c r="X392" s="335">
        <v>1</v>
      </c>
      <c r="Y392" s="335">
        <v>1</v>
      </c>
      <c r="Z392" s="335">
        <v>1</v>
      </c>
      <c r="AA392" s="335">
        <v>1</v>
      </c>
      <c r="AB392" s="473"/>
      <c r="AC392" s="473"/>
      <c r="AD392" s="473"/>
      <c r="AE392" s="473"/>
      <c r="AF392" s="473"/>
      <c r="AK392" s="331" t="str">
        <v>E3 (34 Mbps)</v>
      </c>
      <c r="AM392" s="335">
        <v>2.7</v>
      </c>
      <c r="AN392" s="335">
        <v>2.58</v>
      </c>
      <c r="AO392" s="335">
        <v>0.92</v>
      </c>
      <c r="AP392" s="335">
        <v>1.06</v>
      </c>
      <c r="AQ392" s="335">
        <v>1.1000000000000001</v>
      </c>
      <c r="AR392" s="335">
        <v>0.83</v>
      </c>
      <c r="AS392" s="473"/>
      <c r="AT392" s="473"/>
      <c r="AU392" s="473"/>
      <c r="AV392" s="473"/>
      <c r="AW392" s="473"/>
    </row>
    <row r="393" spans="3:49" s="299" customFormat="1">
      <c r="C393" s="331" t="str">
        <v>STM-1 (155 Mbps)</v>
      </c>
      <c r="E393" s="335">
        <v>0</v>
      </c>
      <c r="F393" s="335">
        <v>0</v>
      </c>
      <c r="G393" s="335">
        <v>0</v>
      </c>
      <c r="H393" s="335">
        <v>0</v>
      </c>
      <c r="I393" s="335">
        <v>0</v>
      </c>
      <c r="J393" s="335">
        <v>0</v>
      </c>
      <c r="K393" s="473"/>
      <c r="L393" s="473"/>
      <c r="M393" s="473"/>
      <c r="N393" s="473"/>
      <c r="O393" s="473"/>
      <c r="T393" s="331" t="str">
        <v>STM-1 (155 Mbps)</v>
      </c>
      <c r="V393" s="335">
        <v>0</v>
      </c>
      <c r="W393" s="335">
        <v>0</v>
      </c>
      <c r="X393" s="335">
        <v>0</v>
      </c>
      <c r="Y393" s="335">
        <v>0</v>
      </c>
      <c r="Z393" s="335">
        <v>0</v>
      </c>
      <c r="AA393" s="335">
        <v>0</v>
      </c>
      <c r="AB393" s="473"/>
      <c r="AC393" s="473"/>
      <c r="AD393" s="473"/>
      <c r="AE393" s="473"/>
      <c r="AF393" s="473"/>
      <c r="AK393" s="331" t="str">
        <v>STM-1 (155 Mbps)</v>
      </c>
      <c r="AM393" s="335">
        <v>0</v>
      </c>
      <c r="AN393" s="335">
        <v>0</v>
      </c>
      <c r="AO393" s="335">
        <v>0</v>
      </c>
      <c r="AP393" s="335">
        <v>0</v>
      </c>
      <c r="AQ393" s="335">
        <v>0</v>
      </c>
      <c r="AR393" s="335">
        <v>0</v>
      </c>
      <c r="AS393" s="473"/>
      <c r="AT393" s="473"/>
      <c r="AU393" s="473"/>
      <c r="AV393" s="473"/>
      <c r="AW393" s="473"/>
    </row>
    <row r="394" spans="3:49" s="299" customFormat="1">
      <c r="C394" s="310" t="str">
        <v>STM-4 (622.08 Mbps)</v>
      </c>
      <c r="E394" s="335">
        <v>0</v>
      </c>
      <c r="F394" s="335">
        <v>0</v>
      </c>
      <c r="G394" s="335">
        <v>0</v>
      </c>
      <c r="H394" s="335">
        <v>0</v>
      </c>
      <c r="I394" s="335">
        <v>0</v>
      </c>
      <c r="J394" s="335">
        <v>0</v>
      </c>
      <c r="K394" s="473"/>
      <c r="L394" s="473"/>
      <c r="M394" s="473"/>
      <c r="N394" s="473"/>
      <c r="O394" s="473"/>
      <c r="T394" s="310" t="str">
        <v>STM-4 (622.08 Mbps)</v>
      </c>
      <c r="V394" s="335">
        <v>0</v>
      </c>
      <c r="W394" s="335">
        <v>0</v>
      </c>
      <c r="X394" s="335">
        <v>0</v>
      </c>
      <c r="Y394" s="335">
        <v>0</v>
      </c>
      <c r="Z394" s="335">
        <v>0</v>
      </c>
      <c r="AA394" s="335">
        <v>0</v>
      </c>
      <c r="AB394" s="473"/>
      <c r="AC394" s="473"/>
      <c r="AD394" s="473"/>
      <c r="AE394" s="473"/>
      <c r="AF394" s="473"/>
      <c r="AK394" s="310" t="str">
        <v>STM-4 (622.08 Mbps)</v>
      </c>
      <c r="AM394" s="335">
        <v>0</v>
      </c>
      <c r="AN394" s="335">
        <v>0</v>
      </c>
      <c r="AO394" s="335">
        <v>0</v>
      </c>
      <c r="AP394" s="335">
        <v>0</v>
      </c>
      <c r="AQ394" s="335">
        <v>0</v>
      </c>
      <c r="AR394" s="335">
        <v>0</v>
      </c>
      <c r="AS394" s="473"/>
      <c r="AT394" s="473"/>
      <c r="AU394" s="473"/>
      <c r="AV394" s="473"/>
      <c r="AW394" s="473"/>
    </row>
    <row r="395" spans="3:49" s="299" customFormat="1">
      <c r="C395" s="310" t="str">
        <v>STM-16 (2488.32Mbps)</v>
      </c>
      <c r="E395" s="335">
        <v>0</v>
      </c>
      <c r="F395" s="335">
        <v>0</v>
      </c>
      <c r="G395" s="335">
        <v>0</v>
      </c>
      <c r="H395" s="335">
        <v>0</v>
      </c>
      <c r="I395" s="335">
        <v>0</v>
      </c>
      <c r="J395" s="335">
        <v>0</v>
      </c>
      <c r="K395" s="473"/>
      <c r="L395" s="473"/>
      <c r="M395" s="473"/>
      <c r="N395" s="473"/>
      <c r="O395" s="473"/>
      <c r="T395" s="310" t="str">
        <v>STM-16 (2488.32Mbps)</v>
      </c>
      <c r="V395" s="335">
        <v>0</v>
      </c>
      <c r="W395" s="335">
        <v>0</v>
      </c>
      <c r="X395" s="335">
        <v>0</v>
      </c>
      <c r="Y395" s="335">
        <v>0</v>
      </c>
      <c r="Z395" s="335">
        <v>0</v>
      </c>
      <c r="AA395" s="335">
        <v>0</v>
      </c>
      <c r="AB395" s="473"/>
      <c r="AC395" s="473"/>
      <c r="AD395" s="473"/>
      <c r="AE395" s="473"/>
      <c r="AF395" s="473"/>
      <c r="AK395" s="310" t="str">
        <v>STM-16 (2488.32Mbps)</v>
      </c>
      <c r="AM395" s="335">
        <v>0</v>
      </c>
      <c r="AN395" s="335">
        <v>0</v>
      </c>
      <c r="AO395" s="335">
        <v>0</v>
      </c>
      <c r="AP395" s="335">
        <v>0</v>
      </c>
      <c r="AQ395" s="335">
        <v>0</v>
      </c>
      <c r="AR395" s="335">
        <v>0</v>
      </c>
      <c r="AS395" s="473"/>
      <c r="AT395" s="473"/>
      <c r="AU395" s="473"/>
      <c r="AV395" s="473"/>
      <c r="AW395" s="473"/>
    </row>
    <row r="396" spans="3:49" s="299" customFormat="1">
      <c r="C396" s="310" t="str">
        <v>STM-64 (9953.28Mbps)</v>
      </c>
      <c r="E396" s="335">
        <v>0</v>
      </c>
      <c r="F396" s="335">
        <v>0</v>
      </c>
      <c r="G396" s="335">
        <v>0</v>
      </c>
      <c r="H396" s="335">
        <v>0</v>
      </c>
      <c r="I396" s="335">
        <v>0</v>
      </c>
      <c r="J396" s="335">
        <v>0</v>
      </c>
      <c r="K396" s="473"/>
      <c r="L396" s="473"/>
      <c r="M396" s="473"/>
      <c r="N396" s="473"/>
      <c r="O396" s="473"/>
      <c r="T396" s="310" t="str">
        <v>STM-64 (9953.28Mbps)</v>
      </c>
      <c r="V396" s="335">
        <v>0</v>
      </c>
      <c r="W396" s="335">
        <v>0</v>
      </c>
      <c r="X396" s="335">
        <v>0</v>
      </c>
      <c r="Y396" s="335">
        <v>0</v>
      </c>
      <c r="Z396" s="335">
        <v>0</v>
      </c>
      <c r="AA396" s="335">
        <v>0</v>
      </c>
      <c r="AB396" s="473"/>
      <c r="AC396" s="473"/>
      <c r="AD396" s="473"/>
      <c r="AE396" s="473"/>
      <c r="AF396" s="473"/>
      <c r="AK396" s="310" t="str">
        <v>STM-64 (9953.28Mbps)</v>
      </c>
      <c r="AM396" s="335">
        <v>0</v>
      </c>
      <c r="AN396" s="335">
        <v>0</v>
      </c>
      <c r="AO396" s="335">
        <v>0</v>
      </c>
      <c r="AP396" s="335">
        <v>0</v>
      </c>
      <c r="AQ396" s="335">
        <v>0</v>
      </c>
      <c r="AR396" s="335">
        <v>0</v>
      </c>
      <c r="AS396" s="473"/>
      <c r="AT396" s="473"/>
      <c r="AU396" s="473"/>
      <c r="AV396" s="473"/>
      <c r="AW396" s="473"/>
    </row>
    <row r="397" spans="3:49" s="299" customFormat="1">
      <c r="C397" s="310" t="str">
        <v>STM-256 (39813.12 Mbps)*</v>
      </c>
      <c r="E397" s="335">
        <v>0</v>
      </c>
      <c r="F397" s="335">
        <v>0</v>
      </c>
      <c r="G397" s="335">
        <v>0</v>
      </c>
      <c r="H397" s="335">
        <v>0</v>
      </c>
      <c r="I397" s="335">
        <v>0</v>
      </c>
      <c r="J397" s="335">
        <v>0</v>
      </c>
      <c r="K397" s="473"/>
      <c r="L397" s="473"/>
      <c r="M397" s="473"/>
      <c r="N397" s="473"/>
      <c r="O397" s="473"/>
      <c r="T397" s="310" t="str">
        <v>STM-256 (39813.12 Mbps)*</v>
      </c>
      <c r="V397" s="335">
        <v>0</v>
      </c>
      <c r="W397" s="335">
        <v>0</v>
      </c>
      <c r="X397" s="335">
        <v>0</v>
      </c>
      <c r="Y397" s="335">
        <v>0</v>
      </c>
      <c r="Z397" s="335">
        <v>0</v>
      </c>
      <c r="AA397" s="335">
        <v>0</v>
      </c>
      <c r="AB397" s="473"/>
      <c r="AC397" s="473"/>
      <c r="AD397" s="473"/>
      <c r="AE397" s="473"/>
      <c r="AF397" s="473"/>
      <c r="AK397" s="310" t="str">
        <v>STM-256 (39813.12 Mbps)*</v>
      </c>
      <c r="AM397" s="335">
        <v>0</v>
      </c>
      <c r="AN397" s="335">
        <v>0</v>
      </c>
      <c r="AO397" s="335">
        <v>0</v>
      </c>
      <c r="AP397" s="335">
        <v>0</v>
      </c>
      <c r="AQ397" s="335">
        <v>0</v>
      </c>
      <c r="AR397" s="335">
        <v>0</v>
      </c>
      <c r="AS397" s="473"/>
      <c r="AT397" s="473"/>
      <c r="AU397" s="473"/>
      <c r="AV397" s="473"/>
      <c r="AW397" s="473"/>
    </row>
    <row r="398" spans="3:49" s="299" customFormat="1">
      <c r="C398" s="310" t="str">
        <v>Ethernet (10Mbps)</v>
      </c>
      <c r="E398" s="335">
        <v>1.0000000000000009E-2</v>
      </c>
      <c r="F398" s="335">
        <v>0.10000000000000009</v>
      </c>
      <c r="G398" s="335">
        <v>1.6799999999999997</v>
      </c>
      <c r="H398" s="335">
        <v>0.5</v>
      </c>
      <c r="I398" s="335">
        <v>2.1500000000000004</v>
      </c>
      <c r="J398" s="335">
        <v>2.88</v>
      </c>
      <c r="K398" s="473"/>
      <c r="L398" s="473"/>
      <c r="M398" s="473"/>
      <c r="N398" s="473"/>
      <c r="O398" s="473"/>
      <c r="T398" s="310" t="str">
        <v>Ethernet (10Mbps)</v>
      </c>
      <c r="V398" s="335">
        <v>1</v>
      </c>
      <c r="W398" s="335">
        <v>2</v>
      </c>
      <c r="X398" s="335">
        <v>3</v>
      </c>
      <c r="Y398" s="335">
        <v>1</v>
      </c>
      <c r="Z398" s="335">
        <v>4</v>
      </c>
      <c r="AA398" s="335">
        <v>3</v>
      </c>
      <c r="AB398" s="473"/>
      <c r="AC398" s="473"/>
      <c r="AD398" s="473"/>
      <c r="AE398" s="473"/>
      <c r="AF398" s="473"/>
      <c r="AK398" s="310" t="str">
        <v>Ethernet (10Mbps)</v>
      </c>
      <c r="AM398" s="335">
        <v>1.01</v>
      </c>
      <c r="AN398" s="335">
        <v>2.1</v>
      </c>
      <c r="AO398" s="335">
        <v>4.68</v>
      </c>
      <c r="AP398" s="335">
        <v>1.5</v>
      </c>
      <c r="AQ398" s="335">
        <v>6.15</v>
      </c>
      <c r="AR398" s="335">
        <v>5.88</v>
      </c>
      <c r="AS398" s="473"/>
      <c r="AT398" s="473"/>
      <c r="AU398" s="473"/>
      <c r="AV398" s="473"/>
      <c r="AW398" s="473"/>
    </row>
    <row r="399" spans="3:49" s="299" customFormat="1">
      <c r="C399" s="310" t="str">
        <v>Ethernet (20Mbps)</v>
      </c>
      <c r="E399" s="335">
        <v>0</v>
      </c>
      <c r="F399" s="335">
        <v>0.45999999999999996</v>
      </c>
      <c r="G399" s="335">
        <v>0.48</v>
      </c>
      <c r="H399" s="335">
        <v>2.0499999999999998</v>
      </c>
      <c r="I399" s="335">
        <v>2</v>
      </c>
      <c r="J399" s="335">
        <v>2.4000000000000004</v>
      </c>
      <c r="K399" s="473"/>
      <c r="L399" s="473"/>
      <c r="M399" s="473"/>
      <c r="N399" s="473"/>
      <c r="O399" s="473"/>
      <c r="T399" s="310" t="str">
        <v>Ethernet (20Mbps)</v>
      </c>
      <c r="V399" s="335">
        <v>0</v>
      </c>
      <c r="W399" s="335">
        <v>1</v>
      </c>
      <c r="X399" s="335">
        <v>2</v>
      </c>
      <c r="Y399" s="335">
        <v>3</v>
      </c>
      <c r="Z399" s="335">
        <v>3</v>
      </c>
      <c r="AA399" s="335">
        <v>4</v>
      </c>
      <c r="AB399" s="473"/>
      <c r="AC399" s="473"/>
      <c r="AD399" s="473"/>
      <c r="AE399" s="473"/>
      <c r="AF399" s="473"/>
      <c r="AK399" s="310" t="str">
        <v>Ethernet (20Mbps)</v>
      </c>
      <c r="AM399" s="335">
        <v>0</v>
      </c>
      <c r="AN399" s="335">
        <v>1.46</v>
      </c>
      <c r="AO399" s="335">
        <v>2.48</v>
      </c>
      <c r="AP399" s="335">
        <v>5.05</v>
      </c>
      <c r="AQ399" s="335">
        <v>5</v>
      </c>
      <c r="AR399" s="335">
        <v>6.4</v>
      </c>
      <c r="AS399" s="473"/>
      <c r="AT399" s="473"/>
      <c r="AU399" s="473"/>
      <c r="AV399" s="473"/>
      <c r="AW399" s="473"/>
    </row>
    <row r="400" spans="3:49" s="299" customFormat="1">
      <c r="C400" s="310" t="str">
        <v>Ethernet (30Mbps)</v>
      </c>
      <c r="E400" s="335">
        <v>0</v>
      </c>
      <c r="F400" s="335">
        <v>0</v>
      </c>
      <c r="G400" s="335">
        <v>0</v>
      </c>
      <c r="H400" s="335">
        <v>0</v>
      </c>
      <c r="I400" s="335">
        <v>0</v>
      </c>
      <c r="J400" s="335">
        <v>0</v>
      </c>
      <c r="K400" s="473"/>
      <c r="L400" s="473"/>
      <c r="M400" s="473"/>
      <c r="N400" s="473"/>
      <c r="O400" s="473"/>
      <c r="T400" s="310" t="str">
        <v>Ethernet (30Mbps)</v>
      </c>
      <c r="V400" s="335">
        <v>0</v>
      </c>
      <c r="W400" s="335">
        <v>0</v>
      </c>
      <c r="X400" s="335">
        <v>0</v>
      </c>
      <c r="Y400" s="335">
        <v>0</v>
      </c>
      <c r="Z400" s="335">
        <v>0</v>
      </c>
      <c r="AA400" s="335">
        <v>0</v>
      </c>
      <c r="AB400" s="473"/>
      <c r="AC400" s="473"/>
      <c r="AD400" s="473"/>
      <c r="AE400" s="473"/>
      <c r="AF400" s="473"/>
      <c r="AK400" s="310" t="str">
        <v>Ethernet (30Mbps)</v>
      </c>
      <c r="AM400" s="335">
        <v>0</v>
      </c>
      <c r="AN400" s="335">
        <v>0</v>
      </c>
      <c r="AO400" s="335">
        <v>0</v>
      </c>
      <c r="AP400" s="335">
        <v>0</v>
      </c>
      <c r="AQ400" s="335">
        <v>0</v>
      </c>
      <c r="AR400" s="335">
        <v>0</v>
      </c>
      <c r="AS400" s="473"/>
      <c r="AT400" s="473"/>
      <c r="AU400" s="473"/>
      <c r="AV400" s="473"/>
      <c r="AW400" s="473"/>
    </row>
    <row r="401" spans="3:49" s="299" customFormat="1">
      <c r="C401" s="310" t="str">
        <v>Ethernet (40Mbps)</v>
      </c>
      <c r="E401" s="335">
        <v>0</v>
      </c>
      <c r="F401" s="335">
        <v>0</v>
      </c>
      <c r="G401" s="335">
        <v>0</v>
      </c>
      <c r="H401" s="335">
        <v>0</v>
      </c>
      <c r="I401" s="335">
        <v>0</v>
      </c>
      <c r="J401" s="335">
        <v>0</v>
      </c>
      <c r="K401" s="473"/>
      <c r="L401" s="473"/>
      <c r="M401" s="473"/>
      <c r="N401" s="473"/>
      <c r="O401" s="473"/>
      <c r="T401" s="310" t="str">
        <v>Ethernet (40Mbps)</v>
      </c>
      <c r="V401" s="335">
        <v>0</v>
      </c>
      <c r="W401" s="335">
        <v>0</v>
      </c>
      <c r="X401" s="335">
        <v>0</v>
      </c>
      <c r="Y401" s="335">
        <v>0</v>
      </c>
      <c r="Z401" s="335">
        <v>0</v>
      </c>
      <c r="AA401" s="335">
        <v>0</v>
      </c>
      <c r="AB401" s="473"/>
      <c r="AC401" s="473"/>
      <c r="AD401" s="473"/>
      <c r="AE401" s="473"/>
      <c r="AF401" s="473"/>
      <c r="AK401" s="310" t="str">
        <v>Ethernet (40Mbps)</v>
      </c>
      <c r="AM401" s="335">
        <v>0</v>
      </c>
      <c r="AN401" s="335">
        <v>0</v>
      </c>
      <c r="AO401" s="335">
        <v>0</v>
      </c>
      <c r="AP401" s="335">
        <v>0</v>
      </c>
      <c r="AQ401" s="335">
        <v>0</v>
      </c>
      <c r="AR401" s="335">
        <v>0</v>
      </c>
      <c r="AS401" s="473"/>
      <c r="AT401" s="473"/>
      <c r="AU401" s="473"/>
      <c r="AV401" s="473"/>
      <c r="AW401" s="473"/>
    </row>
    <row r="402" spans="3:49" s="299" customFormat="1">
      <c r="C402" s="310" t="str">
        <v>Ethernet (50Mbps)</v>
      </c>
      <c r="E402" s="335">
        <v>0</v>
      </c>
      <c r="F402" s="335">
        <v>0</v>
      </c>
      <c r="G402" s="335">
        <v>0</v>
      </c>
      <c r="H402" s="335">
        <v>0</v>
      </c>
      <c r="I402" s="335">
        <v>0</v>
      </c>
      <c r="J402" s="335">
        <v>0</v>
      </c>
      <c r="K402" s="473"/>
      <c r="L402" s="473"/>
      <c r="M402" s="473"/>
      <c r="N402" s="473"/>
      <c r="O402" s="473"/>
      <c r="T402" s="310" t="str">
        <v>Ethernet (50Mbps)</v>
      </c>
      <c r="V402" s="335">
        <v>0</v>
      </c>
      <c r="W402" s="335">
        <v>0</v>
      </c>
      <c r="X402" s="335">
        <v>0</v>
      </c>
      <c r="Y402" s="335">
        <v>0</v>
      </c>
      <c r="Z402" s="335">
        <v>0</v>
      </c>
      <c r="AA402" s="335">
        <v>0</v>
      </c>
      <c r="AB402" s="473"/>
      <c r="AC402" s="473"/>
      <c r="AD402" s="473"/>
      <c r="AE402" s="473"/>
      <c r="AF402" s="473"/>
      <c r="AK402" s="310" t="str">
        <v>Ethernet (50Mbps)</v>
      </c>
      <c r="AM402" s="335">
        <v>0</v>
      </c>
      <c r="AN402" s="335">
        <v>0</v>
      </c>
      <c r="AO402" s="335">
        <v>0</v>
      </c>
      <c r="AP402" s="335">
        <v>0</v>
      </c>
      <c r="AQ402" s="335">
        <v>0</v>
      </c>
      <c r="AR402" s="335">
        <v>0</v>
      </c>
      <c r="AS402" s="473"/>
      <c r="AT402" s="473"/>
      <c r="AU402" s="473"/>
      <c r="AV402" s="473"/>
      <c r="AW402" s="473"/>
    </row>
    <row r="403" spans="3:49" s="299" customFormat="1">
      <c r="C403" s="310" t="str">
        <v>Ethernet (60Mbps)</v>
      </c>
      <c r="E403" s="335">
        <v>0</v>
      </c>
      <c r="F403" s="335">
        <v>0</v>
      </c>
      <c r="G403" s="335">
        <v>0</v>
      </c>
      <c r="H403" s="335">
        <v>0</v>
      </c>
      <c r="I403" s="335">
        <v>0</v>
      </c>
      <c r="J403" s="335">
        <v>0</v>
      </c>
      <c r="K403" s="473"/>
      <c r="L403" s="473"/>
      <c r="M403" s="473"/>
      <c r="N403" s="473"/>
      <c r="O403" s="473"/>
      <c r="T403" s="310" t="str">
        <v>Ethernet (60Mbps)</v>
      </c>
      <c r="V403" s="335">
        <v>0</v>
      </c>
      <c r="W403" s="335">
        <v>0</v>
      </c>
      <c r="X403" s="335">
        <v>0</v>
      </c>
      <c r="Y403" s="335">
        <v>0</v>
      </c>
      <c r="Z403" s="335">
        <v>0</v>
      </c>
      <c r="AA403" s="335">
        <v>0</v>
      </c>
      <c r="AB403" s="473"/>
      <c r="AC403" s="473"/>
      <c r="AD403" s="473"/>
      <c r="AE403" s="473"/>
      <c r="AF403" s="473"/>
      <c r="AK403" s="310" t="str">
        <v>Ethernet (60Mbps)</v>
      </c>
      <c r="AM403" s="335">
        <v>0</v>
      </c>
      <c r="AN403" s="335">
        <v>0</v>
      </c>
      <c r="AO403" s="335">
        <v>0</v>
      </c>
      <c r="AP403" s="335">
        <v>0</v>
      </c>
      <c r="AQ403" s="335">
        <v>0</v>
      </c>
      <c r="AR403" s="335">
        <v>0</v>
      </c>
      <c r="AS403" s="473"/>
      <c r="AT403" s="473"/>
      <c r="AU403" s="473"/>
      <c r="AV403" s="473"/>
      <c r="AW403" s="473"/>
    </row>
    <row r="404" spans="3:49" s="299" customFormat="1">
      <c r="C404" s="310" t="str">
        <v>Ethernet (70Mbps)</v>
      </c>
      <c r="E404" s="335">
        <v>0</v>
      </c>
      <c r="F404" s="335">
        <v>0</v>
      </c>
      <c r="G404" s="335">
        <v>0</v>
      </c>
      <c r="H404" s="335">
        <v>0</v>
      </c>
      <c r="I404" s="335">
        <v>0</v>
      </c>
      <c r="J404" s="335">
        <v>0</v>
      </c>
      <c r="K404" s="473"/>
      <c r="L404" s="473"/>
      <c r="M404" s="473"/>
      <c r="N404" s="473"/>
      <c r="O404" s="473"/>
      <c r="T404" s="310" t="str">
        <v>Ethernet (70Mbps)</v>
      </c>
      <c r="V404" s="335">
        <v>0</v>
      </c>
      <c r="W404" s="335">
        <v>0</v>
      </c>
      <c r="X404" s="335">
        <v>0</v>
      </c>
      <c r="Y404" s="335">
        <v>0</v>
      </c>
      <c r="Z404" s="335">
        <v>0</v>
      </c>
      <c r="AA404" s="335">
        <v>0</v>
      </c>
      <c r="AB404" s="473"/>
      <c r="AC404" s="473"/>
      <c r="AD404" s="473"/>
      <c r="AE404" s="473"/>
      <c r="AF404" s="473"/>
      <c r="AK404" s="310" t="str">
        <v>Ethernet (70Mbps)</v>
      </c>
      <c r="AM404" s="335">
        <v>0</v>
      </c>
      <c r="AN404" s="335">
        <v>0</v>
      </c>
      <c r="AO404" s="335">
        <v>0</v>
      </c>
      <c r="AP404" s="335">
        <v>0</v>
      </c>
      <c r="AQ404" s="335">
        <v>0</v>
      </c>
      <c r="AR404" s="335">
        <v>0</v>
      </c>
      <c r="AS404" s="473"/>
      <c r="AT404" s="473"/>
      <c r="AU404" s="473"/>
      <c r="AV404" s="473"/>
      <c r="AW404" s="473"/>
    </row>
    <row r="405" spans="3:49" s="299" customFormat="1">
      <c r="C405" s="310" t="str">
        <v>Ethernet (80Mbps)</v>
      </c>
      <c r="E405" s="335">
        <v>0</v>
      </c>
      <c r="F405" s="335">
        <v>0</v>
      </c>
      <c r="G405" s="335">
        <v>0</v>
      </c>
      <c r="H405" s="335">
        <v>0</v>
      </c>
      <c r="I405" s="335">
        <v>0</v>
      </c>
      <c r="J405" s="335">
        <v>0</v>
      </c>
      <c r="K405" s="473"/>
      <c r="L405" s="473"/>
      <c r="M405" s="473"/>
      <c r="N405" s="473"/>
      <c r="O405" s="473"/>
      <c r="T405" s="310" t="str">
        <v>Ethernet (80Mbps)</v>
      </c>
      <c r="V405" s="335">
        <v>0</v>
      </c>
      <c r="W405" s="335">
        <v>0</v>
      </c>
      <c r="X405" s="335">
        <v>0</v>
      </c>
      <c r="Y405" s="335">
        <v>0</v>
      </c>
      <c r="Z405" s="335">
        <v>0</v>
      </c>
      <c r="AA405" s="335">
        <v>0</v>
      </c>
      <c r="AB405" s="473"/>
      <c r="AC405" s="473"/>
      <c r="AD405" s="473"/>
      <c r="AE405" s="473"/>
      <c r="AF405" s="473"/>
      <c r="AK405" s="310" t="str">
        <v>Ethernet (80Mbps)</v>
      </c>
      <c r="AM405" s="335">
        <v>0</v>
      </c>
      <c r="AN405" s="335">
        <v>0</v>
      </c>
      <c r="AO405" s="335">
        <v>0</v>
      </c>
      <c r="AP405" s="335">
        <v>0</v>
      </c>
      <c r="AQ405" s="335">
        <v>0</v>
      </c>
      <c r="AR405" s="335">
        <v>0</v>
      </c>
      <c r="AS405" s="473"/>
      <c r="AT405" s="473"/>
      <c r="AU405" s="473"/>
      <c r="AV405" s="473"/>
      <c r="AW405" s="473"/>
    </row>
    <row r="406" spans="3:49" s="299" customFormat="1">
      <c r="C406" s="310" t="str">
        <v>Ethernet (90Mbps)</v>
      </c>
      <c r="E406" s="335">
        <v>0</v>
      </c>
      <c r="F406" s="335">
        <v>0</v>
      </c>
      <c r="G406" s="335">
        <v>0</v>
      </c>
      <c r="H406" s="335">
        <v>0</v>
      </c>
      <c r="I406" s="335">
        <v>0</v>
      </c>
      <c r="J406" s="335">
        <v>0</v>
      </c>
      <c r="K406" s="473"/>
      <c r="L406" s="473"/>
      <c r="M406" s="473"/>
      <c r="N406" s="473"/>
      <c r="O406" s="473"/>
      <c r="T406" s="310" t="str">
        <v>Ethernet (90Mbps)</v>
      </c>
      <c r="V406" s="335">
        <v>0</v>
      </c>
      <c r="W406" s="335">
        <v>0</v>
      </c>
      <c r="X406" s="335">
        <v>0</v>
      </c>
      <c r="Y406" s="335">
        <v>0</v>
      </c>
      <c r="Z406" s="335">
        <v>0</v>
      </c>
      <c r="AA406" s="335">
        <v>0</v>
      </c>
      <c r="AB406" s="473"/>
      <c r="AC406" s="473"/>
      <c r="AD406" s="473"/>
      <c r="AE406" s="473"/>
      <c r="AF406" s="473"/>
      <c r="AK406" s="310" t="str">
        <v>Ethernet (90Mbps)</v>
      </c>
      <c r="AM406" s="335">
        <v>0</v>
      </c>
      <c r="AN406" s="335">
        <v>0</v>
      </c>
      <c r="AO406" s="335">
        <v>0</v>
      </c>
      <c r="AP406" s="335">
        <v>0</v>
      </c>
      <c r="AQ406" s="335">
        <v>0</v>
      </c>
      <c r="AR406" s="335">
        <v>0</v>
      </c>
      <c r="AS406" s="473"/>
      <c r="AT406" s="473"/>
      <c r="AU406" s="473"/>
      <c r="AV406" s="473"/>
      <c r="AW406" s="473"/>
    </row>
    <row r="407" spans="3:49" s="299" customFormat="1">
      <c r="C407" s="310" t="str">
        <v>GigaEthernet (100Mbps)</v>
      </c>
      <c r="E407" s="335">
        <v>0</v>
      </c>
      <c r="F407" s="335">
        <v>0</v>
      </c>
      <c r="G407" s="335">
        <v>0</v>
      </c>
      <c r="H407" s="335">
        <v>0</v>
      </c>
      <c r="I407" s="335">
        <v>0</v>
      </c>
      <c r="J407" s="335">
        <v>0</v>
      </c>
      <c r="K407" s="473"/>
      <c r="L407" s="473"/>
      <c r="M407" s="473"/>
      <c r="N407" s="473"/>
      <c r="O407" s="473"/>
      <c r="T407" s="310" t="str">
        <v>GigaEthernet (100Mbps)</v>
      </c>
      <c r="V407" s="335">
        <v>0</v>
      </c>
      <c r="W407" s="335">
        <v>0</v>
      </c>
      <c r="X407" s="335">
        <v>0</v>
      </c>
      <c r="Y407" s="335">
        <v>0</v>
      </c>
      <c r="Z407" s="335">
        <v>0</v>
      </c>
      <c r="AA407" s="335">
        <v>0</v>
      </c>
      <c r="AB407" s="473"/>
      <c r="AC407" s="473"/>
      <c r="AD407" s="473"/>
      <c r="AE407" s="473"/>
      <c r="AF407" s="473"/>
      <c r="AK407" s="310" t="str">
        <v>GigaEthernet (100Mbps)</v>
      </c>
      <c r="AM407" s="335">
        <v>0</v>
      </c>
      <c r="AN407" s="335">
        <v>0</v>
      </c>
      <c r="AO407" s="335">
        <v>0</v>
      </c>
      <c r="AP407" s="335">
        <v>0</v>
      </c>
      <c r="AQ407" s="335">
        <v>0</v>
      </c>
      <c r="AR407" s="335">
        <v>0</v>
      </c>
      <c r="AS407" s="473"/>
      <c r="AT407" s="473"/>
      <c r="AU407" s="473"/>
      <c r="AV407" s="473"/>
      <c r="AW407" s="473"/>
    </row>
    <row r="408" spans="3:49" s="299" customFormat="1">
      <c r="C408" s="310" t="str">
        <v>GigaEthernet (150Mbps)</v>
      </c>
      <c r="E408" s="335">
        <v>0</v>
      </c>
      <c r="F408" s="335">
        <v>0</v>
      </c>
      <c r="G408" s="335">
        <v>0</v>
      </c>
      <c r="H408" s="335">
        <v>0</v>
      </c>
      <c r="I408" s="335">
        <v>0</v>
      </c>
      <c r="J408" s="335">
        <v>0</v>
      </c>
      <c r="K408" s="473"/>
      <c r="L408" s="473"/>
      <c r="M408" s="473"/>
      <c r="N408" s="473"/>
      <c r="O408" s="473"/>
      <c r="T408" s="310" t="str">
        <v>GigaEthernet (150Mbps)</v>
      </c>
      <c r="V408" s="335">
        <v>0</v>
      </c>
      <c r="W408" s="335">
        <v>0</v>
      </c>
      <c r="X408" s="335">
        <v>0</v>
      </c>
      <c r="Y408" s="335">
        <v>0</v>
      </c>
      <c r="Z408" s="335">
        <v>0</v>
      </c>
      <c r="AA408" s="335">
        <v>0</v>
      </c>
      <c r="AB408" s="473"/>
      <c r="AC408" s="473"/>
      <c r="AD408" s="473"/>
      <c r="AE408" s="473"/>
      <c r="AF408" s="473"/>
      <c r="AK408" s="310" t="str">
        <v>GigaEthernet (150Mbps)</v>
      </c>
      <c r="AM408" s="335">
        <v>0</v>
      </c>
      <c r="AN408" s="335">
        <v>0</v>
      </c>
      <c r="AO408" s="335">
        <v>0</v>
      </c>
      <c r="AP408" s="335">
        <v>0</v>
      </c>
      <c r="AQ408" s="335">
        <v>0</v>
      </c>
      <c r="AR408" s="335">
        <v>0</v>
      </c>
      <c r="AS408" s="473"/>
      <c r="AT408" s="473"/>
      <c r="AU408" s="473"/>
      <c r="AV408" s="473"/>
      <c r="AW408" s="473"/>
    </row>
    <row r="409" spans="3:49" s="299" customFormat="1">
      <c r="C409" s="310" t="str">
        <v>GigaEthernet (200Mbps)</v>
      </c>
      <c r="E409" s="335">
        <v>0</v>
      </c>
      <c r="F409" s="335">
        <v>0</v>
      </c>
      <c r="G409" s="335">
        <v>0</v>
      </c>
      <c r="H409" s="335">
        <v>0</v>
      </c>
      <c r="I409" s="335">
        <v>0</v>
      </c>
      <c r="J409" s="335">
        <v>0</v>
      </c>
      <c r="K409" s="473"/>
      <c r="L409" s="473"/>
      <c r="M409" s="473"/>
      <c r="N409" s="473"/>
      <c r="O409" s="473"/>
      <c r="T409" s="310" t="str">
        <v>GigaEthernet (200Mbps)</v>
      </c>
      <c r="V409" s="335">
        <v>0</v>
      </c>
      <c r="W409" s="335">
        <v>0</v>
      </c>
      <c r="X409" s="335">
        <v>0</v>
      </c>
      <c r="Y409" s="335">
        <v>0</v>
      </c>
      <c r="Z409" s="335">
        <v>0</v>
      </c>
      <c r="AA409" s="335">
        <v>0</v>
      </c>
      <c r="AB409" s="473"/>
      <c r="AC409" s="473"/>
      <c r="AD409" s="473"/>
      <c r="AE409" s="473"/>
      <c r="AF409" s="473"/>
      <c r="AK409" s="310" t="str">
        <v>GigaEthernet (200Mbps)</v>
      </c>
      <c r="AM409" s="335">
        <v>0</v>
      </c>
      <c r="AN409" s="335">
        <v>0</v>
      </c>
      <c r="AO409" s="335">
        <v>0</v>
      </c>
      <c r="AP409" s="335">
        <v>0</v>
      </c>
      <c r="AQ409" s="335">
        <v>0</v>
      </c>
      <c r="AR409" s="335">
        <v>0</v>
      </c>
      <c r="AS409" s="473"/>
      <c r="AT409" s="473"/>
      <c r="AU409" s="473"/>
      <c r="AV409" s="473"/>
      <c r="AW409" s="473"/>
    </row>
    <row r="410" spans="3:49" s="299" customFormat="1">
      <c r="C410" s="310" t="str">
        <v>GigaEthernet (250Mbps)</v>
      </c>
      <c r="E410" s="335">
        <v>0</v>
      </c>
      <c r="F410" s="335">
        <v>0</v>
      </c>
      <c r="G410" s="335">
        <v>0</v>
      </c>
      <c r="H410" s="335">
        <v>0</v>
      </c>
      <c r="I410" s="335">
        <v>0</v>
      </c>
      <c r="J410" s="335">
        <v>0</v>
      </c>
      <c r="K410" s="473"/>
      <c r="L410" s="473"/>
      <c r="M410" s="473"/>
      <c r="N410" s="473"/>
      <c r="O410" s="473"/>
      <c r="T410" s="310" t="str">
        <v>GigaEthernet (250Mbps)</v>
      </c>
      <c r="V410" s="335">
        <v>0</v>
      </c>
      <c r="W410" s="335">
        <v>0</v>
      </c>
      <c r="X410" s="335">
        <v>0</v>
      </c>
      <c r="Y410" s="335">
        <v>0</v>
      </c>
      <c r="Z410" s="335">
        <v>0</v>
      </c>
      <c r="AA410" s="335">
        <v>0</v>
      </c>
      <c r="AB410" s="473"/>
      <c r="AC410" s="473"/>
      <c r="AD410" s="473"/>
      <c r="AE410" s="473"/>
      <c r="AF410" s="473"/>
      <c r="AK410" s="310" t="str">
        <v>GigaEthernet (250Mbps)</v>
      </c>
      <c r="AM410" s="335">
        <v>0</v>
      </c>
      <c r="AN410" s="335">
        <v>0</v>
      </c>
      <c r="AO410" s="335">
        <v>0</v>
      </c>
      <c r="AP410" s="335">
        <v>0</v>
      </c>
      <c r="AQ410" s="335">
        <v>0</v>
      </c>
      <c r="AR410" s="335">
        <v>0</v>
      </c>
      <c r="AS410" s="473"/>
      <c r="AT410" s="473"/>
      <c r="AU410" s="473"/>
      <c r="AV410" s="473"/>
      <c r="AW410" s="473"/>
    </row>
    <row r="411" spans="3:49" s="299" customFormat="1">
      <c r="C411" s="310" t="str">
        <v>GigaEthernet (300Mbps)</v>
      </c>
      <c r="E411" s="335">
        <v>0</v>
      </c>
      <c r="F411" s="335">
        <v>0</v>
      </c>
      <c r="G411" s="335">
        <v>0</v>
      </c>
      <c r="H411" s="335">
        <v>0</v>
      </c>
      <c r="I411" s="335">
        <v>0</v>
      </c>
      <c r="J411" s="335">
        <v>0</v>
      </c>
      <c r="K411" s="473"/>
      <c r="L411" s="473"/>
      <c r="M411" s="473"/>
      <c r="N411" s="473"/>
      <c r="O411" s="473"/>
      <c r="T411" s="310" t="str">
        <v>GigaEthernet (300Mbps)</v>
      </c>
      <c r="V411" s="335">
        <v>0</v>
      </c>
      <c r="W411" s="335">
        <v>0</v>
      </c>
      <c r="X411" s="335">
        <v>0</v>
      </c>
      <c r="Y411" s="335">
        <v>0</v>
      </c>
      <c r="Z411" s="335">
        <v>0</v>
      </c>
      <c r="AA411" s="335">
        <v>0</v>
      </c>
      <c r="AB411" s="473"/>
      <c r="AC411" s="473"/>
      <c r="AD411" s="473"/>
      <c r="AE411" s="473"/>
      <c r="AF411" s="473"/>
      <c r="AK411" s="310" t="str">
        <v>GigaEthernet (300Mbps)</v>
      </c>
      <c r="AM411" s="335">
        <v>0</v>
      </c>
      <c r="AN411" s="335">
        <v>0</v>
      </c>
      <c r="AO411" s="335">
        <v>0</v>
      </c>
      <c r="AP411" s="335">
        <v>0</v>
      </c>
      <c r="AQ411" s="335">
        <v>0</v>
      </c>
      <c r="AR411" s="335">
        <v>0</v>
      </c>
      <c r="AS411" s="473"/>
      <c r="AT411" s="473"/>
      <c r="AU411" s="473"/>
      <c r="AV411" s="473"/>
      <c r="AW411" s="473"/>
    </row>
    <row r="412" spans="3:49" s="299" customFormat="1">
      <c r="C412" s="310" t="str">
        <v>GigaEthernet (350Mbps)</v>
      </c>
      <c r="E412" s="335">
        <v>0</v>
      </c>
      <c r="F412" s="335">
        <v>0</v>
      </c>
      <c r="G412" s="335">
        <v>0</v>
      </c>
      <c r="H412" s="335">
        <v>0</v>
      </c>
      <c r="I412" s="335">
        <v>0</v>
      </c>
      <c r="J412" s="335">
        <v>0</v>
      </c>
      <c r="K412" s="473"/>
      <c r="L412" s="473"/>
      <c r="M412" s="473"/>
      <c r="N412" s="473"/>
      <c r="O412" s="473"/>
      <c r="T412" s="310" t="str">
        <v>GigaEthernet (350Mbps)</v>
      </c>
      <c r="V412" s="335">
        <v>0</v>
      </c>
      <c r="W412" s="335">
        <v>0</v>
      </c>
      <c r="X412" s="335">
        <v>0</v>
      </c>
      <c r="Y412" s="335">
        <v>0</v>
      </c>
      <c r="Z412" s="335">
        <v>0</v>
      </c>
      <c r="AA412" s="335">
        <v>0</v>
      </c>
      <c r="AB412" s="473"/>
      <c r="AC412" s="473"/>
      <c r="AD412" s="473"/>
      <c r="AE412" s="473"/>
      <c r="AF412" s="473"/>
      <c r="AK412" s="310" t="str">
        <v>GigaEthernet (350Mbps)</v>
      </c>
      <c r="AM412" s="335">
        <v>0</v>
      </c>
      <c r="AN412" s="335">
        <v>0</v>
      </c>
      <c r="AO412" s="335">
        <v>0</v>
      </c>
      <c r="AP412" s="335">
        <v>0</v>
      </c>
      <c r="AQ412" s="335">
        <v>0</v>
      </c>
      <c r="AR412" s="335">
        <v>0</v>
      </c>
      <c r="AS412" s="473"/>
      <c r="AT412" s="473"/>
      <c r="AU412" s="473"/>
      <c r="AV412" s="473"/>
      <c r="AW412" s="473"/>
    </row>
    <row r="413" spans="3:49" s="299" customFormat="1">
      <c r="C413" s="310" t="str">
        <v>GigaEthernet (400Mbps)</v>
      </c>
      <c r="E413" s="335">
        <v>0</v>
      </c>
      <c r="F413" s="335">
        <v>0</v>
      </c>
      <c r="G413" s="335">
        <v>0</v>
      </c>
      <c r="H413" s="335">
        <v>0</v>
      </c>
      <c r="I413" s="335">
        <v>0</v>
      </c>
      <c r="J413" s="335">
        <v>0</v>
      </c>
      <c r="K413" s="473"/>
      <c r="L413" s="473"/>
      <c r="M413" s="473"/>
      <c r="N413" s="473"/>
      <c r="O413" s="473"/>
      <c r="T413" s="310" t="str">
        <v>GigaEthernet (400Mbps)</v>
      </c>
      <c r="V413" s="335">
        <v>0</v>
      </c>
      <c r="W413" s="335">
        <v>0</v>
      </c>
      <c r="X413" s="335">
        <v>0</v>
      </c>
      <c r="Y413" s="335">
        <v>0</v>
      </c>
      <c r="Z413" s="335">
        <v>0</v>
      </c>
      <c r="AA413" s="335">
        <v>0</v>
      </c>
      <c r="AB413" s="473"/>
      <c r="AC413" s="473"/>
      <c r="AD413" s="473"/>
      <c r="AE413" s="473"/>
      <c r="AF413" s="473"/>
      <c r="AK413" s="310" t="str">
        <v>GigaEthernet (400Mbps)</v>
      </c>
      <c r="AM413" s="335">
        <v>0</v>
      </c>
      <c r="AN413" s="335">
        <v>0</v>
      </c>
      <c r="AO413" s="335">
        <v>0</v>
      </c>
      <c r="AP413" s="335">
        <v>0</v>
      </c>
      <c r="AQ413" s="335">
        <v>0</v>
      </c>
      <c r="AR413" s="335">
        <v>0</v>
      </c>
      <c r="AS413" s="473"/>
      <c r="AT413" s="473"/>
      <c r="AU413" s="473"/>
      <c r="AV413" s="473"/>
      <c r="AW413" s="473"/>
    </row>
    <row r="414" spans="3:49" s="299" customFormat="1">
      <c r="C414" s="310" t="str">
        <v>GigaEthernet (450Mbps)</v>
      </c>
      <c r="E414" s="335">
        <v>0</v>
      </c>
      <c r="F414" s="335">
        <v>0</v>
      </c>
      <c r="G414" s="335">
        <v>0</v>
      </c>
      <c r="H414" s="335">
        <v>0</v>
      </c>
      <c r="I414" s="335">
        <v>0</v>
      </c>
      <c r="J414" s="335">
        <v>0</v>
      </c>
      <c r="K414" s="473"/>
      <c r="L414" s="473"/>
      <c r="M414" s="473"/>
      <c r="N414" s="473"/>
      <c r="O414" s="473"/>
      <c r="T414" s="310" t="str">
        <v>GigaEthernet (450Mbps)</v>
      </c>
      <c r="V414" s="335">
        <v>0</v>
      </c>
      <c r="W414" s="335">
        <v>0</v>
      </c>
      <c r="X414" s="335">
        <v>0</v>
      </c>
      <c r="Y414" s="335">
        <v>0</v>
      </c>
      <c r="Z414" s="335">
        <v>0</v>
      </c>
      <c r="AA414" s="335">
        <v>0</v>
      </c>
      <c r="AB414" s="473"/>
      <c r="AC414" s="473"/>
      <c r="AD414" s="473"/>
      <c r="AE414" s="473"/>
      <c r="AF414" s="473"/>
      <c r="AK414" s="310" t="str">
        <v>GigaEthernet (450Mbps)</v>
      </c>
      <c r="AM414" s="335">
        <v>0</v>
      </c>
      <c r="AN414" s="335">
        <v>0</v>
      </c>
      <c r="AO414" s="335">
        <v>0</v>
      </c>
      <c r="AP414" s="335">
        <v>0</v>
      </c>
      <c r="AQ414" s="335">
        <v>0</v>
      </c>
      <c r="AR414" s="335">
        <v>0</v>
      </c>
      <c r="AS414" s="473"/>
      <c r="AT414" s="473"/>
      <c r="AU414" s="473"/>
      <c r="AV414" s="473"/>
      <c r="AW414" s="473"/>
    </row>
    <row r="415" spans="3:49" s="299" customFormat="1">
      <c r="C415" s="310" t="str">
        <v>GigaEthernet (500Mbps)</v>
      </c>
      <c r="E415" s="335">
        <v>0</v>
      </c>
      <c r="F415" s="335">
        <v>0</v>
      </c>
      <c r="G415" s="335">
        <v>0</v>
      </c>
      <c r="H415" s="335">
        <v>0</v>
      </c>
      <c r="I415" s="335">
        <v>0</v>
      </c>
      <c r="J415" s="335">
        <v>0</v>
      </c>
      <c r="K415" s="473"/>
      <c r="L415" s="473"/>
      <c r="M415" s="473"/>
      <c r="N415" s="473"/>
      <c r="O415" s="473"/>
      <c r="T415" s="310" t="str">
        <v>GigaEthernet (500Mbps)</v>
      </c>
      <c r="V415" s="335">
        <v>0</v>
      </c>
      <c r="W415" s="335">
        <v>0</v>
      </c>
      <c r="X415" s="335">
        <v>0</v>
      </c>
      <c r="Y415" s="335">
        <v>0</v>
      </c>
      <c r="Z415" s="335">
        <v>0</v>
      </c>
      <c r="AA415" s="335">
        <v>0</v>
      </c>
      <c r="AB415" s="473"/>
      <c r="AC415" s="473"/>
      <c r="AD415" s="473"/>
      <c r="AE415" s="473"/>
      <c r="AF415" s="473"/>
      <c r="AK415" s="310" t="str">
        <v>GigaEthernet (500Mbps)</v>
      </c>
      <c r="AM415" s="335">
        <v>0</v>
      </c>
      <c r="AN415" s="335">
        <v>0</v>
      </c>
      <c r="AO415" s="335">
        <v>0</v>
      </c>
      <c r="AP415" s="335">
        <v>0</v>
      </c>
      <c r="AQ415" s="335">
        <v>0</v>
      </c>
      <c r="AR415" s="335">
        <v>0</v>
      </c>
      <c r="AS415" s="473"/>
      <c r="AT415" s="473"/>
      <c r="AU415" s="473"/>
      <c r="AV415" s="473"/>
      <c r="AW415" s="473"/>
    </row>
    <row r="416" spans="3:49" s="299" customFormat="1">
      <c r="C416" s="310" t="str">
        <v>GigaEthernet (550Mbps)</v>
      </c>
      <c r="E416" s="336">
        <v>0</v>
      </c>
      <c r="F416" s="335">
        <v>0</v>
      </c>
      <c r="G416" s="335">
        <v>0</v>
      </c>
      <c r="H416" s="335">
        <v>0</v>
      </c>
      <c r="I416" s="335">
        <v>0</v>
      </c>
      <c r="J416" s="335">
        <v>0</v>
      </c>
      <c r="K416" s="473"/>
      <c r="L416" s="473"/>
      <c r="M416" s="473"/>
      <c r="N416" s="473"/>
      <c r="O416" s="473"/>
      <c r="T416" s="310" t="str">
        <v>GigaEthernet (550Mbps)</v>
      </c>
      <c r="V416" s="336">
        <v>0</v>
      </c>
      <c r="W416" s="335">
        <v>0</v>
      </c>
      <c r="X416" s="335">
        <v>0</v>
      </c>
      <c r="Y416" s="335">
        <v>0</v>
      </c>
      <c r="Z416" s="335">
        <v>0</v>
      </c>
      <c r="AA416" s="335">
        <v>0</v>
      </c>
      <c r="AB416" s="473"/>
      <c r="AC416" s="473"/>
      <c r="AD416" s="473"/>
      <c r="AE416" s="473"/>
      <c r="AF416" s="473"/>
      <c r="AK416" s="310" t="str">
        <v>GigaEthernet (550Mbps)</v>
      </c>
      <c r="AM416" s="336">
        <v>0</v>
      </c>
      <c r="AN416" s="335">
        <v>0</v>
      </c>
      <c r="AO416" s="335">
        <v>0</v>
      </c>
      <c r="AP416" s="335">
        <v>0</v>
      </c>
      <c r="AQ416" s="335">
        <v>0</v>
      </c>
      <c r="AR416" s="335">
        <v>0</v>
      </c>
      <c r="AS416" s="473"/>
      <c r="AT416" s="473"/>
      <c r="AU416" s="473"/>
      <c r="AV416" s="473"/>
      <c r="AW416" s="473"/>
    </row>
    <row r="417" spans="3:52" s="299" customFormat="1">
      <c r="C417" s="310" t="str">
        <v>GigaEthernet (600Mbps)</v>
      </c>
      <c r="E417" s="335">
        <v>0</v>
      </c>
      <c r="F417" s="335">
        <v>0</v>
      </c>
      <c r="G417" s="335">
        <v>0</v>
      </c>
      <c r="H417" s="335">
        <v>0</v>
      </c>
      <c r="I417" s="335">
        <v>0</v>
      </c>
      <c r="J417" s="335">
        <v>0</v>
      </c>
      <c r="K417" s="473"/>
      <c r="L417" s="473"/>
      <c r="M417" s="473"/>
      <c r="N417" s="473"/>
      <c r="O417" s="473"/>
      <c r="T417" s="310" t="str">
        <v>GigaEthernet (600Mbps)</v>
      </c>
      <c r="V417" s="335">
        <v>0</v>
      </c>
      <c r="W417" s="335">
        <v>0</v>
      </c>
      <c r="X417" s="335">
        <v>0</v>
      </c>
      <c r="Y417" s="335">
        <v>0</v>
      </c>
      <c r="Z417" s="335">
        <v>0</v>
      </c>
      <c r="AA417" s="335">
        <v>0</v>
      </c>
      <c r="AB417" s="473"/>
      <c r="AC417" s="473"/>
      <c r="AD417" s="473"/>
      <c r="AE417" s="473"/>
      <c r="AF417" s="473"/>
      <c r="AK417" s="310" t="str">
        <v>GigaEthernet (600Mbps)</v>
      </c>
      <c r="AM417" s="335">
        <v>0</v>
      </c>
      <c r="AN417" s="335">
        <v>0</v>
      </c>
      <c r="AO417" s="335">
        <v>0</v>
      </c>
      <c r="AP417" s="335">
        <v>0</v>
      </c>
      <c r="AQ417" s="335">
        <v>0</v>
      </c>
      <c r="AR417" s="335">
        <v>0</v>
      </c>
      <c r="AS417" s="473"/>
      <c r="AT417" s="473"/>
      <c r="AU417" s="473"/>
      <c r="AV417" s="473"/>
      <c r="AW417" s="473"/>
    </row>
    <row r="418" spans="3:52" s="299" customFormat="1">
      <c r="C418" s="310" t="str">
        <v>GigaEthernet (750Mbps)</v>
      </c>
      <c r="E418" s="335">
        <v>0</v>
      </c>
      <c r="F418" s="335">
        <v>0</v>
      </c>
      <c r="G418" s="335">
        <v>0</v>
      </c>
      <c r="H418" s="335">
        <v>0</v>
      </c>
      <c r="I418" s="335">
        <v>0</v>
      </c>
      <c r="J418" s="335">
        <v>0</v>
      </c>
      <c r="K418" s="473"/>
      <c r="L418" s="473"/>
      <c r="M418" s="473"/>
      <c r="N418" s="473"/>
      <c r="O418" s="473"/>
      <c r="T418" s="310" t="str">
        <v>GigaEthernet (750Mbps)</v>
      </c>
      <c r="V418" s="335">
        <v>0</v>
      </c>
      <c r="W418" s="335">
        <v>0</v>
      </c>
      <c r="X418" s="335">
        <v>0</v>
      </c>
      <c r="Y418" s="335">
        <v>0</v>
      </c>
      <c r="Z418" s="335">
        <v>0</v>
      </c>
      <c r="AA418" s="335">
        <v>0</v>
      </c>
      <c r="AB418" s="473"/>
      <c r="AC418" s="473"/>
      <c r="AD418" s="473"/>
      <c r="AE418" s="473"/>
      <c r="AF418" s="473"/>
      <c r="AK418" s="310" t="str">
        <v>GigaEthernet (750Mbps)</v>
      </c>
      <c r="AM418" s="335">
        <v>0</v>
      </c>
      <c r="AN418" s="335">
        <v>0</v>
      </c>
      <c r="AO418" s="335">
        <v>0</v>
      </c>
      <c r="AP418" s="335">
        <v>0</v>
      </c>
      <c r="AQ418" s="335">
        <v>0</v>
      </c>
      <c r="AR418" s="335">
        <v>0</v>
      </c>
      <c r="AS418" s="473"/>
      <c r="AT418" s="473"/>
      <c r="AU418" s="473"/>
      <c r="AV418" s="473"/>
      <c r="AW418" s="473"/>
    </row>
    <row r="419" spans="3:52" s="299" customFormat="1">
      <c r="C419" s="310" t="str">
        <v>GigaEthernet (1 Gbps)</v>
      </c>
      <c r="E419" s="335">
        <v>0</v>
      </c>
      <c r="F419" s="335">
        <v>0</v>
      </c>
      <c r="G419" s="335">
        <v>0</v>
      </c>
      <c r="H419" s="335">
        <v>0</v>
      </c>
      <c r="I419" s="335">
        <v>0</v>
      </c>
      <c r="J419" s="335">
        <v>0</v>
      </c>
      <c r="K419" s="473"/>
      <c r="L419" s="473"/>
      <c r="M419" s="473"/>
      <c r="N419" s="473"/>
      <c r="O419" s="473"/>
      <c r="Q419" s="326" t="s">
        <v>500</v>
      </c>
      <c r="T419" s="310" t="str">
        <v>GigaEthernet (1 Gbps)</v>
      </c>
      <c r="V419" s="335">
        <v>0</v>
      </c>
      <c r="W419" s="335">
        <v>0</v>
      </c>
      <c r="X419" s="335">
        <v>0</v>
      </c>
      <c r="Y419" s="335">
        <v>0</v>
      </c>
      <c r="Z419" s="335">
        <v>0</v>
      </c>
      <c r="AA419" s="335">
        <v>0</v>
      </c>
      <c r="AB419" s="473"/>
      <c r="AC419" s="473"/>
      <c r="AD419" s="473"/>
      <c r="AE419" s="473"/>
      <c r="AF419" s="473"/>
      <c r="AH419" s="338" t="s">
        <v>500</v>
      </c>
      <c r="AK419" s="310" t="str">
        <v>GigaEthernet (1 Gbps)</v>
      </c>
      <c r="AM419" s="335">
        <v>0</v>
      </c>
      <c r="AN419" s="335">
        <v>0</v>
      </c>
      <c r="AO419" s="335">
        <v>0</v>
      </c>
      <c r="AP419" s="335">
        <v>0</v>
      </c>
      <c r="AQ419" s="335">
        <v>0</v>
      </c>
      <c r="AR419" s="335">
        <v>0</v>
      </c>
      <c r="AS419" s="473"/>
      <c r="AT419" s="473"/>
      <c r="AU419" s="473"/>
      <c r="AV419" s="473"/>
      <c r="AW419" s="473"/>
      <c r="AY419" s="338" t="s">
        <v>500</v>
      </c>
    </row>
    <row r="420" spans="3:52" s="299" customFormat="1">
      <c r="C420"/>
      <c r="E420" s="337">
        <f>SUM(E382:E419)</f>
        <v>108.6</v>
      </c>
      <c r="F420" s="337">
        <f t="shared" ref="F420" si="32">SUM(F382:F419)</f>
        <v>82.579999999999984</v>
      </c>
      <c r="G420" s="337">
        <f t="shared" ref="G420" si="33">SUM(G382:G419)</f>
        <v>75.999999999999986</v>
      </c>
      <c r="H420" s="337">
        <f t="shared" ref="H420" si="34">SUM(H382:H419)</f>
        <v>76.309999999999988</v>
      </c>
      <c r="I420" s="337">
        <f t="shared" ref="I420" si="35">SUM(I382:I419)</f>
        <v>63.620000000000005</v>
      </c>
      <c r="J420" s="337">
        <f t="shared" ref="J420:O420" si="36">SUM(J382:J419)</f>
        <v>69.12</v>
      </c>
      <c r="K420" s="337">
        <f t="shared" si="36"/>
        <v>0</v>
      </c>
      <c r="L420" s="337">
        <f t="shared" si="36"/>
        <v>0</v>
      </c>
      <c r="M420" s="337">
        <f t="shared" si="36"/>
        <v>0</v>
      </c>
      <c r="N420" s="337">
        <f t="shared" si="36"/>
        <v>0</v>
      </c>
      <c r="O420" s="337">
        <f t="shared" si="36"/>
        <v>0</v>
      </c>
      <c r="P420" s="307" t="s">
        <v>535</v>
      </c>
      <c r="Q420" s="334">
        <f>(J420/E420)^(1/(J381-E381))-1</f>
        <v>-8.6402755888895122E-2</v>
      </c>
      <c r="V420" s="337">
        <f>SUM(V382:V419)</f>
        <v>120</v>
      </c>
      <c r="W420" s="337">
        <f t="shared" ref="W420:AA420" si="37">SUM(W382:W419)</f>
        <v>94</v>
      </c>
      <c r="X420" s="337">
        <f t="shared" si="37"/>
        <v>90</v>
      </c>
      <c r="Y420" s="337">
        <f t="shared" si="37"/>
        <v>89</v>
      </c>
      <c r="Z420" s="337">
        <f t="shared" si="37"/>
        <v>78</v>
      </c>
      <c r="AA420" s="337">
        <f t="shared" si="37"/>
        <v>80</v>
      </c>
      <c r="AB420" s="337">
        <f t="shared" ref="AB420:AF420" si="38">SUM(AB382:AB419)</f>
        <v>0</v>
      </c>
      <c r="AC420" s="337">
        <f t="shared" si="38"/>
        <v>0</v>
      </c>
      <c r="AD420" s="337">
        <f t="shared" si="38"/>
        <v>0</v>
      </c>
      <c r="AE420" s="337">
        <f t="shared" si="38"/>
        <v>0</v>
      </c>
      <c r="AF420" s="337">
        <f t="shared" si="38"/>
        <v>0</v>
      </c>
      <c r="AG420" s="307" t="s">
        <v>609</v>
      </c>
      <c r="AH420" s="334">
        <f>(AA420/V420)^(1/(AA381-V381))-1</f>
        <v>-7.7892088518272229E-2</v>
      </c>
      <c r="AM420" s="337">
        <f>SUM(AM382:AM419)</f>
        <v>228.6</v>
      </c>
      <c r="AN420" s="337">
        <f t="shared" ref="AN420:AR420" si="39">SUM(AN382:AN419)</f>
        <v>176.58</v>
      </c>
      <c r="AO420" s="337">
        <f t="shared" si="39"/>
        <v>166</v>
      </c>
      <c r="AP420" s="337">
        <f t="shared" si="39"/>
        <v>165.31</v>
      </c>
      <c r="AQ420" s="337">
        <f t="shared" si="39"/>
        <v>141.62</v>
      </c>
      <c r="AR420" s="337">
        <f t="shared" si="39"/>
        <v>149.12</v>
      </c>
      <c r="AS420" s="337">
        <f t="shared" ref="AS420:AW420" si="40">SUM(AS382:AS419)</f>
        <v>0</v>
      </c>
      <c r="AT420" s="337">
        <f t="shared" si="40"/>
        <v>0</v>
      </c>
      <c r="AU420" s="337">
        <f t="shared" si="40"/>
        <v>0</v>
      </c>
      <c r="AV420" s="337">
        <f t="shared" si="40"/>
        <v>0</v>
      </c>
      <c r="AW420" s="337">
        <f t="shared" si="40"/>
        <v>0</v>
      </c>
      <c r="AX420" s="307" t="s">
        <v>602</v>
      </c>
      <c r="AY420" s="334">
        <f>(AR420/AM420)^(1/(AR381-AM381))-1</f>
        <v>-8.1895885298127191E-2</v>
      </c>
    </row>
    <row r="421" spans="3:52" s="299" customFormat="1"/>
    <row r="422" spans="3:52" s="299" customFormat="1" ht="15">
      <c r="C422" s="332" t="s">
        <v>502</v>
      </c>
      <c r="T422" s="332" t="s">
        <v>502</v>
      </c>
      <c r="AK422" s="332" t="s">
        <v>502</v>
      </c>
    </row>
    <row r="423" spans="3:52" s="299" customFormat="1" ht="15">
      <c r="C423" s="332" t="s">
        <v>501</v>
      </c>
      <c r="T423" s="332" t="s">
        <v>501</v>
      </c>
      <c r="AK423" s="332" t="s">
        <v>501</v>
      </c>
    </row>
    <row r="424" spans="3:52" s="299" customFormat="1">
      <c r="AH424"/>
      <c r="AI424"/>
      <c r="AY424"/>
      <c r="AZ424"/>
    </row>
    <row r="425" spans="3:52" s="299" customFormat="1">
      <c r="C425" s="326" t="s">
        <v>442</v>
      </c>
      <c r="D425" s="326">
        <f t="array" ref="D425:O425">TRANSPOSE(Years)</f>
        <v>2008</v>
      </c>
      <c r="E425" s="326">
        <v>2009</v>
      </c>
      <c r="F425" s="326">
        <v>2010</v>
      </c>
      <c r="G425" s="326">
        <v>2011</v>
      </c>
      <c r="H425" s="326">
        <v>2012</v>
      </c>
      <c r="I425" s="326">
        <v>2013</v>
      </c>
      <c r="J425" s="326">
        <v>2014</v>
      </c>
      <c r="K425" s="326">
        <v>2015</v>
      </c>
      <c r="L425" s="326">
        <v>2016</v>
      </c>
      <c r="M425" s="326">
        <v>2017</v>
      </c>
      <c r="N425" s="326">
        <v>2018</v>
      </c>
      <c r="O425" s="326">
        <v>2019</v>
      </c>
      <c r="T425" s="338" t="s">
        <v>442</v>
      </c>
      <c r="U425" s="338">
        <f t="array" ref="U425:AF425">TRANSPOSE(Years)</f>
        <v>2008</v>
      </c>
      <c r="V425" s="338">
        <v>2009</v>
      </c>
      <c r="W425" s="338">
        <v>2010</v>
      </c>
      <c r="X425" s="338">
        <v>2011</v>
      </c>
      <c r="Y425" s="338">
        <v>2012</v>
      </c>
      <c r="Z425" s="338">
        <v>2013</v>
      </c>
      <c r="AA425" s="338">
        <v>2014</v>
      </c>
      <c r="AB425" s="338">
        <v>2015</v>
      </c>
      <c r="AC425" s="338">
        <v>2016</v>
      </c>
      <c r="AD425" s="338">
        <v>2017</v>
      </c>
      <c r="AE425" s="338">
        <v>2018</v>
      </c>
      <c r="AF425" s="338">
        <v>2019</v>
      </c>
      <c r="AH425"/>
      <c r="AI425"/>
      <c r="AK425" s="338" t="s">
        <v>442</v>
      </c>
      <c r="AL425" s="338">
        <f t="array" ref="AL425:AW425">TRANSPOSE(Years)</f>
        <v>2008</v>
      </c>
      <c r="AM425" s="338">
        <v>2009</v>
      </c>
      <c r="AN425" s="338">
        <v>2010</v>
      </c>
      <c r="AO425" s="338">
        <v>2011</v>
      </c>
      <c r="AP425" s="338">
        <v>2012</v>
      </c>
      <c r="AQ425" s="338">
        <v>2013</v>
      </c>
      <c r="AR425" s="338">
        <v>2014</v>
      </c>
      <c r="AS425" s="338">
        <v>2015</v>
      </c>
      <c r="AT425" s="338">
        <v>2016</v>
      </c>
      <c r="AU425" s="338">
        <v>2017</v>
      </c>
      <c r="AV425" s="338">
        <v>2018</v>
      </c>
      <c r="AW425" s="338">
        <v>2019</v>
      </c>
      <c r="AY425"/>
      <c r="AZ425"/>
    </row>
    <row r="426" spans="3:52" s="299" customFormat="1">
      <c r="C426" s="310" t="str">
        <f t="array" ref="C426:C463">LL.list</f>
        <v>64 kbps</v>
      </c>
      <c r="E426" s="333">
        <f t="array" ref="E426:E463">E382:E419/E420</f>
        <v>0.48720073664825048</v>
      </c>
      <c r="F426" s="333">
        <f t="array" ref="F426:F463">F382:F419/F420</f>
        <v>0.41596028093969484</v>
      </c>
      <c r="G426" s="333">
        <f t="array" ref="G426:G463">G382:G419/G420</f>
        <v>0.34315789473684216</v>
      </c>
      <c r="H426" s="333">
        <f t="array" ref="H426:H463">H382:H419/H420</f>
        <v>0.33154239287118337</v>
      </c>
      <c r="I426" s="333">
        <f t="array" ref="I426:I463">I382:I419/I420</f>
        <v>0.36136435083307139</v>
      </c>
      <c r="J426" s="333">
        <f t="array" ref="J426:J463">J382:J419/J420</f>
        <v>0.29282407407407407</v>
      </c>
      <c r="K426" s="474"/>
      <c r="L426" s="474"/>
      <c r="M426" s="474"/>
      <c r="N426" s="474"/>
      <c r="O426" s="474"/>
      <c r="T426" s="310" t="str">
        <f t="array" ref="T426:T463">LL.list</f>
        <v>64 kbps</v>
      </c>
      <c r="V426" s="333">
        <f t="array" ref="V426:V463">V382:V419/V420</f>
        <v>0.44166666666666665</v>
      </c>
      <c r="W426" s="333">
        <f t="array" ref="W426:W463">W382:W419/W420</f>
        <v>0.37234042553191488</v>
      </c>
      <c r="X426" s="333">
        <f t="array" ref="X426:X463">X382:X419/X420</f>
        <v>0.31111111111111112</v>
      </c>
      <c r="Y426" s="333">
        <f t="array" ref="Y426:Y463">Y382:Y419/Y420</f>
        <v>0.29213483146067415</v>
      </c>
      <c r="Z426" s="333">
        <f t="array" ref="Z426:Z463">Z382:Z419/Z420</f>
        <v>0.30769230769230771</v>
      </c>
      <c r="AA426" s="333">
        <f t="array" ref="AA426:AA463">AA382:AA419/AA420</f>
        <v>0.27500000000000002</v>
      </c>
      <c r="AB426" s="474"/>
      <c r="AC426" s="474"/>
      <c r="AD426" s="474"/>
      <c r="AE426" s="474"/>
      <c r="AF426" s="474"/>
      <c r="AH426"/>
      <c r="AI426"/>
      <c r="AK426" s="310" t="str">
        <f t="array" ref="AK426:AK463">LL.list</f>
        <v>64 kbps</v>
      </c>
      <c r="AM426" s="333">
        <f t="array" ref="AM426:AM463">AM382:AM419/AM420</f>
        <v>0.4632983377077865</v>
      </c>
      <c r="AN426" s="333">
        <f t="array" ref="AN426:AN463">AN382:AN419/AN420</f>
        <v>0.39273983463585904</v>
      </c>
      <c r="AO426" s="333">
        <f t="array" ref="AO426:AO463">AO382:AO419/AO420</f>
        <v>0.32578313253012048</v>
      </c>
      <c r="AP426" s="333">
        <f t="array" ref="AP426:AP463">AP382:AP419/AP420</f>
        <v>0.31032605408021291</v>
      </c>
      <c r="AQ426" s="333">
        <f t="array" ref="AQ426:AQ463">AQ382:AQ419/AQ420</f>
        <v>0.33180341759638471</v>
      </c>
      <c r="AR426" s="333">
        <f t="array" ref="AR426:AR463">AR382:AR419/AR420</f>
        <v>0.2832618025751073</v>
      </c>
      <c r="AS426" s="474"/>
      <c r="AT426" s="474"/>
      <c r="AU426" s="474"/>
      <c r="AV426" s="474"/>
      <c r="AW426" s="474"/>
      <c r="AY426"/>
      <c r="AZ426"/>
    </row>
    <row r="427" spans="3:52" s="299" customFormat="1">
      <c r="C427" s="310" t="str">
        <v>128 kbps</v>
      </c>
      <c r="E427" s="333">
        <v>9.8987108655616954E-2</v>
      </c>
      <c r="F427" s="333">
        <v>8.9367885686606932E-2</v>
      </c>
      <c r="G427" s="333">
        <v>9.9210526315789485E-2</v>
      </c>
      <c r="H427" s="333">
        <v>0.12003669243873676</v>
      </c>
      <c r="I427" s="333">
        <v>0.16221314052184846</v>
      </c>
      <c r="J427" s="333">
        <v>0.22063078703703703</v>
      </c>
      <c r="K427" s="474"/>
      <c r="L427" s="474"/>
      <c r="M427" s="474"/>
      <c r="N427" s="474"/>
      <c r="O427" s="474"/>
      <c r="T427" s="310" t="str">
        <v>128 kbps</v>
      </c>
      <c r="V427" s="333">
        <v>9.166666666666666E-2</v>
      </c>
      <c r="W427" s="333">
        <v>9.5744680851063829E-2</v>
      </c>
      <c r="X427" s="333">
        <v>8.8888888888888892E-2</v>
      </c>
      <c r="Y427" s="333">
        <v>0.12359550561797752</v>
      </c>
      <c r="Z427" s="333">
        <v>0.14102564102564102</v>
      </c>
      <c r="AA427" s="333">
        <v>0.21249999999999999</v>
      </c>
      <c r="AB427" s="474"/>
      <c r="AC427" s="474"/>
      <c r="AD427" s="474"/>
      <c r="AE427" s="474"/>
      <c r="AF427" s="474"/>
      <c r="AH427"/>
      <c r="AI427"/>
      <c r="AK427" s="310" t="str">
        <v>128 kbps</v>
      </c>
      <c r="AM427" s="333">
        <v>9.514435695538058E-2</v>
      </c>
      <c r="AN427" s="333">
        <v>9.2762487257900095E-2</v>
      </c>
      <c r="AO427" s="333">
        <v>9.3614457831325298E-2</v>
      </c>
      <c r="AP427" s="333">
        <v>0.12195269493678543</v>
      </c>
      <c r="AQ427" s="333">
        <v>0.15054370851574636</v>
      </c>
      <c r="AR427" s="333">
        <v>0.21626877682403434</v>
      </c>
      <c r="AS427" s="474"/>
      <c r="AT427" s="474"/>
      <c r="AU427" s="474"/>
      <c r="AV427" s="474"/>
      <c r="AW427" s="474"/>
      <c r="AY427"/>
      <c r="AZ427"/>
    </row>
    <row r="428" spans="3:52" s="299" customFormat="1">
      <c r="C428" s="310" t="str">
        <v>192 kbps</v>
      </c>
      <c r="E428" s="333">
        <v>0.10524861878453039</v>
      </c>
      <c r="F428" s="333">
        <v>0.13998546863647374</v>
      </c>
      <c r="G428" s="333">
        <v>0.23</v>
      </c>
      <c r="H428" s="333">
        <v>0.24583933953610276</v>
      </c>
      <c r="I428" s="333">
        <v>0.205595724614901</v>
      </c>
      <c r="J428" s="333">
        <v>0.22685185185185183</v>
      </c>
      <c r="K428" s="474"/>
      <c r="L428" s="474"/>
      <c r="M428" s="474"/>
      <c r="N428" s="474"/>
      <c r="O428" s="474"/>
      <c r="T428" s="310" t="str">
        <v>192 kbps</v>
      </c>
      <c r="V428" s="333">
        <v>0.1</v>
      </c>
      <c r="W428" s="333">
        <v>0.1276595744680851</v>
      </c>
      <c r="X428" s="333">
        <v>0.21111111111111111</v>
      </c>
      <c r="Y428" s="333">
        <v>0.2247191011235955</v>
      </c>
      <c r="Z428" s="333">
        <v>0.19230769230769232</v>
      </c>
      <c r="AA428" s="333">
        <v>0.2</v>
      </c>
      <c r="AB428" s="474"/>
      <c r="AC428" s="474"/>
      <c r="AD428" s="474"/>
      <c r="AE428" s="474"/>
      <c r="AF428" s="474"/>
      <c r="AH428"/>
      <c r="AI428"/>
      <c r="AK428" s="310" t="str">
        <v>192 kbps</v>
      </c>
      <c r="AM428" s="333">
        <v>0.10249343832020998</v>
      </c>
      <c r="AN428" s="333">
        <v>0.13342394382149733</v>
      </c>
      <c r="AO428" s="333">
        <v>0.21975903614457828</v>
      </c>
      <c r="AP428" s="333">
        <v>0.23446857419393866</v>
      </c>
      <c r="AQ428" s="333">
        <v>0.19827707950854401</v>
      </c>
      <c r="AR428" s="333">
        <v>0.21244635193133046</v>
      </c>
      <c r="AS428" s="474"/>
      <c r="AT428" s="474"/>
      <c r="AU428" s="474"/>
      <c r="AV428" s="474"/>
      <c r="AW428" s="474"/>
      <c r="AY428"/>
      <c r="AZ428"/>
    </row>
    <row r="429" spans="3:52" s="299" customFormat="1">
      <c r="C429" s="310" t="str">
        <v>256 kbps</v>
      </c>
      <c r="E429" s="333">
        <v>9.2081031307550645E-2</v>
      </c>
      <c r="F429" s="333">
        <v>8.8883506902397685E-2</v>
      </c>
      <c r="G429" s="333">
        <v>8.6315789473684235E-2</v>
      </c>
      <c r="H429" s="333">
        <v>0.10680120560870135</v>
      </c>
      <c r="I429" s="333">
        <v>6.9946557686262165E-2</v>
      </c>
      <c r="J429" s="333">
        <v>7.2193287037037035E-2</v>
      </c>
      <c r="K429" s="474"/>
      <c r="L429" s="474"/>
      <c r="M429" s="474"/>
      <c r="N429" s="474"/>
      <c r="O429" s="474"/>
      <c r="T429" s="310" t="str">
        <v>256 kbps</v>
      </c>
      <c r="V429" s="333">
        <v>9.166666666666666E-2</v>
      </c>
      <c r="W429" s="333">
        <v>9.5744680851063829E-2</v>
      </c>
      <c r="X429" s="333">
        <v>8.8888888888888892E-2</v>
      </c>
      <c r="Y429" s="333">
        <v>0.11235955056179775</v>
      </c>
      <c r="Z429" s="333">
        <v>7.6923076923076927E-2</v>
      </c>
      <c r="AA429" s="333">
        <v>6.25E-2</v>
      </c>
      <c r="AB429" s="474"/>
      <c r="AC429" s="474"/>
      <c r="AD429" s="474"/>
      <c r="AE429" s="474"/>
      <c r="AF429" s="474"/>
      <c r="AH429"/>
      <c r="AI429"/>
      <c r="AK429" s="310" t="str">
        <v>256 kbps</v>
      </c>
      <c r="AM429" s="333">
        <v>9.1863517060367453E-2</v>
      </c>
      <c r="AN429" s="333">
        <v>9.253596103749008E-2</v>
      </c>
      <c r="AO429" s="333">
        <v>8.7710843373493982E-2</v>
      </c>
      <c r="AP429" s="333">
        <v>0.10979372088802854</v>
      </c>
      <c r="AQ429" s="333">
        <v>7.3789012851292177E-2</v>
      </c>
      <c r="AR429" s="333">
        <v>6.6993025751072965E-2</v>
      </c>
      <c r="AS429" s="474"/>
      <c r="AT429" s="474"/>
      <c r="AU429" s="474"/>
      <c r="AV429" s="474"/>
      <c r="AW429" s="474"/>
      <c r="AY429"/>
      <c r="AZ429"/>
    </row>
    <row r="430" spans="3:52" s="299" customFormat="1">
      <c r="C430" s="310" t="str">
        <v>384 kbps</v>
      </c>
      <c r="E430" s="333">
        <v>1.841620626151013E-2</v>
      </c>
      <c r="F430" s="333">
        <v>6.7813029789295246E-3</v>
      </c>
      <c r="G430" s="333">
        <v>9.7368421052631601E-3</v>
      </c>
      <c r="H430" s="333">
        <v>-7.8626654435853837E-4</v>
      </c>
      <c r="I430" s="333">
        <v>-2.6721156868909153E-3</v>
      </c>
      <c r="J430" s="333">
        <v>1.5914351851851864E-3</v>
      </c>
      <c r="K430" s="474"/>
      <c r="L430" s="474"/>
      <c r="M430" s="474"/>
      <c r="N430" s="474"/>
      <c r="O430" s="474"/>
      <c r="T430" s="310" t="str">
        <v>384 kbps</v>
      </c>
      <c r="V430" s="333">
        <v>2.5000000000000001E-2</v>
      </c>
      <c r="W430" s="333">
        <v>2.1276595744680851E-2</v>
      </c>
      <c r="X430" s="333">
        <v>1.1111111111111112E-2</v>
      </c>
      <c r="Y430" s="333">
        <v>1.1235955056179775E-2</v>
      </c>
      <c r="Z430" s="333">
        <v>1.282051282051282E-2</v>
      </c>
      <c r="AA430" s="333">
        <v>1.2500000000000001E-2</v>
      </c>
      <c r="AB430" s="474"/>
      <c r="AC430" s="474"/>
      <c r="AD430" s="474"/>
      <c r="AE430" s="474"/>
      <c r="AF430" s="474"/>
      <c r="AH430"/>
      <c r="AI430"/>
      <c r="AK430" s="310" t="str">
        <v>384 kbps</v>
      </c>
      <c r="AM430" s="333">
        <v>2.1872265966754158E-2</v>
      </c>
      <c r="AN430" s="333">
        <v>1.4497678106240797E-2</v>
      </c>
      <c r="AO430" s="333">
        <v>1.0481927710843374E-2</v>
      </c>
      <c r="AP430" s="333">
        <v>5.6862863710604311E-3</v>
      </c>
      <c r="AQ430" s="333">
        <v>5.8607541307724893E-3</v>
      </c>
      <c r="AR430" s="333">
        <v>7.4436695278969961E-3</v>
      </c>
      <c r="AS430" s="474"/>
      <c r="AT430" s="474"/>
      <c r="AU430" s="474"/>
      <c r="AV430" s="474"/>
      <c r="AW430" s="474"/>
      <c r="AY430"/>
      <c r="AZ430"/>
    </row>
    <row r="431" spans="3:52" s="299" customFormat="1">
      <c r="C431" s="310" t="str">
        <v>512 kbps</v>
      </c>
      <c r="E431" s="333">
        <v>1.4732965009208109E-2</v>
      </c>
      <c r="F431" s="333">
        <v>2.0465003632840886E-2</v>
      </c>
      <c r="G431" s="333">
        <v>3.4210526315789453E-3</v>
      </c>
      <c r="H431" s="333">
        <v>3.0140217533743941E-3</v>
      </c>
      <c r="I431" s="333">
        <v>1.7290160326941227E-3</v>
      </c>
      <c r="J431" s="333">
        <v>8.1018518518518514E-3</v>
      </c>
      <c r="K431" s="474"/>
      <c r="L431" s="474"/>
      <c r="M431" s="474"/>
      <c r="N431" s="474"/>
      <c r="O431" s="474"/>
      <c r="T431" s="310" t="str">
        <v>512 kbps</v>
      </c>
      <c r="V431" s="333">
        <v>2.5000000000000001E-2</v>
      </c>
      <c r="W431" s="333">
        <v>2.1276595744680851E-2</v>
      </c>
      <c r="X431" s="333">
        <v>2.2222222222222223E-2</v>
      </c>
      <c r="Y431" s="333">
        <v>1.1235955056179775E-2</v>
      </c>
      <c r="Z431" s="333">
        <v>1.282051282051282E-2</v>
      </c>
      <c r="AA431" s="333">
        <v>1.2500000000000001E-2</v>
      </c>
      <c r="AB431" s="474"/>
      <c r="AC431" s="474"/>
      <c r="AD431" s="474"/>
      <c r="AE431" s="474"/>
      <c r="AF431" s="474"/>
      <c r="AH431"/>
      <c r="AI431"/>
      <c r="AK431" s="310" t="str">
        <v>512 kbps</v>
      </c>
      <c r="AM431" s="333">
        <v>2.0122484689413828E-2</v>
      </c>
      <c r="AN431" s="333">
        <v>2.0897043832823647E-2</v>
      </c>
      <c r="AO431" s="333">
        <v>1.36144578313253E-2</v>
      </c>
      <c r="AP431" s="333">
        <v>7.4405662089407779E-3</v>
      </c>
      <c r="AQ431" s="333">
        <v>7.8378760062138113E-3</v>
      </c>
      <c r="AR431" s="333">
        <v>1.046137339055794E-2</v>
      </c>
      <c r="AS431" s="474"/>
      <c r="AT431" s="474"/>
      <c r="AU431" s="474"/>
      <c r="AV431" s="474"/>
      <c r="AW431" s="474"/>
      <c r="AY431"/>
      <c r="AZ431"/>
    </row>
    <row r="432" spans="3:52" s="299" customFormat="1">
      <c r="C432" s="310" t="str">
        <v>768 kbps</v>
      </c>
      <c r="E432" s="333">
        <v>-1.4732965009208107E-3</v>
      </c>
      <c r="F432" s="333">
        <v>2.9062727052555104E-3</v>
      </c>
      <c r="G432" s="333">
        <v>-3.1578947368421056E-3</v>
      </c>
      <c r="H432" s="333">
        <v>1.0483553924780511E-3</v>
      </c>
      <c r="I432" s="333">
        <v>4.4011317195850365E-3</v>
      </c>
      <c r="J432" s="333">
        <v>2.8935185185185211E-4</v>
      </c>
      <c r="K432" s="474"/>
      <c r="L432" s="474"/>
      <c r="M432" s="474"/>
      <c r="N432" s="474"/>
      <c r="O432" s="474"/>
      <c r="T432" s="310" t="str">
        <v>768 kbps</v>
      </c>
      <c r="V432" s="333">
        <v>8.3333333333333332E-3</v>
      </c>
      <c r="W432" s="333">
        <v>1.0638297872340425E-2</v>
      </c>
      <c r="X432" s="333">
        <v>1.1111111111111112E-2</v>
      </c>
      <c r="Y432" s="333">
        <v>1.1235955056179775E-2</v>
      </c>
      <c r="Z432" s="333">
        <v>1.282051282051282E-2</v>
      </c>
      <c r="AA432" s="333">
        <v>1.2500000000000001E-2</v>
      </c>
      <c r="AB432" s="474"/>
      <c r="AC432" s="474"/>
      <c r="AD432" s="474"/>
      <c r="AE432" s="474"/>
      <c r="AF432" s="474"/>
      <c r="AH432"/>
      <c r="AI432"/>
      <c r="AK432" s="310" t="str">
        <v>768 kbps</v>
      </c>
      <c r="AM432" s="333">
        <v>3.6745406824146981E-3</v>
      </c>
      <c r="AN432" s="333">
        <v>7.0223128327103861E-3</v>
      </c>
      <c r="AO432" s="333">
        <v>4.5783132530120485E-3</v>
      </c>
      <c r="AP432" s="333">
        <v>6.5331800858992196E-3</v>
      </c>
      <c r="AQ432" s="333">
        <v>9.0382714305889001E-3</v>
      </c>
      <c r="AR432" s="333">
        <v>6.8401287553648072E-3</v>
      </c>
      <c r="AS432" s="474"/>
      <c r="AT432" s="474"/>
      <c r="AU432" s="474"/>
      <c r="AV432" s="474"/>
      <c r="AW432" s="474"/>
      <c r="AY432"/>
      <c r="AZ432"/>
    </row>
    <row r="433" spans="3:52" s="299" customFormat="1">
      <c r="C433" s="310" t="str">
        <v>1024 kbps</v>
      </c>
      <c r="E433" s="333">
        <v>2.0626151012891347E-2</v>
      </c>
      <c r="F433" s="333">
        <v>5.3281666263017688E-3</v>
      </c>
      <c r="G433" s="333">
        <v>6.578947368421054E-3</v>
      </c>
      <c r="H433" s="333">
        <v>7.8626654435853781E-3</v>
      </c>
      <c r="I433" s="333">
        <v>1.8861993083935885E-3</v>
      </c>
      <c r="J433" s="333">
        <v>-5.7870370370370421E-4</v>
      </c>
      <c r="K433" s="474"/>
      <c r="L433" s="474"/>
      <c r="M433" s="474"/>
      <c r="N433" s="474"/>
      <c r="O433" s="474"/>
      <c r="T433" s="310" t="str">
        <v>1024 kbps</v>
      </c>
      <c r="V433" s="333">
        <v>3.3333333333333333E-2</v>
      </c>
      <c r="W433" s="333">
        <v>1.0638297872340425E-2</v>
      </c>
      <c r="X433" s="333">
        <v>2.2222222222222223E-2</v>
      </c>
      <c r="Y433" s="333">
        <v>1.1235955056179775E-2</v>
      </c>
      <c r="Z433" s="333">
        <v>1.282051282051282E-2</v>
      </c>
      <c r="AA433" s="333">
        <v>1.2500000000000001E-2</v>
      </c>
      <c r="AB433" s="474"/>
      <c r="AC433" s="474"/>
      <c r="AD433" s="474"/>
      <c r="AE433" s="474"/>
      <c r="AF433" s="474"/>
      <c r="AH433"/>
      <c r="AI433"/>
      <c r="AK433" s="310" t="str">
        <v>1024 kbps</v>
      </c>
      <c r="AM433" s="333">
        <v>2.7296587926509189E-2</v>
      </c>
      <c r="AN433" s="333">
        <v>8.1549439347604474E-3</v>
      </c>
      <c r="AO433" s="333">
        <v>1.5060240963855422E-2</v>
      </c>
      <c r="AP433" s="333">
        <v>9.6787853124432888E-3</v>
      </c>
      <c r="AQ433" s="333">
        <v>7.9084875017652878E-3</v>
      </c>
      <c r="AR433" s="333">
        <v>6.4377682403433476E-3</v>
      </c>
      <c r="AS433" s="474"/>
      <c r="AT433" s="474"/>
      <c r="AU433" s="474"/>
      <c r="AV433" s="474"/>
      <c r="AW433" s="474"/>
      <c r="AY433"/>
      <c r="AZ433"/>
    </row>
    <row r="434" spans="3:52" s="299" customFormat="1">
      <c r="C434" s="331" t="str">
        <v>E1 (2.04 Mbps)</v>
      </c>
      <c r="E434" s="333">
        <v>0.15764272559852668</v>
      </c>
      <c r="F434" s="333">
        <v>0.21651731654153555</v>
      </c>
      <c r="G434" s="333">
        <v>0.19736842105263161</v>
      </c>
      <c r="H434" s="333">
        <v>0.15043899882060022</v>
      </c>
      <c r="I434" s="333">
        <v>0.12873310279786232</v>
      </c>
      <c r="J434" s="333">
        <v>0.10416666666666664</v>
      </c>
      <c r="K434" s="474"/>
      <c r="L434" s="474"/>
      <c r="M434" s="474"/>
      <c r="N434" s="474"/>
      <c r="O434" s="474"/>
      <c r="T434" s="331" t="str">
        <v>E1 (2.04 Mbps)</v>
      </c>
      <c r="V434" s="333">
        <v>0.15833333333333333</v>
      </c>
      <c r="W434" s="333">
        <v>0.19148936170212766</v>
      </c>
      <c r="X434" s="333">
        <v>0.16666666666666666</v>
      </c>
      <c r="Y434" s="333">
        <v>0.14606741573033707</v>
      </c>
      <c r="Z434" s="333">
        <v>0.12820512820512819</v>
      </c>
      <c r="AA434" s="333">
        <v>0.1</v>
      </c>
      <c r="AB434" s="474"/>
      <c r="AC434" s="474"/>
      <c r="AD434" s="474"/>
      <c r="AE434" s="474"/>
      <c r="AF434" s="474"/>
      <c r="AH434"/>
      <c r="AI434"/>
      <c r="AK434" s="331" t="str">
        <v>E1 (2.04 Mbps)</v>
      </c>
      <c r="AM434" s="333">
        <v>0.158005249343832</v>
      </c>
      <c r="AN434" s="333">
        <v>0.20319401970778117</v>
      </c>
      <c r="AO434" s="333">
        <v>0.18072289156626506</v>
      </c>
      <c r="AP434" s="333">
        <v>0.1480854152803823</v>
      </c>
      <c r="AQ434" s="333">
        <v>0.12844231040813445</v>
      </c>
      <c r="AR434" s="333">
        <v>0.101931330472103</v>
      </c>
      <c r="AS434" s="474"/>
      <c r="AT434" s="474"/>
      <c r="AU434" s="474"/>
      <c r="AV434" s="474"/>
      <c r="AW434" s="474"/>
      <c r="AY434"/>
      <c r="AZ434"/>
    </row>
    <row r="435" spans="3:52" s="299" customFormat="1">
      <c r="C435" s="331" t="str">
        <v>E2 *</v>
      </c>
      <c r="E435" s="333">
        <v>0</v>
      </c>
      <c r="F435" s="333">
        <v>0</v>
      </c>
      <c r="G435" s="333">
        <v>0</v>
      </c>
      <c r="H435" s="333">
        <v>0</v>
      </c>
      <c r="I435" s="333">
        <v>0</v>
      </c>
      <c r="J435" s="333">
        <v>0</v>
      </c>
      <c r="K435" s="474"/>
      <c r="L435" s="474"/>
      <c r="M435" s="474"/>
      <c r="N435" s="474"/>
      <c r="O435" s="474"/>
      <c r="T435" s="331" t="str">
        <v>E2 *</v>
      </c>
      <c r="V435" s="333">
        <v>0</v>
      </c>
      <c r="W435" s="333">
        <v>0</v>
      </c>
      <c r="X435" s="333">
        <v>0</v>
      </c>
      <c r="Y435" s="333">
        <v>0</v>
      </c>
      <c r="Z435" s="333">
        <v>0</v>
      </c>
      <c r="AA435" s="333">
        <v>0</v>
      </c>
      <c r="AB435" s="474"/>
      <c r="AC435" s="474"/>
      <c r="AD435" s="474"/>
      <c r="AE435" s="474"/>
      <c r="AF435" s="474"/>
      <c r="AH435"/>
      <c r="AI435"/>
      <c r="AK435" s="331" t="str">
        <v>E2 *</v>
      </c>
      <c r="AM435" s="333">
        <v>0</v>
      </c>
      <c r="AN435" s="333">
        <v>0</v>
      </c>
      <c r="AO435" s="333">
        <v>0</v>
      </c>
      <c r="AP435" s="333">
        <v>0</v>
      </c>
      <c r="AQ435" s="333">
        <v>0</v>
      </c>
      <c r="AR435" s="333">
        <v>0</v>
      </c>
      <c r="AS435" s="474"/>
      <c r="AT435" s="474"/>
      <c r="AU435" s="474"/>
      <c r="AV435" s="474"/>
      <c r="AW435" s="474"/>
      <c r="AY435"/>
      <c r="AZ435"/>
    </row>
    <row r="436" spans="3:52" s="299" customFormat="1">
      <c r="C436" s="331" t="str">
        <v>E3 (34 Mbps)</v>
      </c>
      <c r="E436" s="333">
        <v>6.4456721915285469E-3</v>
      </c>
      <c r="F436" s="333">
        <v>7.0234923710341506E-3</v>
      </c>
      <c r="G436" s="333">
        <v>-1.0526315789473682E-3</v>
      </c>
      <c r="H436" s="333">
        <v>7.8626654435853837E-4</v>
      </c>
      <c r="I436" s="333">
        <v>1.5718327569946571E-3</v>
      </c>
      <c r="J436" s="333">
        <v>-2.4594907407407413E-3</v>
      </c>
      <c r="K436" s="474"/>
      <c r="L436" s="474"/>
      <c r="M436" s="474"/>
      <c r="N436" s="474"/>
      <c r="O436" s="474"/>
      <c r="T436" s="331" t="str">
        <v>E3 (34 Mbps)</v>
      </c>
      <c r="V436" s="333">
        <v>1.6666666666666666E-2</v>
      </c>
      <c r="W436" s="333">
        <v>2.1276595744680851E-2</v>
      </c>
      <c r="X436" s="333">
        <v>1.1111111111111112E-2</v>
      </c>
      <c r="Y436" s="333">
        <v>1.1235955056179775E-2</v>
      </c>
      <c r="Z436" s="333">
        <v>1.282051282051282E-2</v>
      </c>
      <c r="AA436" s="333">
        <v>1.2500000000000001E-2</v>
      </c>
      <c r="AB436" s="474"/>
      <c r="AC436" s="474"/>
      <c r="AD436" s="474"/>
      <c r="AE436" s="474"/>
      <c r="AF436" s="474"/>
      <c r="AH436"/>
      <c r="AI436"/>
      <c r="AK436" s="331" t="str">
        <v>E3 (34 Mbps)</v>
      </c>
      <c r="AM436" s="333">
        <v>1.1811023622047246E-2</v>
      </c>
      <c r="AN436" s="333">
        <v>1.4610941216445803E-2</v>
      </c>
      <c r="AO436" s="333">
        <v>5.5421686746987952E-3</v>
      </c>
      <c r="AP436" s="333">
        <v>6.412195269493679E-3</v>
      </c>
      <c r="AQ436" s="333">
        <v>7.7672645106623365E-3</v>
      </c>
      <c r="AR436" s="333">
        <v>5.565987124463519E-3</v>
      </c>
      <c r="AS436" s="474"/>
      <c r="AT436" s="474"/>
      <c r="AU436" s="474"/>
      <c r="AV436" s="474"/>
      <c r="AW436" s="474"/>
      <c r="AY436"/>
      <c r="AZ436"/>
    </row>
    <row r="437" spans="3:52" s="299" customFormat="1">
      <c r="C437" s="331" t="str">
        <v>STM-1 (155 Mbps)</v>
      </c>
      <c r="E437" s="333">
        <v>0</v>
      </c>
      <c r="F437" s="333">
        <v>0</v>
      </c>
      <c r="G437" s="333">
        <v>0</v>
      </c>
      <c r="H437" s="333">
        <v>0</v>
      </c>
      <c r="I437" s="333">
        <v>0</v>
      </c>
      <c r="J437" s="333">
        <v>0</v>
      </c>
      <c r="K437" s="474"/>
      <c r="L437" s="474"/>
      <c r="M437" s="474"/>
      <c r="N437" s="474"/>
      <c r="O437" s="474"/>
      <c r="T437" s="331" t="str">
        <v>STM-1 (155 Mbps)</v>
      </c>
      <c r="V437" s="333">
        <v>0</v>
      </c>
      <c r="W437" s="333">
        <v>0</v>
      </c>
      <c r="X437" s="333">
        <v>0</v>
      </c>
      <c r="Y437" s="333">
        <v>0</v>
      </c>
      <c r="Z437" s="333">
        <v>0</v>
      </c>
      <c r="AA437" s="333">
        <v>0</v>
      </c>
      <c r="AB437" s="474"/>
      <c r="AC437" s="474"/>
      <c r="AD437" s="474"/>
      <c r="AE437" s="474"/>
      <c r="AF437" s="474"/>
      <c r="AH437"/>
      <c r="AI437"/>
      <c r="AK437" s="331" t="str">
        <v>STM-1 (155 Mbps)</v>
      </c>
      <c r="AM437" s="333">
        <v>0</v>
      </c>
      <c r="AN437" s="333">
        <v>0</v>
      </c>
      <c r="AO437" s="333">
        <v>0</v>
      </c>
      <c r="AP437" s="333">
        <v>0</v>
      </c>
      <c r="AQ437" s="333">
        <v>0</v>
      </c>
      <c r="AR437" s="333">
        <v>0</v>
      </c>
      <c r="AS437" s="474"/>
      <c r="AT437" s="474"/>
      <c r="AU437" s="474"/>
      <c r="AV437" s="474"/>
      <c r="AW437" s="474"/>
      <c r="AY437"/>
      <c r="AZ437"/>
    </row>
    <row r="438" spans="3:52" s="299" customFormat="1">
      <c r="C438" s="310" t="str">
        <v>STM-4 (622.08 Mbps)</v>
      </c>
      <c r="E438" s="333">
        <v>0</v>
      </c>
      <c r="F438" s="333">
        <v>0</v>
      </c>
      <c r="G438" s="333">
        <v>0</v>
      </c>
      <c r="H438" s="333">
        <v>0</v>
      </c>
      <c r="I438" s="333">
        <v>0</v>
      </c>
      <c r="J438" s="333">
        <v>0</v>
      </c>
      <c r="K438" s="474"/>
      <c r="L438" s="474"/>
      <c r="M438" s="474"/>
      <c r="N438" s="474"/>
      <c r="O438" s="474"/>
      <c r="T438" s="310" t="str">
        <v>STM-4 (622.08 Mbps)</v>
      </c>
      <c r="V438" s="333">
        <v>0</v>
      </c>
      <c r="W438" s="333">
        <v>0</v>
      </c>
      <c r="X438" s="333">
        <v>0</v>
      </c>
      <c r="Y438" s="333">
        <v>0</v>
      </c>
      <c r="Z438" s="333">
        <v>0</v>
      </c>
      <c r="AA438" s="333">
        <v>0</v>
      </c>
      <c r="AB438" s="474"/>
      <c r="AC438" s="474"/>
      <c r="AD438" s="474"/>
      <c r="AE438" s="474"/>
      <c r="AF438" s="474"/>
      <c r="AH438"/>
      <c r="AI438"/>
      <c r="AK438" s="310" t="str">
        <v>STM-4 (622.08 Mbps)</v>
      </c>
      <c r="AM438" s="333">
        <v>0</v>
      </c>
      <c r="AN438" s="333">
        <v>0</v>
      </c>
      <c r="AO438" s="333">
        <v>0</v>
      </c>
      <c r="AP438" s="333">
        <v>0</v>
      </c>
      <c r="AQ438" s="333">
        <v>0</v>
      </c>
      <c r="AR438" s="333">
        <v>0</v>
      </c>
      <c r="AS438" s="474"/>
      <c r="AT438" s="474"/>
      <c r="AU438" s="474"/>
      <c r="AV438" s="474"/>
      <c r="AW438" s="474"/>
      <c r="AY438"/>
      <c r="AZ438"/>
    </row>
    <row r="439" spans="3:52" s="299" customFormat="1">
      <c r="C439" s="310" t="str">
        <v>STM-16 (2488.32Mbps)</v>
      </c>
      <c r="E439" s="333">
        <v>0</v>
      </c>
      <c r="F439" s="333">
        <v>0</v>
      </c>
      <c r="G439" s="333">
        <v>0</v>
      </c>
      <c r="H439" s="333">
        <v>0</v>
      </c>
      <c r="I439" s="333">
        <v>0</v>
      </c>
      <c r="J439" s="333">
        <v>0</v>
      </c>
      <c r="K439" s="474"/>
      <c r="L439" s="474"/>
      <c r="M439" s="474"/>
      <c r="N439" s="474"/>
      <c r="O439" s="474"/>
      <c r="T439" s="310" t="str">
        <v>STM-16 (2488.32Mbps)</v>
      </c>
      <c r="V439" s="333">
        <v>0</v>
      </c>
      <c r="W439" s="333">
        <v>0</v>
      </c>
      <c r="X439" s="333">
        <v>0</v>
      </c>
      <c r="Y439" s="333">
        <v>0</v>
      </c>
      <c r="Z439" s="333">
        <v>0</v>
      </c>
      <c r="AA439" s="333">
        <v>0</v>
      </c>
      <c r="AB439" s="474"/>
      <c r="AC439" s="474"/>
      <c r="AD439" s="474"/>
      <c r="AE439" s="474"/>
      <c r="AF439" s="474"/>
      <c r="AH439"/>
      <c r="AI439"/>
      <c r="AK439" s="310" t="str">
        <v>STM-16 (2488.32Mbps)</v>
      </c>
      <c r="AM439" s="333">
        <v>0</v>
      </c>
      <c r="AN439" s="333">
        <v>0</v>
      </c>
      <c r="AO439" s="333">
        <v>0</v>
      </c>
      <c r="AP439" s="333">
        <v>0</v>
      </c>
      <c r="AQ439" s="333">
        <v>0</v>
      </c>
      <c r="AR439" s="333">
        <v>0</v>
      </c>
      <c r="AS439" s="474"/>
      <c r="AT439" s="474"/>
      <c r="AU439" s="474"/>
      <c r="AV439" s="474"/>
      <c r="AW439" s="474"/>
      <c r="AY439"/>
      <c r="AZ439"/>
    </row>
    <row r="440" spans="3:52" s="299" customFormat="1">
      <c r="C440" s="310" t="str">
        <v>STM-64 (9953.28Mbps)</v>
      </c>
      <c r="E440" s="333">
        <v>0</v>
      </c>
      <c r="F440" s="333">
        <v>0</v>
      </c>
      <c r="G440" s="333">
        <v>0</v>
      </c>
      <c r="H440" s="333">
        <v>0</v>
      </c>
      <c r="I440" s="333">
        <v>0</v>
      </c>
      <c r="J440" s="333">
        <v>0</v>
      </c>
      <c r="K440" s="474"/>
      <c r="L440" s="474"/>
      <c r="M440" s="474"/>
      <c r="N440" s="474"/>
      <c r="O440" s="474"/>
      <c r="T440" s="310" t="str">
        <v>STM-64 (9953.28Mbps)</v>
      </c>
      <c r="V440" s="333">
        <v>0</v>
      </c>
      <c r="W440" s="333">
        <v>0</v>
      </c>
      <c r="X440" s="333">
        <v>0</v>
      </c>
      <c r="Y440" s="333">
        <v>0</v>
      </c>
      <c r="Z440" s="333">
        <v>0</v>
      </c>
      <c r="AA440" s="333">
        <v>0</v>
      </c>
      <c r="AB440" s="474"/>
      <c r="AC440" s="474"/>
      <c r="AD440" s="474"/>
      <c r="AE440" s="474"/>
      <c r="AF440" s="474"/>
      <c r="AH440"/>
      <c r="AI440"/>
      <c r="AK440" s="310" t="str">
        <v>STM-64 (9953.28Mbps)</v>
      </c>
      <c r="AM440" s="333">
        <v>0</v>
      </c>
      <c r="AN440" s="333">
        <v>0</v>
      </c>
      <c r="AO440" s="333">
        <v>0</v>
      </c>
      <c r="AP440" s="333">
        <v>0</v>
      </c>
      <c r="AQ440" s="333">
        <v>0</v>
      </c>
      <c r="AR440" s="333">
        <v>0</v>
      </c>
      <c r="AS440" s="474"/>
      <c r="AT440" s="474"/>
      <c r="AU440" s="474"/>
      <c r="AV440" s="474"/>
      <c r="AW440" s="474"/>
      <c r="AY440"/>
      <c r="AZ440"/>
    </row>
    <row r="441" spans="3:52" s="299" customFormat="1">
      <c r="C441" s="310" t="str">
        <v>STM-256 (39813.12 Mbps)*</v>
      </c>
      <c r="E441" s="333">
        <v>0</v>
      </c>
      <c r="F441" s="333">
        <v>0</v>
      </c>
      <c r="G441" s="333">
        <v>0</v>
      </c>
      <c r="H441" s="333">
        <v>0</v>
      </c>
      <c r="I441" s="333">
        <v>0</v>
      </c>
      <c r="J441" s="333">
        <v>0</v>
      </c>
      <c r="K441" s="474"/>
      <c r="L441" s="474"/>
      <c r="M441" s="474"/>
      <c r="N441" s="474"/>
      <c r="O441" s="474"/>
      <c r="T441" s="310" t="str">
        <v>STM-256 (39813.12 Mbps)*</v>
      </c>
      <c r="V441" s="333">
        <v>0</v>
      </c>
      <c r="W441" s="333">
        <v>0</v>
      </c>
      <c r="X441" s="333">
        <v>0</v>
      </c>
      <c r="Y441" s="333">
        <v>0</v>
      </c>
      <c r="Z441" s="333">
        <v>0</v>
      </c>
      <c r="AA441" s="333">
        <v>0</v>
      </c>
      <c r="AB441" s="474"/>
      <c r="AC441" s="474"/>
      <c r="AD441" s="474"/>
      <c r="AE441" s="474"/>
      <c r="AF441" s="474"/>
      <c r="AH441"/>
      <c r="AI441"/>
      <c r="AK441" s="310" t="str">
        <v>STM-256 (39813.12 Mbps)*</v>
      </c>
      <c r="AM441" s="333">
        <v>0</v>
      </c>
      <c r="AN441" s="333">
        <v>0</v>
      </c>
      <c r="AO441" s="333">
        <v>0</v>
      </c>
      <c r="AP441" s="333">
        <v>0</v>
      </c>
      <c r="AQ441" s="333">
        <v>0</v>
      </c>
      <c r="AR441" s="333">
        <v>0</v>
      </c>
      <c r="AS441" s="474"/>
      <c r="AT441" s="474"/>
      <c r="AU441" s="474"/>
      <c r="AV441" s="474"/>
      <c r="AW441" s="474"/>
      <c r="AY441"/>
      <c r="AZ441"/>
    </row>
    <row r="442" spans="3:52" s="299" customFormat="1">
      <c r="C442" s="310" t="str">
        <v>Ethernet (10Mbps)</v>
      </c>
      <c r="E442" s="333">
        <v>9.2081031307550737E-5</v>
      </c>
      <c r="F442" s="333">
        <v>1.2109469605231303E-3</v>
      </c>
      <c r="G442" s="333">
        <v>2.2105263157894739E-2</v>
      </c>
      <c r="H442" s="333">
        <v>6.5522212029878136E-3</v>
      </c>
      <c r="I442" s="333">
        <v>3.3794404275385104E-2</v>
      </c>
      <c r="J442" s="333">
        <v>4.1666666666666664E-2</v>
      </c>
      <c r="K442" s="474"/>
      <c r="L442" s="474"/>
      <c r="M442" s="474"/>
      <c r="N442" s="474"/>
      <c r="O442" s="474"/>
      <c r="T442" s="310" t="str">
        <v>Ethernet (10Mbps)</v>
      </c>
      <c r="V442" s="333">
        <v>8.3333333333333332E-3</v>
      </c>
      <c r="W442" s="333">
        <v>2.1276595744680851E-2</v>
      </c>
      <c r="X442" s="333">
        <v>3.3333333333333333E-2</v>
      </c>
      <c r="Y442" s="333">
        <v>1.1235955056179775E-2</v>
      </c>
      <c r="Z442" s="333">
        <v>5.128205128205128E-2</v>
      </c>
      <c r="AA442" s="333">
        <v>3.7499999999999999E-2</v>
      </c>
      <c r="AB442" s="474"/>
      <c r="AC442" s="474"/>
      <c r="AD442" s="474"/>
      <c r="AE442" s="474"/>
      <c r="AF442" s="474"/>
      <c r="AH442"/>
      <c r="AI442"/>
      <c r="AK442" s="310" t="str">
        <v>Ethernet (10Mbps)</v>
      </c>
      <c r="AM442" s="333">
        <v>4.41819772528434E-3</v>
      </c>
      <c r="AN442" s="333">
        <v>1.1892626571525653E-2</v>
      </c>
      <c r="AO442" s="333">
        <v>2.8192771084337348E-2</v>
      </c>
      <c r="AP442" s="333">
        <v>9.0738612304155832E-3</v>
      </c>
      <c r="AQ442" s="333">
        <v>4.3426069764157603E-2</v>
      </c>
      <c r="AR442" s="333">
        <v>3.9431330472103003E-2</v>
      </c>
      <c r="AS442" s="474"/>
      <c r="AT442" s="474"/>
      <c r="AU442" s="474"/>
      <c r="AV442" s="474"/>
      <c r="AW442" s="474"/>
      <c r="AY442"/>
      <c r="AZ442"/>
    </row>
    <row r="443" spans="3:52" s="299" customFormat="1">
      <c r="C443" s="310" t="str">
        <v>Ethernet (20Mbps)</v>
      </c>
      <c r="E443" s="333">
        <v>0</v>
      </c>
      <c r="F443" s="333">
        <v>5.5703560184063947E-3</v>
      </c>
      <c r="G443" s="333">
        <v>6.3157894736842113E-3</v>
      </c>
      <c r="H443" s="333">
        <v>2.6864106932250036E-2</v>
      </c>
      <c r="I443" s="333">
        <v>3.1436655139893112E-2</v>
      </c>
      <c r="J443" s="333">
        <v>3.4722222222222224E-2</v>
      </c>
      <c r="K443" s="474"/>
      <c r="L443" s="474"/>
      <c r="M443" s="474"/>
      <c r="N443" s="474"/>
      <c r="O443" s="474"/>
      <c r="T443" s="310" t="str">
        <v>Ethernet (20Mbps)</v>
      </c>
      <c r="V443" s="333">
        <v>0</v>
      </c>
      <c r="W443" s="333">
        <v>1.0638297872340425E-2</v>
      </c>
      <c r="X443" s="333">
        <v>2.2222222222222223E-2</v>
      </c>
      <c r="Y443" s="333">
        <v>3.3707865168539325E-2</v>
      </c>
      <c r="Z443" s="333">
        <v>3.8461538461538464E-2</v>
      </c>
      <c r="AA443" s="333">
        <v>0.05</v>
      </c>
      <c r="AB443" s="474"/>
      <c r="AC443" s="474"/>
      <c r="AD443" s="474"/>
      <c r="AE443" s="474"/>
      <c r="AF443" s="474"/>
      <c r="AH443"/>
      <c r="AI443"/>
      <c r="AK443" s="310" t="str">
        <v>Ethernet (20Mbps)</v>
      </c>
      <c r="AM443" s="333">
        <v>0</v>
      </c>
      <c r="AN443" s="333">
        <v>8.2682070449654546E-3</v>
      </c>
      <c r="AO443" s="333">
        <v>1.4939759036144579E-2</v>
      </c>
      <c r="AP443" s="333">
        <v>3.0548666142399126E-2</v>
      </c>
      <c r="AQ443" s="333">
        <v>3.5305747775737889E-2</v>
      </c>
      <c r="AR443" s="333">
        <v>4.2918454935622317E-2</v>
      </c>
      <c r="AS443" s="474"/>
      <c r="AT443" s="474"/>
      <c r="AU443" s="474"/>
      <c r="AV443" s="474"/>
      <c r="AW443" s="474"/>
      <c r="AY443"/>
      <c r="AZ443"/>
    </row>
    <row r="444" spans="3:52" s="299" customFormat="1">
      <c r="C444" s="310" t="str">
        <v>Ethernet (30Mbps)</v>
      </c>
      <c r="E444" s="333">
        <v>0</v>
      </c>
      <c r="F444" s="333">
        <v>0</v>
      </c>
      <c r="G444" s="333">
        <v>0</v>
      </c>
      <c r="H444" s="333">
        <v>0</v>
      </c>
      <c r="I444" s="333">
        <v>0</v>
      </c>
      <c r="J444" s="333">
        <v>0</v>
      </c>
      <c r="K444" s="474"/>
      <c r="L444" s="474"/>
      <c r="M444" s="474"/>
      <c r="N444" s="474"/>
      <c r="O444" s="474"/>
      <c r="T444" s="310" t="str">
        <v>Ethernet (30Mbps)</v>
      </c>
      <c r="V444" s="333">
        <v>0</v>
      </c>
      <c r="W444" s="333">
        <v>0</v>
      </c>
      <c r="X444" s="333">
        <v>0</v>
      </c>
      <c r="Y444" s="333">
        <v>0</v>
      </c>
      <c r="Z444" s="333">
        <v>0</v>
      </c>
      <c r="AA444" s="333">
        <v>0</v>
      </c>
      <c r="AB444" s="474"/>
      <c r="AC444" s="474"/>
      <c r="AD444" s="474"/>
      <c r="AE444" s="474"/>
      <c r="AF444" s="474"/>
      <c r="AH444"/>
      <c r="AI444"/>
      <c r="AK444" s="310" t="str">
        <v>Ethernet (30Mbps)</v>
      </c>
      <c r="AM444" s="333">
        <v>0</v>
      </c>
      <c r="AN444" s="333">
        <v>0</v>
      </c>
      <c r="AO444" s="333">
        <v>0</v>
      </c>
      <c r="AP444" s="333">
        <v>0</v>
      </c>
      <c r="AQ444" s="333">
        <v>0</v>
      </c>
      <c r="AR444" s="333">
        <v>0</v>
      </c>
      <c r="AS444" s="474"/>
      <c r="AT444" s="474"/>
      <c r="AU444" s="474"/>
      <c r="AV444" s="474"/>
      <c r="AW444" s="474"/>
      <c r="AY444"/>
      <c r="AZ444"/>
    </row>
    <row r="445" spans="3:52" s="299" customFormat="1">
      <c r="C445" s="310" t="str">
        <v>Ethernet (40Mbps)</v>
      </c>
      <c r="E445" s="333">
        <v>0</v>
      </c>
      <c r="F445" s="333">
        <v>0</v>
      </c>
      <c r="G445" s="333">
        <v>0</v>
      </c>
      <c r="H445" s="333">
        <v>0</v>
      </c>
      <c r="I445" s="333">
        <v>0</v>
      </c>
      <c r="J445" s="333">
        <v>0</v>
      </c>
      <c r="K445" s="474"/>
      <c r="L445" s="474"/>
      <c r="M445" s="474"/>
      <c r="N445" s="474"/>
      <c r="O445" s="474"/>
      <c r="T445" s="310" t="str">
        <v>Ethernet (40Mbps)</v>
      </c>
      <c r="V445" s="333">
        <v>0</v>
      </c>
      <c r="W445" s="333">
        <v>0</v>
      </c>
      <c r="X445" s="333">
        <v>0</v>
      </c>
      <c r="Y445" s="333">
        <v>0</v>
      </c>
      <c r="Z445" s="333">
        <v>0</v>
      </c>
      <c r="AA445" s="333">
        <v>0</v>
      </c>
      <c r="AB445" s="474"/>
      <c r="AC445" s="474"/>
      <c r="AD445" s="474"/>
      <c r="AE445" s="474"/>
      <c r="AF445" s="474"/>
      <c r="AH445"/>
      <c r="AI445"/>
      <c r="AK445" s="310" t="str">
        <v>Ethernet (40Mbps)</v>
      </c>
      <c r="AM445" s="333">
        <v>0</v>
      </c>
      <c r="AN445" s="333">
        <v>0</v>
      </c>
      <c r="AO445" s="333">
        <v>0</v>
      </c>
      <c r="AP445" s="333">
        <v>0</v>
      </c>
      <c r="AQ445" s="333">
        <v>0</v>
      </c>
      <c r="AR445" s="333">
        <v>0</v>
      </c>
      <c r="AS445" s="474"/>
      <c r="AT445" s="474"/>
      <c r="AU445" s="474"/>
      <c r="AV445" s="474"/>
      <c r="AW445" s="474"/>
      <c r="AY445"/>
      <c r="AZ445"/>
    </row>
    <row r="446" spans="3:52" s="299" customFormat="1">
      <c r="C446" s="310" t="str">
        <v>Ethernet (50Mbps)</v>
      </c>
      <c r="E446" s="333">
        <v>0</v>
      </c>
      <c r="F446" s="333">
        <v>0</v>
      </c>
      <c r="G446" s="333">
        <v>0</v>
      </c>
      <c r="H446" s="333">
        <v>0</v>
      </c>
      <c r="I446" s="333">
        <v>0</v>
      </c>
      <c r="J446" s="333">
        <v>0</v>
      </c>
      <c r="K446" s="474"/>
      <c r="L446" s="474"/>
      <c r="M446" s="474"/>
      <c r="N446" s="474"/>
      <c r="O446" s="474"/>
      <c r="T446" s="310" t="str">
        <v>Ethernet (50Mbps)</v>
      </c>
      <c r="V446" s="333">
        <v>0</v>
      </c>
      <c r="W446" s="333">
        <v>0</v>
      </c>
      <c r="X446" s="333">
        <v>0</v>
      </c>
      <c r="Y446" s="333">
        <v>0</v>
      </c>
      <c r="Z446" s="333">
        <v>0</v>
      </c>
      <c r="AA446" s="333">
        <v>0</v>
      </c>
      <c r="AB446" s="474"/>
      <c r="AC446" s="474"/>
      <c r="AD446" s="474"/>
      <c r="AE446" s="474"/>
      <c r="AF446" s="474"/>
      <c r="AH446"/>
      <c r="AI446"/>
      <c r="AK446" s="310" t="str">
        <v>Ethernet (50Mbps)</v>
      </c>
      <c r="AM446" s="333">
        <v>0</v>
      </c>
      <c r="AN446" s="333">
        <v>0</v>
      </c>
      <c r="AO446" s="333">
        <v>0</v>
      </c>
      <c r="AP446" s="333">
        <v>0</v>
      </c>
      <c r="AQ446" s="333">
        <v>0</v>
      </c>
      <c r="AR446" s="333">
        <v>0</v>
      </c>
      <c r="AS446" s="474"/>
      <c r="AT446" s="474"/>
      <c r="AU446" s="474"/>
      <c r="AV446" s="474"/>
      <c r="AW446" s="474"/>
      <c r="AY446"/>
      <c r="AZ446"/>
    </row>
    <row r="447" spans="3:52" s="299" customFormat="1">
      <c r="C447" s="310" t="str">
        <v>Ethernet (60Mbps)</v>
      </c>
      <c r="E447" s="333">
        <v>0</v>
      </c>
      <c r="F447" s="333">
        <v>0</v>
      </c>
      <c r="G447" s="333">
        <v>0</v>
      </c>
      <c r="H447" s="333">
        <v>0</v>
      </c>
      <c r="I447" s="333">
        <v>0</v>
      </c>
      <c r="J447" s="333">
        <v>0</v>
      </c>
      <c r="K447" s="474"/>
      <c r="L447" s="474"/>
      <c r="M447" s="474"/>
      <c r="N447" s="474"/>
      <c r="O447" s="474"/>
      <c r="T447" s="310" t="str">
        <v>Ethernet (60Mbps)</v>
      </c>
      <c r="V447" s="333">
        <v>0</v>
      </c>
      <c r="W447" s="333">
        <v>0</v>
      </c>
      <c r="X447" s="333">
        <v>0</v>
      </c>
      <c r="Y447" s="333">
        <v>0</v>
      </c>
      <c r="Z447" s="333">
        <v>0</v>
      </c>
      <c r="AA447" s="333">
        <v>0</v>
      </c>
      <c r="AB447" s="474"/>
      <c r="AC447" s="474"/>
      <c r="AD447" s="474"/>
      <c r="AE447" s="474"/>
      <c r="AF447" s="474"/>
      <c r="AH447"/>
      <c r="AI447"/>
      <c r="AK447" s="310" t="str">
        <v>Ethernet (60Mbps)</v>
      </c>
      <c r="AM447" s="333">
        <v>0</v>
      </c>
      <c r="AN447" s="333">
        <v>0</v>
      </c>
      <c r="AO447" s="333">
        <v>0</v>
      </c>
      <c r="AP447" s="333">
        <v>0</v>
      </c>
      <c r="AQ447" s="333">
        <v>0</v>
      </c>
      <c r="AR447" s="333">
        <v>0</v>
      </c>
      <c r="AS447" s="474"/>
      <c r="AT447" s="474"/>
      <c r="AU447" s="474"/>
      <c r="AV447" s="474"/>
      <c r="AW447" s="474"/>
      <c r="AY447"/>
      <c r="AZ447"/>
    </row>
    <row r="448" spans="3:52" s="299" customFormat="1">
      <c r="C448" s="310" t="str">
        <v>Ethernet (70Mbps)</v>
      </c>
      <c r="E448" s="333">
        <v>0</v>
      </c>
      <c r="F448" s="333">
        <v>0</v>
      </c>
      <c r="G448" s="333">
        <v>0</v>
      </c>
      <c r="H448" s="333">
        <v>0</v>
      </c>
      <c r="I448" s="333">
        <v>0</v>
      </c>
      <c r="J448" s="333">
        <v>0</v>
      </c>
      <c r="K448" s="474"/>
      <c r="L448" s="474"/>
      <c r="M448" s="474"/>
      <c r="N448" s="474"/>
      <c r="O448" s="474"/>
      <c r="T448" s="310" t="str">
        <v>Ethernet (70Mbps)</v>
      </c>
      <c r="V448" s="333">
        <v>0</v>
      </c>
      <c r="W448" s="333">
        <v>0</v>
      </c>
      <c r="X448" s="333">
        <v>0</v>
      </c>
      <c r="Y448" s="333">
        <v>0</v>
      </c>
      <c r="Z448" s="333">
        <v>0</v>
      </c>
      <c r="AA448" s="333">
        <v>0</v>
      </c>
      <c r="AB448" s="474"/>
      <c r="AC448" s="474"/>
      <c r="AD448" s="474"/>
      <c r="AE448" s="474"/>
      <c r="AF448" s="474"/>
      <c r="AH448"/>
      <c r="AI448"/>
      <c r="AK448" s="310" t="str">
        <v>Ethernet (70Mbps)</v>
      </c>
      <c r="AM448" s="333">
        <v>0</v>
      </c>
      <c r="AN448" s="333">
        <v>0</v>
      </c>
      <c r="AO448" s="333">
        <v>0</v>
      </c>
      <c r="AP448" s="333">
        <v>0</v>
      </c>
      <c r="AQ448" s="333">
        <v>0</v>
      </c>
      <c r="AR448" s="333">
        <v>0</v>
      </c>
      <c r="AS448" s="474"/>
      <c r="AT448" s="474"/>
      <c r="AU448" s="474"/>
      <c r="AV448" s="474"/>
      <c r="AW448" s="474"/>
      <c r="AY448"/>
      <c r="AZ448"/>
    </row>
    <row r="449" spans="3:52" s="299" customFormat="1">
      <c r="C449" s="310" t="str">
        <v>Ethernet (80Mbps)</v>
      </c>
      <c r="E449" s="333">
        <v>0</v>
      </c>
      <c r="F449" s="333">
        <v>0</v>
      </c>
      <c r="G449" s="333">
        <v>0</v>
      </c>
      <c r="H449" s="333">
        <v>0</v>
      </c>
      <c r="I449" s="333">
        <v>0</v>
      </c>
      <c r="J449" s="333">
        <v>0</v>
      </c>
      <c r="K449" s="474"/>
      <c r="L449" s="474"/>
      <c r="M449" s="474"/>
      <c r="N449" s="474"/>
      <c r="O449" s="474"/>
      <c r="T449" s="310" t="str">
        <v>Ethernet (80Mbps)</v>
      </c>
      <c r="V449" s="333">
        <v>0</v>
      </c>
      <c r="W449" s="333">
        <v>0</v>
      </c>
      <c r="X449" s="333">
        <v>0</v>
      </c>
      <c r="Y449" s="333">
        <v>0</v>
      </c>
      <c r="Z449" s="333">
        <v>0</v>
      </c>
      <c r="AA449" s="333">
        <v>0</v>
      </c>
      <c r="AB449" s="474"/>
      <c r="AC449" s="474"/>
      <c r="AD449" s="474"/>
      <c r="AE449" s="474"/>
      <c r="AF449" s="474"/>
      <c r="AH449"/>
      <c r="AI449"/>
      <c r="AK449" s="310" t="str">
        <v>Ethernet (80Mbps)</v>
      </c>
      <c r="AM449" s="333">
        <v>0</v>
      </c>
      <c r="AN449" s="333">
        <v>0</v>
      </c>
      <c r="AO449" s="333">
        <v>0</v>
      </c>
      <c r="AP449" s="333">
        <v>0</v>
      </c>
      <c r="AQ449" s="333">
        <v>0</v>
      </c>
      <c r="AR449" s="333">
        <v>0</v>
      </c>
      <c r="AS449" s="474"/>
      <c r="AT449" s="474"/>
      <c r="AU449" s="474"/>
      <c r="AV449" s="474"/>
      <c r="AW449" s="474"/>
      <c r="AY449"/>
      <c r="AZ449"/>
    </row>
    <row r="450" spans="3:52" s="299" customFormat="1">
      <c r="C450" s="310" t="str">
        <v>Ethernet (90Mbps)</v>
      </c>
      <c r="E450" s="333">
        <v>0</v>
      </c>
      <c r="F450" s="333">
        <v>0</v>
      </c>
      <c r="G450" s="333">
        <v>0</v>
      </c>
      <c r="H450" s="333">
        <v>0</v>
      </c>
      <c r="I450" s="333">
        <v>0</v>
      </c>
      <c r="J450" s="333">
        <v>0</v>
      </c>
      <c r="K450" s="474"/>
      <c r="L450" s="474"/>
      <c r="M450" s="474"/>
      <c r="N450" s="474"/>
      <c r="O450" s="474"/>
      <c r="T450" s="310" t="str">
        <v>Ethernet (90Mbps)</v>
      </c>
      <c r="V450" s="333">
        <v>0</v>
      </c>
      <c r="W450" s="333">
        <v>0</v>
      </c>
      <c r="X450" s="333">
        <v>0</v>
      </c>
      <c r="Y450" s="333">
        <v>0</v>
      </c>
      <c r="Z450" s="333">
        <v>0</v>
      </c>
      <c r="AA450" s="333">
        <v>0</v>
      </c>
      <c r="AB450" s="474"/>
      <c r="AC450" s="474"/>
      <c r="AD450" s="474"/>
      <c r="AE450" s="474"/>
      <c r="AF450" s="474"/>
      <c r="AH450"/>
      <c r="AI450"/>
      <c r="AK450" s="310" t="str">
        <v>Ethernet (90Mbps)</v>
      </c>
      <c r="AM450" s="333">
        <v>0</v>
      </c>
      <c r="AN450" s="333">
        <v>0</v>
      </c>
      <c r="AO450" s="333">
        <v>0</v>
      </c>
      <c r="AP450" s="333">
        <v>0</v>
      </c>
      <c r="AQ450" s="333">
        <v>0</v>
      </c>
      <c r="AR450" s="333">
        <v>0</v>
      </c>
      <c r="AS450" s="474"/>
      <c r="AT450" s="474"/>
      <c r="AU450" s="474"/>
      <c r="AV450" s="474"/>
      <c r="AW450" s="474"/>
      <c r="AY450"/>
      <c r="AZ450"/>
    </row>
    <row r="451" spans="3:52" s="299" customFormat="1">
      <c r="C451" s="310" t="str">
        <v>GigaEthernet (100Mbps)</v>
      </c>
      <c r="E451" s="333">
        <v>0</v>
      </c>
      <c r="F451" s="333">
        <v>0</v>
      </c>
      <c r="G451" s="333">
        <v>0</v>
      </c>
      <c r="H451" s="333">
        <v>0</v>
      </c>
      <c r="I451" s="333">
        <v>0</v>
      </c>
      <c r="J451" s="333">
        <v>0</v>
      </c>
      <c r="K451" s="474"/>
      <c r="L451" s="474"/>
      <c r="M451" s="474"/>
      <c r="N451" s="474"/>
      <c r="O451" s="474"/>
      <c r="T451" s="310" t="str">
        <v>GigaEthernet (100Mbps)</v>
      </c>
      <c r="V451" s="333">
        <v>0</v>
      </c>
      <c r="W451" s="333">
        <v>0</v>
      </c>
      <c r="X451" s="333">
        <v>0</v>
      </c>
      <c r="Y451" s="333">
        <v>0</v>
      </c>
      <c r="Z451" s="333">
        <v>0</v>
      </c>
      <c r="AA451" s="333">
        <v>0</v>
      </c>
      <c r="AB451" s="474"/>
      <c r="AC451" s="474"/>
      <c r="AD451" s="474"/>
      <c r="AE451" s="474"/>
      <c r="AF451" s="474"/>
      <c r="AH451"/>
      <c r="AI451"/>
      <c r="AK451" s="310" t="str">
        <v>GigaEthernet (100Mbps)</v>
      </c>
      <c r="AM451" s="333">
        <v>0</v>
      </c>
      <c r="AN451" s="333">
        <v>0</v>
      </c>
      <c r="AO451" s="333">
        <v>0</v>
      </c>
      <c r="AP451" s="333">
        <v>0</v>
      </c>
      <c r="AQ451" s="333">
        <v>0</v>
      </c>
      <c r="AR451" s="333">
        <v>0</v>
      </c>
      <c r="AS451" s="474"/>
      <c r="AT451" s="474"/>
      <c r="AU451" s="474"/>
      <c r="AV451" s="474"/>
      <c r="AW451" s="474"/>
      <c r="AY451"/>
      <c r="AZ451"/>
    </row>
    <row r="452" spans="3:52" s="299" customFormat="1">
      <c r="C452" s="310" t="str">
        <v>GigaEthernet (150Mbps)</v>
      </c>
      <c r="E452" s="333">
        <v>0</v>
      </c>
      <c r="F452" s="333">
        <v>0</v>
      </c>
      <c r="G452" s="333">
        <v>0</v>
      </c>
      <c r="H452" s="333">
        <v>0</v>
      </c>
      <c r="I452" s="333">
        <v>0</v>
      </c>
      <c r="J452" s="333">
        <v>0</v>
      </c>
      <c r="K452" s="474"/>
      <c r="L452" s="474"/>
      <c r="M452" s="474"/>
      <c r="N452" s="474"/>
      <c r="O452" s="474"/>
      <c r="T452" s="310" t="str">
        <v>GigaEthernet (150Mbps)</v>
      </c>
      <c r="V452" s="333">
        <v>0</v>
      </c>
      <c r="W452" s="333">
        <v>0</v>
      </c>
      <c r="X452" s="333">
        <v>0</v>
      </c>
      <c r="Y452" s="333">
        <v>0</v>
      </c>
      <c r="Z452" s="333">
        <v>0</v>
      </c>
      <c r="AA452" s="333">
        <v>0</v>
      </c>
      <c r="AB452" s="474"/>
      <c r="AC452" s="474"/>
      <c r="AD452" s="474"/>
      <c r="AE452" s="474"/>
      <c r="AF452" s="474"/>
      <c r="AH452"/>
      <c r="AI452"/>
      <c r="AK452" s="310" t="str">
        <v>GigaEthernet (150Mbps)</v>
      </c>
      <c r="AM452" s="333">
        <v>0</v>
      </c>
      <c r="AN452" s="333">
        <v>0</v>
      </c>
      <c r="AO452" s="333">
        <v>0</v>
      </c>
      <c r="AP452" s="333">
        <v>0</v>
      </c>
      <c r="AQ452" s="333">
        <v>0</v>
      </c>
      <c r="AR452" s="333">
        <v>0</v>
      </c>
      <c r="AS452" s="474"/>
      <c r="AT452" s="474"/>
      <c r="AU452" s="474"/>
      <c r="AV452" s="474"/>
      <c r="AW452" s="474"/>
      <c r="AY452"/>
      <c r="AZ452"/>
    </row>
    <row r="453" spans="3:52" s="299" customFormat="1">
      <c r="C453" s="310" t="str">
        <v>GigaEthernet (200Mbps)</v>
      </c>
      <c r="E453" s="333">
        <v>0</v>
      </c>
      <c r="F453" s="333">
        <v>0</v>
      </c>
      <c r="G453" s="333">
        <v>0</v>
      </c>
      <c r="H453" s="333">
        <v>0</v>
      </c>
      <c r="I453" s="333">
        <v>0</v>
      </c>
      <c r="J453" s="333">
        <v>0</v>
      </c>
      <c r="K453" s="474"/>
      <c r="L453" s="474"/>
      <c r="M453" s="474"/>
      <c r="N453" s="474"/>
      <c r="O453" s="474"/>
      <c r="T453" s="310" t="str">
        <v>GigaEthernet (200Mbps)</v>
      </c>
      <c r="V453" s="333">
        <v>0</v>
      </c>
      <c r="W453" s="333">
        <v>0</v>
      </c>
      <c r="X453" s="333">
        <v>0</v>
      </c>
      <c r="Y453" s="333">
        <v>0</v>
      </c>
      <c r="Z453" s="333">
        <v>0</v>
      </c>
      <c r="AA453" s="333">
        <v>0</v>
      </c>
      <c r="AB453" s="474"/>
      <c r="AC453" s="474"/>
      <c r="AD453" s="474"/>
      <c r="AE453" s="474"/>
      <c r="AF453" s="474"/>
      <c r="AH453"/>
      <c r="AI453"/>
      <c r="AK453" s="310" t="str">
        <v>GigaEthernet (200Mbps)</v>
      </c>
      <c r="AM453" s="333">
        <v>0</v>
      </c>
      <c r="AN453" s="333">
        <v>0</v>
      </c>
      <c r="AO453" s="333">
        <v>0</v>
      </c>
      <c r="AP453" s="333">
        <v>0</v>
      </c>
      <c r="AQ453" s="333">
        <v>0</v>
      </c>
      <c r="AR453" s="333">
        <v>0</v>
      </c>
      <c r="AS453" s="474"/>
      <c r="AT453" s="474"/>
      <c r="AU453" s="474"/>
      <c r="AV453" s="474"/>
      <c r="AW453" s="474"/>
      <c r="AY453"/>
      <c r="AZ453"/>
    </row>
    <row r="454" spans="3:52" s="299" customFormat="1">
      <c r="C454" s="310" t="str">
        <v>GigaEthernet (250Mbps)</v>
      </c>
      <c r="E454" s="333">
        <v>0</v>
      </c>
      <c r="F454" s="333">
        <v>0</v>
      </c>
      <c r="G454" s="333">
        <v>0</v>
      </c>
      <c r="H454" s="333">
        <v>0</v>
      </c>
      <c r="I454" s="333">
        <v>0</v>
      </c>
      <c r="J454" s="333">
        <v>0</v>
      </c>
      <c r="K454" s="474"/>
      <c r="L454" s="474"/>
      <c r="M454" s="474"/>
      <c r="N454" s="474"/>
      <c r="O454" s="474"/>
      <c r="T454" s="310" t="str">
        <v>GigaEthernet (250Mbps)</v>
      </c>
      <c r="V454" s="333">
        <v>0</v>
      </c>
      <c r="W454" s="333">
        <v>0</v>
      </c>
      <c r="X454" s="333">
        <v>0</v>
      </c>
      <c r="Y454" s="333">
        <v>0</v>
      </c>
      <c r="Z454" s="333">
        <v>0</v>
      </c>
      <c r="AA454" s="333">
        <v>0</v>
      </c>
      <c r="AB454" s="474"/>
      <c r="AC454" s="474"/>
      <c r="AD454" s="474"/>
      <c r="AE454" s="474"/>
      <c r="AF454" s="474"/>
      <c r="AH454"/>
      <c r="AI454"/>
      <c r="AK454" s="310" t="str">
        <v>GigaEthernet (250Mbps)</v>
      </c>
      <c r="AM454" s="333">
        <v>0</v>
      </c>
      <c r="AN454" s="333">
        <v>0</v>
      </c>
      <c r="AO454" s="333">
        <v>0</v>
      </c>
      <c r="AP454" s="333">
        <v>0</v>
      </c>
      <c r="AQ454" s="333">
        <v>0</v>
      </c>
      <c r="AR454" s="333">
        <v>0</v>
      </c>
      <c r="AS454" s="474"/>
      <c r="AT454" s="474"/>
      <c r="AU454" s="474"/>
      <c r="AV454" s="474"/>
      <c r="AW454" s="474"/>
      <c r="AY454"/>
      <c r="AZ454"/>
    </row>
    <row r="455" spans="3:52" s="299" customFormat="1">
      <c r="C455" s="310" t="str">
        <v>GigaEthernet (300Mbps)</v>
      </c>
      <c r="E455" s="333">
        <v>0</v>
      </c>
      <c r="F455" s="333">
        <v>0</v>
      </c>
      <c r="G455" s="333">
        <v>0</v>
      </c>
      <c r="H455" s="333">
        <v>0</v>
      </c>
      <c r="I455" s="333">
        <v>0</v>
      </c>
      <c r="J455" s="333">
        <v>0</v>
      </c>
      <c r="K455" s="474"/>
      <c r="L455" s="474"/>
      <c r="M455" s="474"/>
      <c r="N455" s="474"/>
      <c r="O455" s="474"/>
      <c r="T455" s="310" t="str">
        <v>GigaEthernet (300Mbps)</v>
      </c>
      <c r="V455" s="333">
        <v>0</v>
      </c>
      <c r="W455" s="333">
        <v>0</v>
      </c>
      <c r="X455" s="333">
        <v>0</v>
      </c>
      <c r="Y455" s="333">
        <v>0</v>
      </c>
      <c r="Z455" s="333">
        <v>0</v>
      </c>
      <c r="AA455" s="333">
        <v>0</v>
      </c>
      <c r="AB455" s="474"/>
      <c r="AC455" s="474"/>
      <c r="AD455" s="474"/>
      <c r="AE455" s="474"/>
      <c r="AF455" s="474"/>
      <c r="AH455"/>
      <c r="AI455"/>
      <c r="AK455" s="310" t="str">
        <v>GigaEthernet (300Mbps)</v>
      </c>
      <c r="AM455" s="333">
        <v>0</v>
      </c>
      <c r="AN455" s="333">
        <v>0</v>
      </c>
      <c r="AO455" s="333">
        <v>0</v>
      </c>
      <c r="AP455" s="333">
        <v>0</v>
      </c>
      <c r="AQ455" s="333">
        <v>0</v>
      </c>
      <c r="AR455" s="333">
        <v>0</v>
      </c>
      <c r="AS455" s="474"/>
      <c r="AT455" s="474"/>
      <c r="AU455" s="474"/>
      <c r="AV455" s="474"/>
      <c r="AW455" s="474"/>
      <c r="AY455"/>
      <c r="AZ455"/>
    </row>
    <row r="456" spans="3:52" s="299" customFormat="1">
      <c r="C456" s="310" t="str">
        <v>GigaEthernet (350Mbps)</v>
      </c>
      <c r="E456" s="333">
        <v>0</v>
      </c>
      <c r="F456" s="333">
        <v>0</v>
      </c>
      <c r="G456" s="333">
        <v>0</v>
      </c>
      <c r="H456" s="333">
        <v>0</v>
      </c>
      <c r="I456" s="333">
        <v>0</v>
      </c>
      <c r="J456" s="333">
        <v>0</v>
      </c>
      <c r="K456" s="474"/>
      <c r="L456" s="474"/>
      <c r="M456" s="474"/>
      <c r="N456" s="474"/>
      <c r="O456" s="474"/>
      <c r="T456" s="310" t="str">
        <v>GigaEthernet (350Mbps)</v>
      </c>
      <c r="V456" s="333">
        <v>0</v>
      </c>
      <c r="W456" s="333">
        <v>0</v>
      </c>
      <c r="X456" s="333">
        <v>0</v>
      </c>
      <c r="Y456" s="333">
        <v>0</v>
      </c>
      <c r="Z456" s="333">
        <v>0</v>
      </c>
      <c r="AA456" s="333">
        <v>0</v>
      </c>
      <c r="AB456" s="474"/>
      <c r="AC456" s="474"/>
      <c r="AD456" s="474"/>
      <c r="AE456" s="474"/>
      <c r="AF456" s="474"/>
      <c r="AH456"/>
      <c r="AI456"/>
      <c r="AK456" s="310" t="str">
        <v>GigaEthernet (350Mbps)</v>
      </c>
      <c r="AM456" s="333">
        <v>0</v>
      </c>
      <c r="AN456" s="333">
        <v>0</v>
      </c>
      <c r="AO456" s="333">
        <v>0</v>
      </c>
      <c r="AP456" s="333">
        <v>0</v>
      </c>
      <c r="AQ456" s="333">
        <v>0</v>
      </c>
      <c r="AR456" s="333">
        <v>0</v>
      </c>
      <c r="AS456" s="474"/>
      <c r="AT456" s="474"/>
      <c r="AU456" s="474"/>
      <c r="AV456" s="474"/>
      <c r="AW456" s="474"/>
      <c r="AY456"/>
      <c r="AZ456"/>
    </row>
    <row r="457" spans="3:52" s="299" customFormat="1">
      <c r="C457" s="310" t="str">
        <v>GigaEthernet (400Mbps)</v>
      </c>
      <c r="E457" s="333">
        <v>0</v>
      </c>
      <c r="F457" s="333">
        <v>0</v>
      </c>
      <c r="G457" s="333">
        <v>0</v>
      </c>
      <c r="H457" s="333">
        <v>0</v>
      </c>
      <c r="I457" s="333">
        <v>0</v>
      </c>
      <c r="J457" s="333">
        <v>0</v>
      </c>
      <c r="K457" s="474"/>
      <c r="L457" s="474"/>
      <c r="M457" s="474"/>
      <c r="N457" s="474"/>
      <c r="O457" s="474"/>
      <c r="T457" s="310" t="str">
        <v>GigaEthernet (400Mbps)</v>
      </c>
      <c r="V457" s="333">
        <v>0</v>
      </c>
      <c r="W457" s="333">
        <v>0</v>
      </c>
      <c r="X457" s="333">
        <v>0</v>
      </c>
      <c r="Y457" s="333">
        <v>0</v>
      </c>
      <c r="Z457" s="333">
        <v>0</v>
      </c>
      <c r="AA457" s="333">
        <v>0</v>
      </c>
      <c r="AB457" s="474"/>
      <c r="AC457" s="474"/>
      <c r="AD457" s="474"/>
      <c r="AE457" s="474"/>
      <c r="AF457" s="474"/>
      <c r="AH457"/>
      <c r="AI457"/>
      <c r="AK457" s="310" t="str">
        <v>GigaEthernet (400Mbps)</v>
      </c>
      <c r="AM457" s="333">
        <v>0</v>
      </c>
      <c r="AN457" s="333">
        <v>0</v>
      </c>
      <c r="AO457" s="333">
        <v>0</v>
      </c>
      <c r="AP457" s="333">
        <v>0</v>
      </c>
      <c r="AQ457" s="333">
        <v>0</v>
      </c>
      <c r="AR457" s="333">
        <v>0</v>
      </c>
      <c r="AS457" s="474"/>
      <c r="AT457" s="474"/>
      <c r="AU457" s="474"/>
      <c r="AV457" s="474"/>
      <c r="AW457" s="474"/>
      <c r="AY457"/>
      <c r="AZ457"/>
    </row>
    <row r="458" spans="3:52" s="299" customFormat="1">
      <c r="C458" s="310" t="str">
        <v>GigaEthernet (450Mbps)</v>
      </c>
      <c r="E458" s="333">
        <v>0</v>
      </c>
      <c r="F458" s="333">
        <v>0</v>
      </c>
      <c r="G458" s="333">
        <v>0</v>
      </c>
      <c r="H458" s="333">
        <v>0</v>
      </c>
      <c r="I458" s="333">
        <v>0</v>
      </c>
      <c r="J458" s="333">
        <v>0</v>
      </c>
      <c r="K458" s="474"/>
      <c r="L458" s="474"/>
      <c r="M458" s="474"/>
      <c r="N458" s="474"/>
      <c r="O458" s="474"/>
      <c r="T458" s="310" t="str">
        <v>GigaEthernet (450Mbps)</v>
      </c>
      <c r="V458" s="333">
        <v>0</v>
      </c>
      <c r="W458" s="333">
        <v>0</v>
      </c>
      <c r="X458" s="333">
        <v>0</v>
      </c>
      <c r="Y458" s="333">
        <v>0</v>
      </c>
      <c r="Z458" s="333">
        <v>0</v>
      </c>
      <c r="AA458" s="333">
        <v>0</v>
      </c>
      <c r="AB458" s="474"/>
      <c r="AC458" s="474"/>
      <c r="AD458" s="474"/>
      <c r="AE458" s="474"/>
      <c r="AF458" s="474"/>
      <c r="AH458"/>
      <c r="AI458"/>
      <c r="AK458" s="310" t="str">
        <v>GigaEthernet (450Mbps)</v>
      </c>
      <c r="AM458" s="333">
        <v>0</v>
      </c>
      <c r="AN458" s="333">
        <v>0</v>
      </c>
      <c r="AO458" s="333">
        <v>0</v>
      </c>
      <c r="AP458" s="333">
        <v>0</v>
      </c>
      <c r="AQ458" s="333">
        <v>0</v>
      </c>
      <c r="AR458" s="333">
        <v>0</v>
      </c>
      <c r="AS458" s="474"/>
      <c r="AT458" s="474"/>
      <c r="AU458" s="474"/>
      <c r="AV458" s="474"/>
      <c r="AW458" s="474"/>
      <c r="AY458"/>
      <c r="AZ458"/>
    </row>
    <row r="459" spans="3:52" s="299" customFormat="1">
      <c r="C459" s="310" t="str">
        <v>GigaEthernet (500Mbps)</v>
      </c>
      <c r="E459" s="333">
        <v>0</v>
      </c>
      <c r="F459" s="333">
        <v>0</v>
      </c>
      <c r="G459" s="333">
        <v>0</v>
      </c>
      <c r="H459" s="333">
        <v>0</v>
      </c>
      <c r="I459" s="333">
        <v>0</v>
      </c>
      <c r="J459" s="333">
        <v>0</v>
      </c>
      <c r="K459" s="474"/>
      <c r="L459" s="474"/>
      <c r="M459" s="474"/>
      <c r="N459" s="474"/>
      <c r="O459" s="474"/>
      <c r="T459" s="310" t="str">
        <v>GigaEthernet (500Mbps)</v>
      </c>
      <c r="V459" s="333">
        <v>0</v>
      </c>
      <c r="W459" s="333">
        <v>0</v>
      </c>
      <c r="X459" s="333">
        <v>0</v>
      </c>
      <c r="Y459" s="333">
        <v>0</v>
      </c>
      <c r="Z459" s="333">
        <v>0</v>
      </c>
      <c r="AA459" s="333">
        <v>0</v>
      </c>
      <c r="AB459" s="474"/>
      <c r="AC459" s="474"/>
      <c r="AD459" s="474"/>
      <c r="AE459" s="474"/>
      <c r="AF459" s="474"/>
      <c r="AH459"/>
      <c r="AI459"/>
      <c r="AK459" s="310" t="str">
        <v>GigaEthernet (500Mbps)</v>
      </c>
      <c r="AM459" s="333">
        <v>0</v>
      </c>
      <c r="AN459" s="333">
        <v>0</v>
      </c>
      <c r="AO459" s="333">
        <v>0</v>
      </c>
      <c r="AP459" s="333">
        <v>0</v>
      </c>
      <c r="AQ459" s="333">
        <v>0</v>
      </c>
      <c r="AR459" s="333">
        <v>0</v>
      </c>
      <c r="AS459" s="474"/>
      <c r="AT459" s="474"/>
      <c r="AU459" s="474"/>
      <c r="AV459" s="474"/>
      <c r="AW459" s="474"/>
      <c r="AY459"/>
      <c r="AZ459"/>
    </row>
    <row r="460" spans="3:52" s="299" customFormat="1">
      <c r="C460" s="310" t="str">
        <v>GigaEthernet (550Mbps)</v>
      </c>
      <c r="E460" s="333">
        <v>0</v>
      </c>
      <c r="F460" s="333">
        <v>0</v>
      </c>
      <c r="G460" s="333">
        <v>0</v>
      </c>
      <c r="H460" s="333">
        <v>0</v>
      </c>
      <c r="I460" s="333">
        <v>0</v>
      </c>
      <c r="J460" s="333">
        <v>0</v>
      </c>
      <c r="K460" s="474"/>
      <c r="L460" s="474"/>
      <c r="M460" s="474"/>
      <c r="N460" s="474"/>
      <c r="O460" s="474"/>
      <c r="T460" s="310" t="str">
        <v>GigaEthernet (550Mbps)</v>
      </c>
      <c r="V460" s="333">
        <v>0</v>
      </c>
      <c r="W460" s="333">
        <v>0</v>
      </c>
      <c r="X460" s="333">
        <v>0</v>
      </c>
      <c r="Y460" s="333">
        <v>0</v>
      </c>
      <c r="Z460" s="333">
        <v>0</v>
      </c>
      <c r="AA460" s="333">
        <v>0</v>
      </c>
      <c r="AB460" s="474"/>
      <c r="AC460" s="474"/>
      <c r="AD460" s="474"/>
      <c r="AE460" s="474"/>
      <c r="AF460" s="474"/>
      <c r="AH460"/>
      <c r="AI460"/>
      <c r="AK460" s="310" t="str">
        <v>GigaEthernet (550Mbps)</v>
      </c>
      <c r="AM460" s="333">
        <v>0</v>
      </c>
      <c r="AN460" s="333">
        <v>0</v>
      </c>
      <c r="AO460" s="333">
        <v>0</v>
      </c>
      <c r="AP460" s="333">
        <v>0</v>
      </c>
      <c r="AQ460" s="333">
        <v>0</v>
      </c>
      <c r="AR460" s="333">
        <v>0</v>
      </c>
      <c r="AS460" s="474"/>
      <c r="AT460" s="474"/>
      <c r="AU460" s="474"/>
      <c r="AV460" s="474"/>
      <c r="AW460" s="474"/>
      <c r="AY460"/>
      <c r="AZ460"/>
    </row>
    <row r="461" spans="3:52" s="299" customFormat="1">
      <c r="C461" s="310" t="str">
        <v>GigaEthernet (600Mbps)</v>
      </c>
      <c r="E461" s="333">
        <v>0</v>
      </c>
      <c r="F461" s="333">
        <v>0</v>
      </c>
      <c r="G461" s="333">
        <v>0</v>
      </c>
      <c r="H461" s="333">
        <v>0</v>
      </c>
      <c r="I461" s="333">
        <v>0</v>
      </c>
      <c r="J461" s="333">
        <v>0</v>
      </c>
      <c r="K461" s="474"/>
      <c r="L461" s="474"/>
      <c r="M461" s="474"/>
      <c r="N461" s="474"/>
      <c r="O461" s="474"/>
      <c r="T461" s="310" t="str">
        <v>GigaEthernet (600Mbps)</v>
      </c>
      <c r="V461" s="333">
        <v>0</v>
      </c>
      <c r="W461" s="333">
        <v>0</v>
      </c>
      <c r="X461" s="333">
        <v>0</v>
      </c>
      <c r="Y461" s="333">
        <v>0</v>
      </c>
      <c r="Z461" s="333">
        <v>0</v>
      </c>
      <c r="AA461" s="333">
        <v>0</v>
      </c>
      <c r="AB461" s="474"/>
      <c r="AC461" s="474"/>
      <c r="AD461" s="474"/>
      <c r="AE461" s="474"/>
      <c r="AF461" s="474"/>
      <c r="AH461"/>
      <c r="AI461"/>
      <c r="AK461" s="310" t="str">
        <v>GigaEthernet (600Mbps)</v>
      </c>
      <c r="AM461" s="333">
        <v>0</v>
      </c>
      <c r="AN461" s="333">
        <v>0</v>
      </c>
      <c r="AO461" s="333">
        <v>0</v>
      </c>
      <c r="AP461" s="333">
        <v>0</v>
      </c>
      <c r="AQ461" s="333">
        <v>0</v>
      </c>
      <c r="AR461" s="333">
        <v>0</v>
      </c>
      <c r="AS461" s="474"/>
      <c r="AT461" s="474"/>
      <c r="AU461" s="474"/>
      <c r="AV461" s="474"/>
      <c r="AW461" s="474"/>
      <c r="AY461"/>
      <c r="AZ461"/>
    </row>
    <row r="462" spans="3:52" s="299" customFormat="1">
      <c r="C462" s="310" t="str">
        <v>GigaEthernet (750Mbps)</v>
      </c>
      <c r="E462" s="333">
        <v>0</v>
      </c>
      <c r="F462" s="333">
        <v>0</v>
      </c>
      <c r="G462" s="333">
        <v>0</v>
      </c>
      <c r="H462" s="333">
        <v>0</v>
      </c>
      <c r="I462" s="333">
        <v>0</v>
      </c>
      <c r="J462" s="333">
        <v>0</v>
      </c>
      <c r="K462" s="474"/>
      <c r="L462" s="474"/>
      <c r="M462" s="474"/>
      <c r="N462" s="474"/>
      <c r="O462" s="474"/>
      <c r="T462" s="310" t="str">
        <v>GigaEthernet (750Mbps)</v>
      </c>
      <c r="V462" s="333">
        <v>0</v>
      </c>
      <c r="W462" s="333">
        <v>0</v>
      </c>
      <c r="X462" s="333">
        <v>0</v>
      </c>
      <c r="Y462" s="333">
        <v>0</v>
      </c>
      <c r="Z462" s="333">
        <v>0</v>
      </c>
      <c r="AA462" s="333">
        <v>0</v>
      </c>
      <c r="AB462" s="474"/>
      <c r="AC462" s="474"/>
      <c r="AD462" s="474"/>
      <c r="AE462" s="474"/>
      <c r="AF462" s="474"/>
      <c r="AH462"/>
      <c r="AI462"/>
      <c r="AK462" s="310" t="str">
        <v>GigaEthernet (750Mbps)</v>
      </c>
      <c r="AM462" s="333">
        <v>0</v>
      </c>
      <c r="AN462" s="333">
        <v>0</v>
      </c>
      <c r="AO462" s="333">
        <v>0</v>
      </c>
      <c r="AP462" s="333">
        <v>0</v>
      </c>
      <c r="AQ462" s="333">
        <v>0</v>
      </c>
      <c r="AR462" s="333">
        <v>0</v>
      </c>
      <c r="AS462" s="474"/>
      <c r="AT462" s="474"/>
      <c r="AU462" s="474"/>
      <c r="AV462" s="474"/>
      <c r="AW462" s="474"/>
      <c r="AY462"/>
      <c r="AZ462"/>
    </row>
    <row r="463" spans="3:52" s="299" customFormat="1">
      <c r="C463" s="310" t="str">
        <v>GigaEthernet (1 Gbps)</v>
      </c>
      <c r="E463" s="333">
        <v>0</v>
      </c>
      <c r="F463" s="333">
        <v>0</v>
      </c>
      <c r="G463" s="333">
        <v>0</v>
      </c>
      <c r="H463" s="333">
        <v>0</v>
      </c>
      <c r="I463" s="333">
        <v>0</v>
      </c>
      <c r="J463" s="333">
        <v>0</v>
      </c>
      <c r="K463" s="474"/>
      <c r="L463" s="474"/>
      <c r="M463" s="474"/>
      <c r="N463" s="474"/>
      <c r="O463" s="474"/>
      <c r="T463" s="310" t="str">
        <v>GigaEthernet (1 Gbps)</v>
      </c>
      <c r="V463" s="333">
        <v>0</v>
      </c>
      <c r="W463" s="333">
        <v>0</v>
      </c>
      <c r="X463" s="333">
        <v>0</v>
      </c>
      <c r="Y463" s="333">
        <v>0</v>
      </c>
      <c r="Z463" s="333">
        <v>0</v>
      </c>
      <c r="AA463" s="333">
        <v>0</v>
      </c>
      <c r="AB463" s="474"/>
      <c r="AC463" s="474"/>
      <c r="AD463" s="474"/>
      <c r="AE463" s="474"/>
      <c r="AF463" s="474"/>
      <c r="AH463"/>
      <c r="AI463"/>
      <c r="AK463" s="310" t="str">
        <v>GigaEthernet (1 Gbps)</v>
      </c>
      <c r="AM463" s="333">
        <v>0</v>
      </c>
      <c r="AN463" s="333">
        <v>0</v>
      </c>
      <c r="AO463" s="333">
        <v>0</v>
      </c>
      <c r="AP463" s="333">
        <v>0</v>
      </c>
      <c r="AQ463" s="333">
        <v>0</v>
      </c>
      <c r="AR463" s="333">
        <v>0</v>
      </c>
      <c r="AS463" s="474"/>
      <c r="AT463" s="474"/>
      <c r="AU463" s="474"/>
      <c r="AV463" s="474"/>
      <c r="AW463" s="474"/>
      <c r="AY463"/>
      <c r="AZ463"/>
    </row>
    <row r="464" spans="3:52" s="299" customFormat="1">
      <c r="AH464"/>
      <c r="AI464"/>
      <c r="AY464"/>
      <c r="AZ464"/>
    </row>
    <row r="465" spans="3:53" s="299" customFormat="1">
      <c r="AH465"/>
      <c r="AI465"/>
      <c r="AY465"/>
      <c r="AZ465"/>
    </row>
    <row r="466" spans="3:53" s="299" customFormat="1" ht="15.75" thickBot="1">
      <c r="C466" s="130" t="s">
        <v>497</v>
      </c>
      <c r="T466" s="130" t="s">
        <v>497</v>
      </c>
      <c r="AK466" s="130" t="s">
        <v>497</v>
      </c>
      <c r="AY466"/>
      <c r="AZ466"/>
    </row>
    <row r="467" spans="3:53" s="299" customFormat="1" ht="15.75" thickBot="1">
      <c r="C467" s="130" t="s">
        <v>496</v>
      </c>
      <c r="D467" s="130"/>
      <c r="E467" s="130"/>
      <c r="F467" s="130"/>
      <c r="G467" s="130"/>
      <c r="H467" s="130"/>
      <c r="I467" s="130"/>
      <c r="J467" s="130"/>
      <c r="K467" s="130"/>
      <c r="L467" s="130"/>
      <c r="M467" s="130"/>
      <c r="N467" s="130"/>
      <c r="O467" s="130"/>
      <c r="P467" s="130"/>
      <c r="Q467" s="130"/>
      <c r="T467" s="130" t="s">
        <v>496</v>
      </c>
      <c r="U467" s="130"/>
      <c r="V467" s="130"/>
      <c r="W467" s="130"/>
      <c r="X467" s="130"/>
      <c r="Y467" s="130"/>
      <c r="Z467" s="130"/>
      <c r="AA467" s="130"/>
      <c r="AB467" s="130"/>
      <c r="AC467" s="130"/>
      <c r="AD467" s="130"/>
      <c r="AE467" s="130"/>
      <c r="AF467" s="130"/>
      <c r="AG467" s="130"/>
      <c r="AH467" s="130"/>
      <c r="AK467" s="130" t="s">
        <v>496</v>
      </c>
      <c r="AL467" s="130"/>
      <c r="AM467" s="130"/>
      <c r="AN467" s="130"/>
      <c r="AO467" s="130"/>
      <c r="AP467" s="130"/>
      <c r="AQ467" s="130"/>
      <c r="AR467" s="130"/>
      <c r="AS467" s="130"/>
      <c r="AT467" s="130"/>
      <c r="AU467" s="130"/>
      <c r="AV467" s="130"/>
      <c r="AW467" s="130"/>
      <c r="AX467" s="130"/>
      <c r="AY467" s="130"/>
      <c r="AZ467" s="130"/>
      <c r="BA467" s="130"/>
    </row>
    <row r="468" spans="3:53" s="299" customFormat="1"/>
    <row r="469" spans="3:53" s="299" customFormat="1">
      <c r="C469" s="326" t="s">
        <v>442</v>
      </c>
      <c r="D469" s="326">
        <f t="array" ref="D469:O469">TRANSPOSE(Years)</f>
        <v>2008</v>
      </c>
      <c r="E469" s="326">
        <v>2009</v>
      </c>
      <c r="F469" s="326">
        <v>2010</v>
      </c>
      <c r="G469" s="326">
        <v>2011</v>
      </c>
      <c r="H469" s="326">
        <v>2012</v>
      </c>
      <c r="I469" s="326">
        <v>2013</v>
      </c>
      <c r="J469" s="326">
        <v>2014</v>
      </c>
      <c r="K469" s="326">
        <v>2015</v>
      </c>
      <c r="L469" s="326">
        <v>2016</v>
      </c>
      <c r="M469" s="326">
        <v>2017</v>
      </c>
      <c r="N469" s="326">
        <v>2018</v>
      </c>
      <c r="O469" s="326">
        <v>2019</v>
      </c>
      <c r="T469" s="338" t="s">
        <v>442</v>
      </c>
      <c r="U469" s="338">
        <f t="array" ref="U469:AF469">TRANSPOSE(Years)</f>
        <v>2008</v>
      </c>
      <c r="V469" s="338">
        <v>2009</v>
      </c>
      <c r="W469" s="338">
        <v>2010</v>
      </c>
      <c r="X469" s="338">
        <v>2011</v>
      </c>
      <c r="Y469" s="338">
        <v>2012</v>
      </c>
      <c r="Z469" s="338">
        <v>2013</v>
      </c>
      <c r="AA469" s="338">
        <v>2014</v>
      </c>
      <c r="AB469" s="338">
        <v>2015</v>
      </c>
      <c r="AC469" s="338">
        <v>2016</v>
      </c>
      <c r="AD469" s="338">
        <v>2017</v>
      </c>
      <c r="AE469" s="338">
        <v>2018</v>
      </c>
      <c r="AF469" s="338">
        <v>2019</v>
      </c>
      <c r="AK469" s="338" t="s">
        <v>442</v>
      </c>
      <c r="AL469" s="338">
        <f t="array" ref="AL469:AW469">TRANSPOSE(Years)</f>
        <v>2008</v>
      </c>
      <c r="AM469" s="338">
        <v>2009</v>
      </c>
      <c r="AN469" s="338">
        <v>2010</v>
      </c>
      <c r="AO469" s="338">
        <v>2011</v>
      </c>
      <c r="AP469" s="338">
        <v>2012</v>
      </c>
      <c r="AQ469" s="338">
        <v>2013</v>
      </c>
      <c r="AR469" s="338">
        <v>2014</v>
      </c>
      <c r="AS469" s="338">
        <v>2015</v>
      </c>
      <c r="AT469" s="338">
        <v>2016</v>
      </c>
      <c r="AU469" s="338">
        <v>2017</v>
      </c>
      <c r="AV469" s="338">
        <v>2018</v>
      </c>
      <c r="AW469" s="338">
        <v>2019</v>
      </c>
    </row>
    <row r="470" spans="3:53" s="299" customFormat="1">
      <c r="C470" s="310" t="str">
        <f t="array" ref="C470:C507">LL.list</f>
        <v>64 kbps</v>
      </c>
      <c r="D470"/>
      <c r="E470" s="470">
        <f t="array" ref="E470:O507">E109:O146+E200:O237+E291:O328+E382:O419</f>
        <v>2166.0699999999997</v>
      </c>
      <c r="F470" s="470">
        <v>3348.6</v>
      </c>
      <c r="G470" s="470">
        <v>3197.61</v>
      </c>
      <c r="H470" s="470">
        <v>2381.8500000000004</v>
      </c>
      <c r="I470" s="470">
        <v>2884.7</v>
      </c>
      <c r="J470" s="470">
        <v>2426.0599999999995</v>
      </c>
      <c r="K470" s="470">
        <v>0</v>
      </c>
      <c r="L470" s="470">
        <v>0</v>
      </c>
      <c r="M470" s="470">
        <v>0</v>
      </c>
      <c r="N470" s="470">
        <v>0</v>
      </c>
      <c r="O470" s="470">
        <v>0</v>
      </c>
      <c r="T470" s="310" t="str">
        <f t="array" ref="T470:T507">LL.list</f>
        <v>64 kbps</v>
      </c>
      <c r="V470" s="470">
        <f t="array" ref="V470:AF507">V109:AF146+V200:AF237+V291:AF328+V382:AF419</f>
        <v>2169</v>
      </c>
      <c r="W470" s="470">
        <v>3353</v>
      </c>
      <c r="X470" s="470">
        <v>3202</v>
      </c>
      <c r="Y470" s="470">
        <v>2385</v>
      </c>
      <c r="Z470" s="470">
        <v>2889</v>
      </c>
      <c r="AA470" s="470">
        <v>2432</v>
      </c>
      <c r="AB470" s="470">
        <v>0</v>
      </c>
      <c r="AC470" s="470">
        <v>0</v>
      </c>
      <c r="AD470" s="470">
        <v>0</v>
      </c>
      <c r="AE470" s="470">
        <v>0</v>
      </c>
      <c r="AF470" s="470">
        <v>0</v>
      </c>
      <c r="AK470" s="310" t="str">
        <f t="array" ref="AK470:AK507">LL.list</f>
        <v>64 kbps</v>
      </c>
      <c r="AM470" s="470">
        <f t="array" ref="AM470:AW507">AM109:AW146+AM200:AW237+AM291:AW328+AM382:AW419</f>
        <v>4335.07</v>
      </c>
      <c r="AN470" s="470">
        <v>6701.6</v>
      </c>
      <c r="AO470" s="470">
        <v>6399.6100000000006</v>
      </c>
      <c r="AP470" s="470">
        <v>4766.8500000000004</v>
      </c>
      <c r="AQ470" s="470">
        <v>5773.7000000000007</v>
      </c>
      <c r="AR470" s="470">
        <v>4858.0599999999995</v>
      </c>
      <c r="AS470" s="470">
        <v>0</v>
      </c>
      <c r="AT470" s="470">
        <v>0</v>
      </c>
      <c r="AU470" s="470">
        <v>0</v>
      </c>
      <c r="AV470" s="470">
        <v>0</v>
      </c>
      <c r="AW470" s="470">
        <v>0</v>
      </c>
    </row>
    <row r="471" spans="3:53" s="299" customFormat="1">
      <c r="C471" s="310" t="str">
        <v>128 kbps</v>
      </c>
      <c r="D471"/>
      <c r="E471" s="470">
        <v>2233.64</v>
      </c>
      <c r="F471" s="470">
        <v>2572.9</v>
      </c>
      <c r="G471" s="470">
        <v>2170.0599999999995</v>
      </c>
      <c r="H471" s="470">
        <v>1538.3700000000001</v>
      </c>
      <c r="I471" s="470">
        <v>1513.8999999999999</v>
      </c>
      <c r="J471" s="470">
        <v>1453.31</v>
      </c>
      <c r="K471" s="470">
        <v>0</v>
      </c>
      <c r="L471" s="470">
        <v>0</v>
      </c>
      <c r="M471" s="470">
        <v>0</v>
      </c>
      <c r="N471" s="470">
        <v>0</v>
      </c>
      <c r="O471" s="470">
        <v>0</v>
      </c>
      <c r="T471" s="310" t="str">
        <v>128 kbps</v>
      </c>
      <c r="V471" s="470">
        <v>2239</v>
      </c>
      <c r="W471" s="470">
        <v>2577</v>
      </c>
      <c r="X471" s="470">
        <v>2173</v>
      </c>
      <c r="Y471" s="470">
        <v>1542</v>
      </c>
      <c r="Z471" s="470">
        <v>1517</v>
      </c>
      <c r="AA471" s="470">
        <v>1458</v>
      </c>
      <c r="AB471" s="470">
        <v>0</v>
      </c>
      <c r="AC471" s="470">
        <v>0</v>
      </c>
      <c r="AD471" s="470">
        <v>0</v>
      </c>
      <c r="AE471" s="470">
        <v>0</v>
      </c>
      <c r="AF471" s="470">
        <v>0</v>
      </c>
      <c r="AK471" s="310" t="str">
        <v>128 kbps</v>
      </c>
      <c r="AM471" s="470">
        <v>4472.6399999999994</v>
      </c>
      <c r="AN471" s="470">
        <v>5149.9000000000005</v>
      </c>
      <c r="AO471" s="470">
        <v>4343.0599999999995</v>
      </c>
      <c r="AP471" s="470">
        <v>3080.37</v>
      </c>
      <c r="AQ471" s="470">
        <v>3030.9</v>
      </c>
      <c r="AR471" s="470">
        <v>2911.31</v>
      </c>
      <c r="AS471" s="470">
        <v>0</v>
      </c>
      <c r="AT471" s="470">
        <v>0</v>
      </c>
      <c r="AU471" s="470">
        <v>0</v>
      </c>
      <c r="AV471" s="470">
        <v>0</v>
      </c>
      <c r="AW471" s="470">
        <v>0</v>
      </c>
    </row>
    <row r="472" spans="3:53" s="299" customFormat="1">
      <c r="C472" s="310" t="str">
        <v>192 kbps</v>
      </c>
      <c r="D472"/>
      <c r="E472" s="470">
        <v>474.59</v>
      </c>
      <c r="F472" s="470">
        <v>583.4</v>
      </c>
      <c r="G472" s="470">
        <v>551.08000000000004</v>
      </c>
      <c r="H472" s="470">
        <v>483.88</v>
      </c>
      <c r="I472" s="470">
        <v>370.8</v>
      </c>
      <c r="J472" s="470">
        <v>324.07</v>
      </c>
      <c r="K472" s="470">
        <v>0</v>
      </c>
      <c r="L472" s="470">
        <v>0</v>
      </c>
      <c r="M472" s="470">
        <v>0</v>
      </c>
      <c r="N472" s="470">
        <v>0</v>
      </c>
      <c r="O472" s="470">
        <v>0</v>
      </c>
      <c r="T472" s="310" t="str">
        <v>192 kbps</v>
      </c>
      <c r="V472" s="470">
        <v>477</v>
      </c>
      <c r="W472" s="470">
        <v>585</v>
      </c>
      <c r="X472" s="470">
        <v>556</v>
      </c>
      <c r="Y472" s="470">
        <v>488</v>
      </c>
      <c r="Z472" s="470">
        <v>374</v>
      </c>
      <c r="AA472" s="470">
        <v>326</v>
      </c>
      <c r="AB472" s="470">
        <v>0</v>
      </c>
      <c r="AC472" s="470">
        <v>0</v>
      </c>
      <c r="AD472" s="470">
        <v>0</v>
      </c>
      <c r="AE472" s="470">
        <v>0</v>
      </c>
      <c r="AF472" s="470">
        <v>0</v>
      </c>
      <c r="AK472" s="310" t="str">
        <v>192 kbps</v>
      </c>
      <c r="AM472" s="470">
        <v>951.58999999999992</v>
      </c>
      <c r="AN472" s="470">
        <v>1168.3999999999999</v>
      </c>
      <c r="AO472" s="470">
        <v>1107.08</v>
      </c>
      <c r="AP472" s="470">
        <v>971.88000000000011</v>
      </c>
      <c r="AQ472" s="470">
        <v>744.80000000000007</v>
      </c>
      <c r="AR472" s="470">
        <v>650.06999999999994</v>
      </c>
      <c r="AS472" s="470">
        <v>0</v>
      </c>
      <c r="AT472" s="470">
        <v>0</v>
      </c>
      <c r="AU472" s="470">
        <v>0</v>
      </c>
      <c r="AV472" s="470">
        <v>0</v>
      </c>
      <c r="AW472" s="470">
        <v>0</v>
      </c>
    </row>
    <row r="473" spans="3:53" s="299" customFormat="1">
      <c r="C473" s="310" t="str">
        <v>256 kbps</v>
      </c>
      <c r="D473"/>
      <c r="E473" s="470">
        <v>991.49</v>
      </c>
      <c r="F473" s="470">
        <v>1302.6699999999996</v>
      </c>
      <c r="G473" s="470">
        <v>1227.51</v>
      </c>
      <c r="H473" s="470">
        <v>1301.6799999999998</v>
      </c>
      <c r="I473" s="470">
        <v>1583.5700000000002</v>
      </c>
      <c r="J473" s="470">
        <v>971.73</v>
      </c>
      <c r="K473" s="470">
        <v>0</v>
      </c>
      <c r="L473" s="470">
        <v>0</v>
      </c>
      <c r="M473" s="470">
        <v>0</v>
      </c>
      <c r="N473" s="470">
        <v>0</v>
      </c>
      <c r="O473" s="470">
        <v>0</v>
      </c>
      <c r="T473" s="310" t="str">
        <v>256 kbps</v>
      </c>
      <c r="V473" s="470">
        <v>995</v>
      </c>
      <c r="W473" s="470">
        <v>1307</v>
      </c>
      <c r="X473" s="470">
        <v>1232</v>
      </c>
      <c r="Y473" s="470">
        <v>1306</v>
      </c>
      <c r="Z473" s="470">
        <v>1588</v>
      </c>
      <c r="AA473" s="470">
        <v>975</v>
      </c>
      <c r="AB473" s="470">
        <v>0</v>
      </c>
      <c r="AC473" s="470">
        <v>0</v>
      </c>
      <c r="AD473" s="470">
        <v>0</v>
      </c>
      <c r="AE473" s="470">
        <v>0</v>
      </c>
      <c r="AF473" s="470">
        <v>0</v>
      </c>
      <c r="AK473" s="310" t="str">
        <v>256 kbps</v>
      </c>
      <c r="AM473" s="470">
        <v>1986.49</v>
      </c>
      <c r="AN473" s="470">
        <v>2609.67</v>
      </c>
      <c r="AO473" s="470">
        <v>2459.5099999999998</v>
      </c>
      <c r="AP473" s="470">
        <v>2607.6799999999998</v>
      </c>
      <c r="AQ473" s="470">
        <v>3171.5699999999997</v>
      </c>
      <c r="AR473" s="470">
        <v>1946.73</v>
      </c>
      <c r="AS473" s="470">
        <v>0</v>
      </c>
      <c r="AT473" s="470">
        <v>0</v>
      </c>
      <c r="AU473" s="470">
        <v>0</v>
      </c>
      <c r="AV473" s="470">
        <v>0</v>
      </c>
      <c r="AW473" s="470">
        <v>0</v>
      </c>
    </row>
    <row r="474" spans="3:53" s="299" customFormat="1">
      <c r="C474" s="310" t="str">
        <v>384 kbps</v>
      </c>
      <c r="D474"/>
      <c r="E474" s="470">
        <v>566.71999999999991</v>
      </c>
      <c r="F474" s="470">
        <v>585.52</v>
      </c>
      <c r="G474" s="470">
        <v>653.72</v>
      </c>
      <c r="H474" s="470">
        <v>824.92000000000007</v>
      </c>
      <c r="I474" s="470">
        <v>718.51</v>
      </c>
      <c r="J474" s="470">
        <v>776.01</v>
      </c>
      <c r="K474" s="470">
        <v>0</v>
      </c>
      <c r="L474" s="470">
        <v>0</v>
      </c>
      <c r="M474" s="470">
        <v>0</v>
      </c>
      <c r="N474" s="470">
        <v>0</v>
      </c>
      <c r="O474" s="470">
        <v>0</v>
      </c>
      <c r="T474" s="310" t="str">
        <v>384 kbps</v>
      </c>
      <c r="V474" s="470">
        <v>572</v>
      </c>
      <c r="W474" s="470">
        <v>589</v>
      </c>
      <c r="X474" s="470">
        <v>656</v>
      </c>
      <c r="Y474" s="470">
        <v>828</v>
      </c>
      <c r="Z474" s="470">
        <v>723</v>
      </c>
      <c r="AA474" s="470">
        <v>779</v>
      </c>
      <c r="AB474" s="470">
        <v>0</v>
      </c>
      <c r="AC474" s="470">
        <v>0</v>
      </c>
      <c r="AD474" s="470">
        <v>0</v>
      </c>
      <c r="AE474" s="470">
        <v>0</v>
      </c>
      <c r="AF474" s="470">
        <v>0</v>
      </c>
      <c r="AK474" s="310" t="str">
        <v>384 kbps</v>
      </c>
      <c r="AM474" s="470">
        <v>1138.72</v>
      </c>
      <c r="AN474" s="470">
        <v>1174.52</v>
      </c>
      <c r="AO474" s="470">
        <v>1309.72</v>
      </c>
      <c r="AP474" s="470">
        <v>1652.92</v>
      </c>
      <c r="AQ474" s="470">
        <v>1441.5099999999998</v>
      </c>
      <c r="AR474" s="470">
        <v>1555.0099999999998</v>
      </c>
      <c r="AS474" s="470">
        <v>0</v>
      </c>
      <c r="AT474" s="470">
        <v>0</v>
      </c>
      <c r="AU474" s="470">
        <v>0</v>
      </c>
      <c r="AV474" s="470">
        <v>0</v>
      </c>
      <c r="AW474" s="470">
        <v>0</v>
      </c>
    </row>
    <row r="475" spans="3:53" s="299" customFormat="1">
      <c r="C475" s="310" t="str">
        <v>512 kbps</v>
      </c>
      <c r="D475"/>
      <c r="E475" s="470">
        <v>1016.09</v>
      </c>
      <c r="F475" s="470">
        <v>893.82</v>
      </c>
      <c r="G475" s="470">
        <v>953.96</v>
      </c>
      <c r="H475" s="470">
        <v>850.91000000000008</v>
      </c>
      <c r="I475" s="470">
        <v>766.91</v>
      </c>
      <c r="J475" s="470">
        <v>619.5</v>
      </c>
      <c r="K475" s="470">
        <v>0</v>
      </c>
      <c r="L475" s="470">
        <v>0</v>
      </c>
      <c r="M475" s="470">
        <v>0</v>
      </c>
      <c r="N475" s="470">
        <v>0</v>
      </c>
      <c r="O475" s="470">
        <v>0</v>
      </c>
      <c r="T475" s="310" t="str">
        <v>512 kbps</v>
      </c>
      <c r="V475" s="470">
        <v>1018</v>
      </c>
      <c r="W475" s="470">
        <v>897</v>
      </c>
      <c r="X475" s="470">
        <v>958</v>
      </c>
      <c r="Y475" s="470">
        <v>854</v>
      </c>
      <c r="Z475" s="470">
        <v>770</v>
      </c>
      <c r="AA475" s="470">
        <v>624</v>
      </c>
      <c r="AB475" s="470">
        <v>0</v>
      </c>
      <c r="AC475" s="470">
        <v>0</v>
      </c>
      <c r="AD475" s="470">
        <v>0</v>
      </c>
      <c r="AE475" s="470">
        <v>0</v>
      </c>
      <c r="AF475" s="470">
        <v>0</v>
      </c>
      <c r="AK475" s="310" t="str">
        <v>512 kbps</v>
      </c>
      <c r="AM475" s="470">
        <v>2034.0900000000001</v>
      </c>
      <c r="AN475" s="470">
        <v>1790.8200000000002</v>
      </c>
      <c r="AO475" s="470">
        <v>1911.96</v>
      </c>
      <c r="AP475" s="470">
        <v>1704.91</v>
      </c>
      <c r="AQ475" s="470">
        <v>1536.9099999999999</v>
      </c>
      <c r="AR475" s="470">
        <v>1243.5</v>
      </c>
      <c r="AS475" s="470">
        <v>0</v>
      </c>
      <c r="AT475" s="470">
        <v>0</v>
      </c>
      <c r="AU475" s="470">
        <v>0</v>
      </c>
      <c r="AV475" s="470">
        <v>0</v>
      </c>
      <c r="AW475" s="470">
        <v>0</v>
      </c>
    </row>
    <row r="476" spans="3:53" s="299" customFormat="1">
      <c r="C476" s="310" t="str">
        <v>768 kbps</v>
      </c>
      <c r="D476"/>
      <c r="E476" s="470">
        <v>272.72999999999996</v>
      </c>
      <c r="F476" s="470">
        <v>227.8</v>
      </c>
      <c r="G476" s="470">
        <v>254.23</v>
      </c>
      <c r="H476" s="470">
        <v>190.24</v>
      </c>
      <c r="I476" s="470">
        <v>172.43000000000004</v>
      </c>
      <c r="J476" s="470">
        <v>118.49</v>
      </c>
      <c r="K476" s="470">
        <v>0</v>
      </c>
      <c r="L476" s="470">
        <v>0</v>
      </c>
      <c r="M476" s="470">
        <v>0</v>
      </c>
      <c r="N476" s="470">
        <v>0</v>
      </c>
      <c r="O476" s="470">
        <v>0</v>
      </c>
      <c r="T476" s="310" t="str">
        <v>768 kbps</v>
      </c>
      <c r="V476" s="470">
        <v>278</v>
      </c>
      <c r="W476" s="470">
        <v>231</v>
      </c>
      <c r="X476" s="470">
        <v>259</v>
      </c>
      <c r="Y476" s="470">
        <v>195</v>
      </c>
      <c r="Z476" s="470">
        <v>176</v>
      </c>
      <c r="AA476" s="470">
        <v>122</v>
      </c>
      <c r="AB476" s="470">
        <v>0</v>
      </c>
      <c r="AC476" s="470">
        <v>0</v>
      </c>
      <c r="AD476" s="470">
        <v>0</v>
      </c>
      <c r="AE476" s="470">
        <v>0</v>
      </c>
      <c r="AF476" s="470">
        <v>0</v>
      </c>
      <c r="AK476" s="310" t="str">
        <v>768 kbps</v>
      </c>
      <c r="AM476" s="470">
        <v>550.73</v>
      </c>
      <c r="AN476" s="470">
        <v>458.8</v>
      </c>
      <c r="AO476" s="470">
        <v>513.23</v>
      </c>
      <c r="AP476" s="470">
        <v>385.23999999999995</v>
      </c>
      <c r="AQ476" s="470">
        <v>348.43</v>
      </c>
      <c r="AR476" s="470">
        <v>240.49</v>
      </c>
      <c r="AS476" s="470">
        <v>0</v>
      </c>
      <c r="AT476" s="470">
        <v>0</v>
      </c>
      <c r="AU476" s="470">
        <v>0</v>
      </c>
      <c r="AV476" s="470">
        <v>0</v>
      </c>
      <c r="AW476" s="470">
        <v>0</v>
      </c>
    </row>
    <row r="477" spans="3:53" s="299" customFormat="1">
      <c r="C477" s="310" t="str">
        <v>1024 kbps</v>
      </c>
      <c r="D477"/>
      <c r="E477" s="470">
        <v>184.03000000000003</v>
      </c>
      <c r="F477" s="470">
        <v>221.05</v>
      </c>
      <c r="G477" s="470">
        <v>139.76</v>
      </c>
      <c r="H477" s="470">
        <v>128.52000000000001</v>
      </c>
      <c r="I477" s="470">
        <v>97.7</v>
      </c>
      <c r="J477" s="470">
        <v>91.42</v>
      </c>
      <c r="K477" s="470">
        <v>0</v>
      </c>
      <c r="L477" s="470">
        <v>0</v>
      </c>
      <c r="M477" s="470">
        <v>0</v>
      </c>
      <c r="N477" s="470">
        <v>0</v>
      </c>
      <c r="O477" s="470">
        <v>0</v>
      </c>
      <c r="T477" s="310" t="str">
        <v>1024 kbps</v>
      </c>
      <c r="V477" s="470">
        <v>187</v>
      </c>
      <c r="W477" s="470">
        <v>226</v>
      </c>
      <c r="X477" s="470">
        <v>145</v>
      </c>
      <c r="Y477" s="470">
        <v>130</v>
      </c>
      <c r="Z477" s="470">
        <v>103</v>
      </c>
      <c r="AA477" s="470">
        <v>93</v>
      </c>
      <c r="AB477" s="470">
        <v>0</v>
      </c>
      <c r="AC477" s="470">
        <v>0</v>
      </c>
      <c r="AD477" s="470">
        <v>0</v>
      </c>
      <c r="AE477" s="470">
        <v>0</v>
      </c>
      <c r="AF477" s="470">
        <v>0</v>
      </c>
      <c r="AK477" s="310" t="str">
        <v>1024 kbps</v>
      </c>
      <c r="AM477" s="470">
        <v>371.03000000000003</v>
      </c>
      <c r="AN477" s="470">
        <v>447.05</v>
      </c>
      <c r="AO477" s="470">
        <v>284.76</v>
      </c>
      <c r="AP477" s="470">
        <v>258.52000000000004</v>
      </c>
      <c r="AQ477" s="470">
        <v>200.7</v>
      </c>
      <c r="AR477" s="470">
        <v>184.42000000000002</v>
      </c>
      <c r="AS477" s="470">
        <v>0</v>
      </c>
      <c r="AT477" s="470">
        <v>0</v>
      </c>
      <c r="AU477" s="470">
        <v>0</v>
      </c>
      <c r="AV477" s="470">
        <v>0</v>
      </c>
      <c r="AW477" s="470">
        <v>0</v>
      </c>
    </row>
    <row r="478" spans="3:53" s="299" customFormat="1">
      <c r="C478" s="331" t="str">
        <v>E1 (2.04 Mbps)</v>
      </c>
      <c r="D478"/>
      <c r="E478" s="470">
        <v>285.91999999999996</v>
      </c>
      <c r="F478" s="470">
        <v>393.41999999999996</v>
      </c>
      <c r="G478" s="470">
        <v>437.31999999999994</v>
      </c>
      <c r="H478" s="470">
        <v>678.77000000000066</v>
      </c>
      <c r="I478" s="470">
        <v>540.94999999999982</v>
      </c>
      <c r="J478" s="470">
        <v>912.83999999999992</v>
      </c>
      <c r="K478" s="470">
        <v>0</v>
      </c>
      <c r="L478" s="470">
        <v>0</v>
      </c>
      <c r="M478" s="470">
        <v>0</v>
      </c>
      <c r="N478" s="470">
        <v>0</v>
      </c>
      <c r="O478" s="470">
        <v>0</v>
      </c>
      <c r="T478" s="331" t="str">
        <v>E1 (2.04 Mbps)</v>
      </c>
      <c r="V478" s="470">
        <v>3633</v>
      </c>
      <c r="W478" s="470">
        <v>4921</v>
      </c>
      <c r="X478" s="470">
        <v>5424</v>
      </c>
      <c r="Y478" s="470">
        <v>8746</v>
      </c>
      <c r="Z478" s="470">
        <v>7058</v>
      </c>
      <c r="AA478" s="470">
        <v>12161</v>
      </c>
      <c r="AB478" s="470">
        <v>0</v>
      </c>
      <c r="AC478" s="470">
        <v>0</v>
      </c>
      <c r="AD478" s="470">
        <v>0</v>
      </c>
      <c r="AE478" s="470">
        <v>0</v>
      </c>
      <c r="AF478" s="470">
        <v>0</v>
      </c>
      <c r="AK478" s="331" t="str">
        <v>E1 (2.04 Mbps)</v>
      </c>
      <c r="AM478" s="470">
        <v>3918.9199999999996</v>
      </c>
      <c r="AN478" s="470">
        <v>5314.4199999999992</v>
      </c>
      <c r="AO478" s="470">
        <v>5861.32</v>
      </c>
      <c r="AP478" s="470">
        <v>9424.77</v>
      </c>
      <c r="AQ478" s="470">
        <v>7598.95</v>
      </c>
      <c r="AR478" s="470">
        <v>13073.84</v>
      </c>
      <c r="AS478" s="470">
        <v>0</v>
      </c>
      <c r="AT478" s="470">
        <v>0</v>
      </c>
      <c r="AU478" s="470">
        <v>0</v>
      </c>
      <c r="AV478" s="470">
        <v>0</v>
      </c>
      <c r="AW478" s="470">
        <v>0</v>
      </c>
    </row>
    <row r="479" spans="3:53" s="299" customFormat="1">
      <c r="C479" s="331" t="str">
        <v>E2 *</v>
      </c>
      <c r="D479"/>
      <c r="E479" s="470">
        <v>0</v>
      </c>
      <c r="F479" s="470">
        <v>0</v>
      </c>
      <c r="G479" s="470">
        <v>0</v>
      </c>
      <c r="H479" s="470">
        <v>0</v>
      </c>
      <c r="I479" s="470">
        <v>0</v>
      </c>
      <c r="J479" s="470">
        <v>0</v>
      </c>
      <c r="K479" s="470">
        <v>0</v>
      </c>
      <c r="L479" s="470">
        <v>0</v>
      </c>
      <c r="M479" s="470">
        <v>0</v>
      </c>
      <c r="N479" s="470">
        <v>0</v>
      </c>
      <c r="O479" s="470">
        <v>0</v>
      </c>
      <c r="T479" s="331" t="str">
        <v>E2 *</v>
      </c>
      <c r="V479" s="470">
        <v>0</v>
      </c>
      <c r="W479" s="470">
        <v>0</v>
      </c>
      <c r="X479" s="470">
        <v>0</v>
      </c>
      <c r="Y479" s="470">
        <v>0</v>
      </c>
      <c r="Z479" s="470">
        <v>0</v>
      </c>
      <c r="AA479" s="470">
        <v>0</v>
      </c>
      <c r="AB479" s="470">
        <v>0</v>
      </c>
      <c r="AC479" s="470">
        <v>0</v>
      </c>
      <c r="AD479" s="470">
        <v>0</v>
      </c>
      <c r="AE479" s="470">
        <v>0</v>
      </c>
      <c r="AF479" s="470">
        <v>0</v>
      </c>
      <c r="AK479" s="331" t="str">
        <v>E2 *</v>
      </c>
      <c r="AM479" s="470">
        <v>0</v>
      </c>
      <c r="AN479" s="470">
        <v>0</v>
      </c>
      <c r="AO479" s="470">
        <v>0</v>
      </c>
      <c r="AP479" s="470">
        <v>0</v>
      </c>
      <c r="AQ479" s="470">
        <v>0</v>
      </c>
      <c r="AR479" s="470">
        <v>0</v>
      </c>
      <c r="AS479" s="470">
        <v>0</v>
      </c>
      <c r="AT479" s="470">
        <v>0</v>
      </c>
      <c r="AU479" s="470">
        <v>0</v>
      </c>
      <c r="AV479" s="470">
        <v>0</v>
      </c>
      <c r="AW479" s="470">
        <v>0</v>
      </c>
    </row>
    <row r="480" spans="3:53" s="299" customFormat="1">
      <c r="C480" s="331" t="str">
        <v>E3 (34 Mbps)</v>
      </c>
      <c r="D480"/>
      <c r="E480" s="470">
        <v>12.579999999999998</v>
      </c>
      <c r="F480" s="470">
        <v>17.57</v>
      </c>
      <c r="G480" s="470">
        <v>15.34</v>
      </c>
      <c r="H480" s="470">
        <v>20.56</v>
      </c>
      <c r="I480" s="470">
        <v>26.38</v>
      </c>
      <c r="J480" s="470">
        <v>22.169999999999995</v>
      </c>
      <c r="K480" s="470">
        <v>0</v>
      </c>
      <c r="L480" s="470">
        <v>0</v>
      </c>
      <c r="M480" s="470">
        <v>0</v>
      </c>
      <c r="N480" s="470">
        <v>0</v>
      </c>
      <c r="O480" s="470">
        <v>0</v>
      </c>
      <c r="T480" s="331" t="str">
        <v>E3 (34 Mbps)</v>
      </c>
      <c r="V480" s="470">
        <v>18</v>
      </c>
      <c r="W480" s="470">
        <v>21</v>
      </c>
      <c r="X480" s="470">
        <v>20</v>
      </c>
      <c r="Y480" s="470">
        <v>25</v>
      </c>
      <c r="Z480" s="470">
        <v>30</v>
      </c>
      <c r="AA480" s="470">
        <v>25</v>
      </c>
      <c r="AB480" s="470">
        <v>0</v>
      </c>
      <c r="AC480" s="470">
        <v>0</v>
      </c>
      <c r="AD480" s="470">
        <v>0</v>
      </c>
      <c r="AE480" s="470">
        <v>0</v>
      </c>
      <c r="AF480" s="470">
        <v>0</v>
      </c>
      <c r="AK480" s="331" t="str">
        <v>E3 (34 Mbps)</v>
      </c>
      <c r="AM480" s="470">
        <v>30.579999999999995</v>
      </c>
      <c r="AN480" s="470">
        <v>38.57</v>
      </c>
      <c r="AO480" s="470">
        <v>35.340000000000003</v>
      </c>
      <c r="AP480" s="470">
        <v>45.56</v>
      </c>
      <c r="AQ480" s="470">
        <v>56.38</v>
      </c>
      <c r="AR480" s="470">
        <v>47.17</v>
      </c>
      <c r="AS480" s="470">
        <v>0</v>
      </c>
      <c r="AT480" s="470">
        <v>0</v>
      </c>
      <c r="AU480" s="470">
        <v>0</v>
      </c>
      <c r="AV480" s="470">
        <v>0</v>
      </c>
      <c r="AW480" s="470">
        <v>0</v>
      </c>
    </row>
    <row r="481" spans="3:49" s="299" customFormat="1">
      <c r="C481" s="331" t="str">
        <v>STM-1 (155 Mbps)</v>
      </c>
      <c r="D481"/>
      <c r="E481" s="470">
        <v>0</v>
      </c>
      <c r="F481" s="470">
        <v>0</v>
      </c>
      <c r="G481" s="470">
        <v>0</v>
      </c>
      <c r="H481" s="470">
        <v>0</v>
      </c>
      <c r="I481" s="470">
        <v>0</v>
      </c>
      <c r="J481" s="470">
        <v>0</v>
      </c>
      <c r="K481" s="470">
        <v>0</v>
      </c>
      <c r="L481" s="470">
        <v>0</v>
      </c>
      <c r="M481" s="470">
        <v>0</v>
      </c>
      <c r="N481" s="470">
        <v>0</v>
      </c>
      <c r="O481" s="470">
        <v>0</v>
      </c>
      <c r="T481" s="331" t="str">
        <v>STM-1 (155 Mbps)</v>
      </c>
      <c r="V481" s="470">
        <v>18.079999999999998</v>
      </c>
      <c r="W481" s="470">
        <v>22.799999999999997</v>
      </c>
      <c r="X481" s="470">
        <v>25.24</v>
      </c>
      <c r="Y481" s="470">
        <v>29.94</v>
      </c>
      <c r="Z481" s="470">
        <v>27.69</v>
      </c>
      <c r="AA481" s="470">
        <v>27.45</v>
      </c>
      <c r="AB481" s="470">
        <v>0</v>
      </c>
      <c r="AC481" s="470">
        <v>0</v>
      </c>
      <c r="AD481" s="470">
        <v>0</v>
      </c>
      <c r="AE481" s="470">
        <v>0</v>
      </c>
      <c r="AF481" s="470">
        <v>0</v>
      </c>
      <c r="AK481" s="331" t="str">
        <v>STM-1 (155 Mbps)</v>
      </c>
      <c r="AM481" s="470">
        <v>18.079999999999998</v>
      </c>
      <c r="AN481" s="470">
        <v>22.799999999999997</v>
      </c>
      <c r="AO481" s="470">
        <v>25.24</v>
      </c>
      <c r="AP481" s="470">
        <v>29.94</v>
      </c>
      <c r="AQ481" s="470">
        <v>27.69</v>
      </c>
      <c r="AR481" s="470">
        <v>27.45</v>
      </c>
      <c r="AS481" s="470">
        <v>0</v>
      </c>
      <c r="AT481" s="470">
        <v>0</v>
      </c>
      <c r="AU481" s="470">
        <v>0</v>
      </c>
      <c r="AV481" s="470">
        <v>0</v>
      </c>
      <c r="AW481" s="470">
        <v>0</v>
      </c>
    </row>
    <row r="482" spans="3:49" s="299" customFormat="1">
      <c r="C482" s="310" t="str">
        <v>STM-4 (622.08 Mbps)</v>
      </c>
      <c r="D482"/>
      <c r="E482" s="470">
        <v>0</v>
      </c>
      <c r="F482" s="470">
        <v>0</v>
      </c>
      <c r="G482" s="470">
        <v>0</v>
      </c>
      <c r="H482" s="470">
        <v>0</v>
      </c>
      <c r="I482" s="470">
        <v>0</v>
      </c>
      <c r="J482" s="470">
        <v>0</v>
      </c>
      <c r="K482" s="470">
        <v>0</v>
      </c>
      <c r="L482" s="470">
        <v>0</v>
      </c>
      <c r="M482" s="470">
        <v>0</v>
      </c>
      <c r="N482" s="470">
        <v>0</v>
      </c>
      <c r="O482" s="470">
        <v>0</v>
      </c>
      <c r="T482" s="310" t="str">
        <v>STM-4 (622.08 Mbps)</v>
      </c>
      <c r="V482" s="470">
        <v>2.54</v>
      </c>
      <c r="W482" s="470">
        <v>2</v>
      </c>
      <c r="X482" s="470">
        <v>1.98</v>
      </c>
      <c r="Y482" s="470">
        <v>2.36</v>
      </c>
      <c r="Z482" s="470">
        <v>2.42</v>
      </c>
      <c r="AA482" s="470">
        <v>2.14</v>
      </c>
      <c r="AB482" s="470">
        <v>0</v>
      </c>
      <c r="AC482" s="470">
        <v>0</v>
      </c>
      <c r="AD482" s="470">
        <v>0</v>
      </c>
      <c r="AE482" s="470">
        <v>0</v>
      </c>
      <c r="AF482" s="470">
        <v>0</v>
      </c>
      <c r="AK482" s="310" t="str">
        <v>STM-4 (622.08 Mbps)</v>
      </c>
      <c r="AM482" s="470">
        <v>2.54</v>
      </c>
      <c r="AN482" s="470">
        <v>2</v>
      </c>
      <c r="AO482" s="470">
        <v>1.98</v>
      </c>
      <c r="AP482" s="470">
        <v>2.36</v>
      </c>
      <c r="AQ482" s="470">
        <v>2.42</v>
      </c>
      <c r="AR482" s="470">
        <v>2.14</v>
      </c>
      <c r="AS482" s="470">
        <v>0</v>
      </c>
      <c r="AT482" s="470">
        <v>0</v>
      </c>
      <c r="AU482" s="470">
        <v>0</v>
      </c>
      <c r="AV482" s="470">
        <v>0</v>
      </c>
      <c r="AW482" s="470">
        <v>0</v>
      </c>
    </row>
    <row r="483" spans="3:49" s="299" customFormat="1">
      <c r="C483" s="310" t="str">
        <v>STM-16 (2488.32Mbps)</v>
      </c>
      <c r="D483"/>
      <c r="E483" s="470">
        <v>0</v>
      </c>
      <c r="F483" s="470">
        <v>0</v>
      </c>
      <c r="G483" s="470">
        <v>0</v>
      </c>
      <c r="H483" s="470">
        <v>0</v>
      </c>
      <c r="I483" s="470">
        <v>0</v>
      </c>
      <c r="J483" s="470">
        <v>0</v>
      </c>
      <c r="K483" s="470">
        <v>0</v>
      </c>
      <c r="L483" s="470">
        <v>0</v>
      </c>
      <c r="M483" s="470">
        <v>0</v>
      </c>
      <c r="N483" s="470">
        <v>0</v>
      </c>
      <c r="O483" s="470">
        <v>0</v>
      </c>
      <c r="T483" s="310" t="str">
        <v>STM-16 (2488.32Mbps)</v>
      </c>
      <c r="V483" s="470">
        <v>0</v>
      </c>
      <c r="W483" s="470">
        <v>0</v>
      </c>
      <c r="X483" s="470">
        <v>0</v>
      </c>
      <c r="Y483" s="470">
        <v>0</v>
      </c>
      <c r="Z483" s="470">
        <v>0</v>
      </c>
      <c r="AA483" s="470">
        <v>0</v>
      </c>
      <c r="AB483" s="470">
        <v>0</v>
      </c>
      <c r="AC483" s="470">
        <v>0</v>
      </c>
      <c r="AD483" s="470">
        <v>0</v>
      </c>
      <c r="AE483" s="470">
        <v>0</v>
      </c>
      <c r="AF483" s="470">
        <v>0</v>
      </c>
      <c r="AK483" s="310" t="str">
        <v>STM-16 (2488.32Mbps)</v>
      </c>
      <c r="AM483" s="470">
        <v>0</v>
      </c>
      <c r="AN483" s="470">
        <v>0</v>
      </c>
      <c r="AO483" s="470">
        <v>0</v>
      </c>
      <c r="AP483" s="470">
        <v>0</v>
      </c>
      <c r="AQ483" s="470">
        <v>0</v>
      </c>
      <c r="AR483" s="470">
        <v>0</v>
      </c>
      <c r="AS483" s="470">
        <v>0</v>
      </c>
      <c r="AT483" s="470">
        <v>0</v>
      </c>
      <c r="AU483" s="470">
        <v>0</v>
      </c>
      <c r="AV483" s="470">
        <v>0</v>
      </c>
      <c r="AW483" s="470">
        <v>0</v>
      </c>
    </row>
    <row r="484" spans="3:49" s="299" customFormat="1">
      <c r="C484" s="310" t="str">
        <v>STM-64 (9953.28Mbps)</v>
      </c>
      <c r="D484"/>
      <c r="E484" s="470">
        <v>0</v>
      </c>
      <c r="F484" s="470">
        <v>0</v>
      </c>
      <c r="G484" s="470">
        <v>0</v>
      </c>
      <c r="H484" s="470">
        <v>0</v>
      </c>
      <c r="I484" s="470">
        <v>0</v>
      </c>
      <c r="J484" s="470">
        <v>0</v>
      </c>
      <c r="K484" s="470">
        <v>0</v>
      </c>
      <c r="L484" s="470">
        <v>0</v>
      </c>
      <c r="M484" s="470">
        <v>0</v>
      </c>
      <c r="N484" s="470">
        <v>0</v>
      </c>
      <c r="O484" s="470">
        <v>0</v>
      </c>
      <c r="T484" s="310" t="str">
        <v>STM-64 (9953.28Mbps)</v>
      </c>
      <c r="V484" s="470">
        <v>0</v>
      </c>
      <c r="W484" s="470">
        <v>0</v>
      </c>
      <c r="X484" s="470">
        <v>0</v>
      </c>
      <c r="Y484" s="470">
        <v>0</v>
      </c>
      <c r="Z484" s="470">
        <v>0</v>
      </c>
      <c r="AA484" s="470">
        <v>0</v>
      </c>
      <c r="AB484" s="470">
        <v>0</v>
      </c>
      <c r="AC484" s="470">
        <v>0</v>
      </c>
      <c r="AD484" s="470">
        <v>0</v>
      </c>
      <c r="AE484" s="470">
        <v>0</v>
      </c>
      <c r="AF484" s="470">
        <v>0</v>
      </c>
      <c r="AK484" s="310" t="str">
        <v>STM-64 (9953.28Mbps)</v>
      </c>
      <c r="AM484" s="470">
        <v>0</v>
      </c>
      <c r="AN484" s="470">
        <v>0</v>
      </c>
      <c r="AO484" s="470">
        <v>0</v>
      </c>
      <c r="AP484" s="470">
        <v>0</v>
      </c>
      <c r="AQ484" s="470">
        <v>0</v>
      </c>
      <c r="AR484" s="470">
        <v>0</v>
      </c>
      <c r="AS484" s="470">
        <v>0</v>
      </c>
      <c r="AT484" s="470">
        <v>0</v>
      </c>
      <c r="AU484" s="470">
        <v>0</v>
      </c>
      <c r="AV484" s="470">
        <v>0</v>
      </c>
      <c r="AW484" s="470">
        <v>0</v>
      </c>
    </row>
    <row r="485" spans="3:49" s="299" customFormat="1">
      <c r="C485" s="310" t="str">
        <v>STM-256 (39813.12 Mbps)*</v>
      </c>
      <c r="D485"/>
      <c r="E485" s="470">
        <v>0</v>
      </c>
      <c r="F485" s="470">
        <v>0</v>
      </c>
      <c r="G485" s="470">
        <v>0</v>
      </c>
      <c r="H485" s="470">
        <v>0</v>
      </c>
      <c r="I485" s="470">
        <v>0</v>
      </c>
      <c r="J485" s="470">
        <v>0</v>
      </c>
      <c r="K485" s="470">
        <v>0</v>
      </c>
      <c r="L485" s="470">
        <v>0</v>
      </c>
      <c r="M485" s="470">
        <v>0</v>
      </c>
      <c r="N485" s="470">
        <v>0</v>
      </c>
      <c r="O485" s="470">
        <v>0</v>
      </c>
      <c r="T485" s="310" t="str">
        <v>STM-256 (39813.12 Mbps)*</v>
      </c>
      <c r="V485" s="470">
        <v>0</v>
      </c>
      <c r="W485" s="470">
        <v>0</v>
      </c>
      <c r="X485" s="470">
        <v>0</v>
      </c>
      <c r="Y485" s="470">
        <v>0</v>
      </c>
      <c r="Z485" s="470">
        <v>0</v>
      </c>
      <c r="AA485" s="470">
        <v>0</v>
      </c>
      <c r="AB485" s="470">
        <v>0</v>
      </c>
      <c r="AC485" s="470">
        <v>0</v>
      </c>
      <c r="AD485" s="470">
        <v>0</v>
      </c>
      <c r="AE485" s="470">
        <v>0</v>
      </c>
      <c r="AF485" s="470">
        <v>0</v>
      </c>
      <c r="AK485" s="310" t="str">
        <v>STM-256 (39813.12 Mbps)*</v>
      </c>
      <c r="AM485" s="470">
        <v>0</v>
      </c>
      <c r="AN485" s="470">
        <v>0</v>
      </c>
      <c r="AO485" s="470">
        <v>0</v>
      </c>
      <c r="AP485" s="470">
        <v>0</v>
      </c>
      <c r="AQ485" s="470">
        <v>0</v>
      </c>
      <c r="AR485" s="470">
        <v>0</v>
      </c>
      <c r="AS485" s="470">
        <v>0</v>
      </c>
      <c r="AT485" s="470">
        <v>0</v>
      </c>
      <c r="AU485" s="470">
        <v>0</v>
      </c>
      <c r="AV485" s="470">
        <v>0</v>
      </c>
      <c r="AW485" s="470">
        <v>0</v>
      </c>
    </row>
    <row r="486" spans="3:49" s="299" customFormat="1">
      <c r="C486" s="310" t="str">
        <v>Ethernet (10Mbps)</v>
      </c>
      <c r="D486"/>
      <c r="E486" s="470">
        <v>5.6099999999999994</v>
      </c>
      <c r="F486" s="470">
        <v>11.449999999999998</v>
      </c>
      <c r="G486" s="470">
        <v>25.18</v>
      </c>
      <c r="H486" s="470">
        <v>45.71</v>
      </c>
      <c r="I486" s="470">
        <v>78.009999999999991</v>
      </c>
      <c r="J486" s="470">
        <v>128.60000000000002</v>
      </c>
      <c r="K486" s="470">
        <v>0</v>
      </c>
      <c r="L486" s="470">
        <v>0</v>
      </c>
      <c r="M486" s="470">
        <v>0</v>
      </c>
      <c r="N486" s="470">
        <v>0</v>
      </c>
      <c r="O486" s="470">
        <v>0</v>
      </c>
      <c r="T486" s="310" t="str">
        <v>Ethernet (10Mbps)</v>
      </c>
      <c r="V486" s="470">
        <v>15</v>
      </c>
      <c r="W486" s="470">
        <v>25</v>
      </c>
      <c r="X486" s="470">
        <v>47</v>
      </c>
      <c r="Y486" s="470">
        <v>95</v>
      </c>
      <c r="Z486" s="470">
        <v>197</v>
      </c>
      <c r="AA486" s="470">
        <v>371</v>
      </c>
      <c r="AB486" s="470">
        <v>0</v>
      </c>
      <c r="AC486" s="470">
        <v>0</v>
      </c>
      <c r="AD486" s="470">
        <v>0</v>
      </c>
      <c r="AE486" s="470">
        <v>0</v>
      </c>
      <c r="AF486" s="470">
        <v>0</v>
      </c>
      <c r="AK486" s="310" t="str">
        <v>Ethernet (10Mbps)</v>
      </c>
      <c r="AM486" s="470">
        <v>20.610000000000003</v>
      </c>
      <c r="AN486" s="470">
        <v>36.449999999999996</v>
      </c>
      <c r="AO486" s="470">
        <v>72.180000000000007</v>
      </c>
      <c r="AP486" s="470">
        <v>140.70999999999998</v>
      </c>
      <c r="AQ486" s="470">
        <v>275.00999999999993</v>
      </c>
      <c r="AR486" s="470">
        <v>499.6</v>
      </c>
      <c r="AS486" s="470">
        <v>0</v>
      </c>
      <c r="AT486" s="470">
        <v>0</v>
      </c>
      <c r="AU486" s="470">
        <v>0</v>
      </c>
      <c r="AV486" s="470">
        <v>0</v>
      </c>
      <c r="AW486" s="470">
        <v>0</v>
      </c>
    </row>
    <row r="487" spans="3:49" s="299" customFormat="1">
      <c r="C487" s="310" t="str">
        <v>Ethernet (20Mbps)</v>
      </c>
      <c r="D487"/>
      <c r="E487" s="470">
        <v>3.75</v>
      </c>
      <c r="F487" s="470">
        <v>3.37</v>
      </c>
      <c r="G487" s="470">
        <v>6.0299999999999994</v>
      </c>
      <c r="H487" s="470">
        <v>16.989999999999998</v>
      </c>
      <c r="I487" s="470">
        <v>42.29</v>
      </c>
      <c r="J487" s="470">
        <v>115.26</v>
      </c>
      <c r="K487" s="470">
        <v>0</v>
      </c>
      <c r="L487" s="470">
        <v>0</v>
      </c>
      <c r="M487" s="470">
        <v>0</v>
      </c>
      <c r="N487" s="470">
        <v>0</v>
      </c>
      <c r="O487" s="470">
        <v>0</v>
      </c>
      <c r="T487" s="310" t="str">
        <v>Ethernet (20Mbps)</v>
      </c>
      <c r="V487" s="470">
        <v>5</v>
      </c>
      <c r="W487" s="470">
        <v>8</v>
      </c>
      <c r="X487" s="470">
        <v>11</v>
      </c>
      <c r="Y487" s="470">
        <v>22</v>
      </c>
      <c r="Z487" s="470">
        <v>45</v>
      </c>
      <c r="AA487" s="470">
        <v>118</v>
      </c>
      <c r="AB487" s="470">
        <v>0</v>
      </c>
      <c r="AC487" s="470">
        <v>0</v>
      </c>
      <c r="AD487" s="470">
        <v>0</v>
      </c>
      <c r="AE487" s="470">
        <v>0</v>
      </c>
      <c r="AF487" s="470">
        <v>0</v>
      </c>
      <c r="AK487" s="310" t="str">
        <v>Ethernet (20Mbps)</v>
      </c>
      <c r="AM487" s="470">
        <v>8.75</v>
      </c>
      <c r="AN487" s="470">
        <v>11.370000000000001</v>
      </c>
      <c r="AO487" s="470">
        <v>17.029999999999998</v>
      </c>
      <c r="AP487" s="470">
        <v>38.989999999999995</v>
      </c>
      <c r="AQ487" s="470">
        <v>87.289999999999992</v>
      </c>
      <c r="AR487" s="470">
        <v>233.26000000000002</v>
      </c>
      <c r="AS487" s="470">
        <v>0</v>
      </c>
      <c r="AT487" s="470">
        <v>0</v>
      </c>
      <c r="AU487" s="470">
        <v>0</v>
      </c>
      <c r="AV487" s="470">
        <v>0</v>
      </c>
      <c r="AW487" s="470">
        <v>0</v>
      </c>
    </row>
    <row r="488" spans="3:49" s="299" customFormat="1">
      <c r="C488" s="310" t="str">
        <v>Ethernet (30Mbps)</v>
      </c>
      <c r="D488"/>
      <c r="E488" s="470">
        <v>0.37999999999999989</v>
      </c>
      <c r="F488" s="470">
        <v>0.44999999999999996</v>
      </c>
      <c r="G488" s="470">
        <v>1.45</v>
      </c>
      <c r="H488" s="470">
        <v>7.6800000000000006</v>
      </c>
      <c r="I488" s="470">
        <v>8.77</v>
      </c>
      <c r="J488" s="470">
        <v>16.709999999999997</v>
      </c>
      <c r="K488" s="470">
        <v>0</v>
      </c>
      <c r="L488" s="470">
        <v>0</v>
      </c>
      <c r="M488" s="470">
        <v>0</v>
      </c>
      <c r="N488" s="470">
        <v>0</v>
      </c>
      <c r="O488" s="470">
        <v>0</v>
      </c>
      <c r="T488" s="310" t="str">
        <v>Ethernet (30Mbps)</v>
      </c>
      <c r="V488" s="470">
        <v>2</v>
      </c>
      <c r="W488" s="470">
        <v>3</v>
      </c>
      <c r="X488" s="470">
        <v>4</v>
      </c>
      <c r="Y488" s="470">
        <v>16</v>
      </c>
      <c r="Z488" s="470">
        <v>23</v>
      </c>
      <c r="AA488" s="470">
        <v>45</v>
      </c>
      <c r="AB488" s="470">
        <v>0</v>
      </c>
      <c r="AC488" s="470">
        <v>0</v>
      </c>
      <c r="AD488" s="470">
        <v>0</v>
      </c>
      <c r="AE488" s="470">
        <v>0</v>
      </c>
      <c r="AF488" s="470">
        <v>0</v>
      </c>
      <c r="AK488" s="310" t="str">
        <v>Ethernet (30Mbps)</v>
      </c>
      <c r="AM488" s="470">
        <v>2.38</v>
      </c>
      <c r="AN488" s="470">
        <v>3.45</v>
      </c>
      <c r="AO488" s="470">
        <v>5.45</v>
      </c>
      <c r="AP488" s="470">
        <v>23.68</v>
      </c>
      <c r="AQ488" s="470">
        <v>31.769999999999996</v>
      </c>
      <c r="AR488" s="470">
        <v>61.71</v>
      </c>
      <c r="AS488" s="470">
        <v>0</v>
      </c>
      <c r="AT488" s="470">
        <v>0</v>
      </c>
      <c r="AU488" s="470">
        <v>0</v>
      </c>
      <c r="AV488" s="470">
        <v>0</v>
      </c>
      <c r="AW488" s="470">
        <v>0</v>
      </c>
    </row>
    <row r="489" spans="3:49" s="299" customFormat="1">
      <c r="C489" s="310" t="str">
        <v>Ethernet (40Mbps)</v>
      </c>
      <c r="D489"/>
      <c r="E489" s="470">
        <v>0.92999999999999994</v>
      </c>
      <c r="F489" s="470">
        <v>2.7499999999999996</v>
      </c>
      <c r="G489" s="470">
        <v>2.85</v>
      </c>
      <c r="H489" s="470">
        <v>6.65</v>
      </c>
      <c r="I489" s="470">
        <v>13.52</v>
      </c>
      <c r="J489" s="470">
        <v>47.980000000000004</v>
      </c>
      <c r="K489" s="470">
        <v>0</v>
      </c>
      <c r="L489" s="470">
        <v>0</v>
      </c>
      <c r="M489" s="470">
        <v>0</v>
      </c>
      <c r="N489" s="470">
        <v>0</v>
      </c>
      <c r="O489" s="470">
        <v>0</v>
      </c>
      <c r="T489" s="310" t="str">
        <v>Ethernet (40Mbps)</v>
      </c>
      <c r="V489" s="470">
        <v>4</v>
      </c>
      <c r="W489" s="470">
        <v>5</v>
      </c>
      <c r="X489" s="470">
        <v>7</v>
      </c>
      <c r="Y489" s="470">
        <v>8</v>
      </c>
      <c r="Z489" s="470">
        <v>16</v>
      </c>
      <c r="AA489" s="470">
        <v>51</v>
      </c>
      <c r="AB489" s="470">
        <v>0</v>
      </c>
      <c r="AC489" s="470">
        <v>0</v>
      </c>
      <c r="AD489" s="470">
        <v>0</v>
      </c>
      <c r="AE489" s="470">
        <v>0</v>
      </c>
      <c r="AF489" s="470">
        <v>0</v>
      </c>
      <c r="AK489" s="310" t="str">
        <v>Ethernet (40Mbps)</v>
      </c>
      <c r="AM489" s="470">
        <v>4.93</v>
      </c>
      <c r="AN489" s="470">
        <v>7.75</v>
      </c>
      <c r="AO489" s="470">
        <v>9.8500000000000014</v>
      </c>
      <c r="AP489" s="470">
        <v>14.65</v>
      </c>
      <c r="AQ489" s="470">
        <v>29.520000000000003</v>
      </c>
      <c r="AR489" s="470">
        <v>98.98</v>
      </c>
      <c r="AS489" s="470">
        <v>0</v>
      </c>
      <c r="AT489" s="470">
        <v>0</v>
      </c>
      <c r="AU489" s="470">
        <v>0</v>
      </c>
      <c r="AV489" s="470">
        <v>0</v>
      </c>
      <c r="AW489" s="470">
        <v>0</v>
      </c>
    </row>
    <row r="490" spans="3:49" s="299" customFormat="1">
      <c r="C490" s="310" t="str">
        <v>Ethernet (50Mbps)</v>
      </c>
      <c r="D490"/>
      <c r="E490" s="470">
        <v>0.20000000000000018</v>
      </c>
      <c r="F490" s="470">
        <v>13.28</v>
      </c>
      <c r="G490" s="470">
        <v>14.58</v>
      </c>
      <c r="H490" s="470">
        <v>13.98</v>
      </c>
      <c r="I490" s="470">
        <v>25.78</v>
      </c>
      <c r="J490" s="470">
        <v>20.85</v>
      </c>
      <c r="K490" s="470">
        <v>0</v>
      </c>
      <c r="L490" s="470">
        <v>0</v>
      </c>
      <c r="M490" s="470">
        <v>0</v>
      </c>
      <c r="N490" s="470">
        <v>0</v>
      </c>
      <c r="O490" s="470">
        <v>0</v>
      </c>
      <c r="T490" s="310" t="str">
        <v>Ethernet (50Mbps)</v>
      </c>
      <c r="V490" s="470">
        <v>2</v>
      </c>
      <c r="W490" s="470">
        <v>15</v>
      </c>
      <c r="X490" s="470">
        <v>17</v>
      </c>
      <c r="Y490" s="470">
        <v>18</v>
      </c>
      <c r="Z490" s="470">
        <v>29</v>
      </c>
      <c r="AA490" s="470">
        <v>24</v>
      </c>
      <c r="AB490" s="470">
        <v>0</v>
      </c>
      <c r="AC490" s="470">
        <v>0</v>
      </c>
      <c r="AD490" s="470">
        <v>0</v>
      </c>
      <c r="AE490" s="470">
        <v>0</v>
      </c>
      <c r="AF490" s="470">
        <v>0</v>
      </c>
      <c r="AK490" s="310" t="str">
        <v>Ethernet (50Mbps)</v>
      </c>
      <c r="AM490" s="470">
        <v>2.2000000000000002</v>
      </c>
      <c r="AN490" s="470">
        <v>28.28</v>
      </c>
      <c r="AO490" s="470">
        <v>31.580000000000002</v>
      </c>
      <c r="AP490" s="470">
        <v>31.98</v>
      </c>
      <c r="AQ490" s="470">
        <v>54.78</v>
      </c>
      <c r="AR490" s="470">
        <v>44.85</v>
      </c>
      <c r="AS490" s="470">
        <v>0</v>
      </c>
      <c r="AT490" s="470">
        <v>0</v>
      </c>
      <c r="AU490" s="470">
        <v>0</v>
      </c>
      <c r="AV490" s="470">
        <v>0</v>
      </c>
      <c r="AW490" s="470">
        <v>0</v>
      </c>
    </row>
    <row r="491" spans="3:49" s="299" customFormat="1">
      <c r="C491" s="310" t="str">
        <v>Ethernet (60Mbps)</v>
      </c>
      <c r="D491"/>
      <c r="E491" s="470">
        <v>0</v>
      </c>
      <c r="F491" s="470">
        <v>4.0000000000000036E-2</v>
      </c>
      <c r="G491" s="470">
        <v>0.87999999999999989</v>
      </c>
      <c r="H491" s="470">
        <v>1.84</v>
      </c>
      <c r="I491" s="470">
        <v>2.3899999999999997</v>
      </c>
      <c r="J491" s="470">
        <v>5.4399999999999995</v>
      </c>
      <c r="K491" s="470">
        <v>0</v>
      </c>
      <c r="L491" s="470">
        <v>0</v>
      </c>
      <c r="M491" s="470">
        <v>0</v>
      </c>
      <c r="N491" s="470">
        <v>0</v>
      </c>
      <c r="O491" s="470">
        <v>0</v>
      </c>
      <c r="T491" s="310" t="str">
        <v>Ethernet (60Mbps)</v>
      </c>
      <c r="V491" s="470">
        <v>0</v>
      </c>
      <c r="W491" s="470">
        <v>1</v>
      </c>
      <c r="X491" s="470">
        <v>3</v>
      </c>
      <c r="Y491" s="470">
        <v>4</v>
      </c>
      <c r="Z491" s="470">
        <v>5</v>
      </c>
      <c r="AA491" s="470">
        <v>6</v>
      </c>
      <c r="AB491" s="470">
        <v>0</v>
      </c>
      <c r="AC491" s="470">
        <v>0</v>
      </c>
      <c r="AD491" s="470">
        <v>0</v>
      </c>
      <c r="AE491" s="470">
        <v>0</v>
      </c>
      <c r="AF491" s="470">
        <v>0</v>
      </c>
      <c r="AK491" s="310" t="str">
        <v>Ethernet (60Mbps)</v>
      </c>
      <c r="AM491" s="470">
        <v>0</v>
      </c>
      <c r="AN491" s="470">
        <v>1.04</v>
      </c>
      <c r="AO491" s="470">
        <v>3.88</v>
      </c>
      <c r="AP491" s="470">
        <v>5.84</v>
      </c>
      <c r="AQ491" s="470">
        <v>7.39</v>
      </c>
      <c r="AR491" s="470">
        <v>11.44</v>
      </c>
      <c r="AS491" s="470">
        <v>0</v>
      </c>
      <c r="AT491" s="470">
        <v>0</v>
      </c>
      <c r="AU491" s="470">
        <v>0</v>
      </c>
      <c r="AV491" s="470">
        <v>0</v>
      </c>
      <c r="AW491" s="470">
        <v>0</v>
      </c>
    </row>
    <row r="492" spans="3:49" s="299" customFormat="1">
      <c r="C492" s="310" t="str">
        <v>Ethernet (70Mbps)</v>
      </c>
      <c r="D492"/>
      <c r="E492" s="470">
        <v>0</v>
      </c>
      <c r="F492" s="470">
        <v>0</v>
      </c>
      <c r="G492" s="470">
        <v>0</v>
      </c>
      <c r="H492" s="470">
        <v>0.27</v>
      </c>
      <c r="I492" s="470">
        <v>1.4699999999999998</v>
      </c>
      <c r="J492" s="470">
        <v>4.32</v>
      </c>
      <c r="K492" s="470">
        <v>0</v>
      </c>
      <c r="L492" s="470">
        <v>0</v>
      </c>
      <c r="M492" s="470">
        <v>0</v>
      </c>
      <c r="N492" s="470">
        <v>0</v>
      </c>
      <c r="O492" s="470">
        <v>0</v>
      </c>
      <c r="T492" s="310" t="str">
        <v>Ethernet (70Mbps)</v>
      </c>
      <c r="V492" s="470">
        <v>0</v>
      </c>
      <c r="W492" s="470">
        <v>0</v>
      </c>
      <c r="X492" s="470">
        <v>0</v>
      </c>
      <c r="Y492" s="470">
        <v>2</v>
      </c>
      <c r="Z492" s="470">
        <v>4</v>
      </c>
      <c r="AA492" s="470">
        <v>6</v>
      </c>
      <c r="AB492" s="470">
        <v>0</v>
      </c>
      <c r="AC492" s="470">
        <v>0</v>
      </c>
      <c r="AD492" s="470">
        <v>0</v>
      </c>
      <c r="AE492" s="470">
        <v>0</v>
      </c>
      <c r="AF492" s="470">
        <v>0</v>
      </c>
      <c r="AK492" s="310" t="str">
        <v>Ethernet (70Mbps)</v>
      </c>
      <c r="AM492" s="470">
        <v>0</v>
      </c>
      <c r="AN492" s="470">
        <v>0</v>
      </c>
      <c r="AO492" s="470">
        <v>0</v>
      </c>
      <c r="AP492" s="470">
        <v>2.27</v>
      </c>
      <c r="AQ492" s="470">
        <v>5.47</v>
      </c>
      <c r="AR492" s="470">
        <v>10.32</v>
      </c>
      <c r="AS492" s="470">
        <v>0</v>
      </c>
      <c r="AT492" s="470">
        <v>0</v>
      </c>
      <c r="AU492" s="470">
        <v>0</v>
      </c>
      <c r="AV492" s="470">
        <v>0</v>
      </c>
      <c r="AW492" s="470">
        <v>0</v>
      </c>
    </row>
    <row r="493" spans="3:49" s="299" customFormat="1">
      <c r="C493" s="310" t="str">
        <v>Ethernet (80Mbps)</v>
      </c>
      <c r="D493"/>
      <c r="E493" s="470">
        <v>0</v>
      </c>
      <c r="F493" s="470">
        <v>0</v>
      </c>
      <c r="G493" s="470">
        <v>0</v>
      </c>
      <c r="H493" s="470">
        <v>-0.17000000000000004</v>
      </c>
      <c r="I493" s="470">
        <v>-0.16000000000000003</v>
      </c>
      <c r="J493" s="470">
        <v>0.62999999999999989</v>
      </c>
      <c r="K493" s="470">
        <v>0</v>
      </c>
      <c r="L493" s="470">
        <v>0</v>
      </c>
      <c r="M493" s="470">
        <v>0</v>
      </c>
      <c r="N493" s="470">
        <v>0</v>
      </c>
      <c r="O493" s="470">
        <v>0</v>
      </c>
      <c r="T493" s="310" t="str">
        <v>Ethernet (80Mbps)</v>
      </c>
      <c r="V493" s="470">
        <v>0</v>
      </c>
      <c r="W493" s="470">
        <v>0</v>
      </c>
      <c r="X493" s="470">
        <v>0</v>
      </c>
      <c r="Y493" s="470">
        <v>1</v>
      </c>
      <c r="Z493" s="470">
        <v>1</v>
      </c>
      <c r="AA493" s="470">
        <v>2</v>
      </c>
      <c r="AB493" s="470">
        <v>0</v>
      </c>
      <c r="AC493" s="470">
        <v>0</v>
      </c>
      <c r="AD493" s="470">
        <v>0</v>
      </c>
      <c r="AE493" s="470">
        <v>0</v>
      </c>
      <c r="AF493" s="470">
        <v>0</v>
      </c>
      <c r="AK493" s="310" t="str">
        <v>Ethernet (80Mbps)</v>
      </c>
      <c r="AM493" s="470">
        <v>0</v>
      </c>
      <c r="AN493" s="470">
        <v>0</v>
      </c>
      <c r="AO493" s="470">
        <v>0</v>
      </c>
      <c r="AP493" s="470">
        <v>0.83</v>
      </c>
      <c r="AQ493" s="470">
        <v>0.84</v>
      </c>
      <c r="AR493" s="470">
        <v>2.63</v>
      </c>
      <c r="AS493" s="470">
        <v>0</v>
      </c>
      <c r="AT493" s="470">
        <v>0</v>
      </c>
      <c r="AU493" s="470">
        <v>0</v>
      </c>
      <c r="AV493" s="470">
        <v>0</v>
      </c>
      <c r="AW493" s="470">
        <v>0</v>
      </c>
    </row>
    <row r="494" spans="3:49" s="299" customFormat="1">
      <c r="C494" s="310" t="str">
        <v>Ethernet (90Mbps)</v>
      </c>
      <c r="D494"/>
      <c r="E494" s="470">
        <v>0</v>
      </c>
      <c r="F494" s="470">
        <v>0</v>
      </c>
      <c r="G494" s="470">
        <v>0</v>
      </c>
      <c r="H494" s="470">
        <v>0</v>
      </c>
      <c r="I494" s="470">
        <v>0.24</v>
      </c>
      <c r="J494" s="470">
        <v>1.0699999999999998</v>
      </c>
      <c r="K494" s="470">
        <v>0</v>
      </c>
      <c r="L494" s="470">
        <v>0</v>
      </c>
      <c r="M494" s="470">
        <v>0</v>
      </c>
      <c r="N494" s="470">
        <v>0</v>
      </c>
      <c r="O494" s="470">
        <v>0</v>
      </c>
      <c r="T494" s="310" t="str">
        <v>Ethernet (90Mbps)</v>
      </c>
      <c r="V494" s="470">
        <v>0</v>
      </c>
      <c r="W494" s="470">
        <v>0</v>
      </c>
      <c r="X494" s="470">
        <v>0</v>
      </c>
      <c r="Y494" s="470">
        <v>0</v>
      </c>
      <c r="Z494" s="470">
        <v>1</v>
      </c>
      <c r="AA494" s="470">
        <v>4</v>
      </c>
      <c r="AB494" s="470">
        <v>0</v>
      </c>
      <c r="AC494" s="470">
        <v>0</v>
      </c>
      <c r="AD494" s="470">
        <v>0</v>
      </c>
      <c r="AE494" s="470">
        <v>0</v>
      </c>
      <c r="AF494" s="470">
        <v>0</v>
      </c>
      <c r="AK494" s="310" t="str">
        <v>Ethernet (90Mbps)</v>
      </c>
      <c r="AM494" s="470">
        <v>0</v>
      </c>
      <c r="AN494" s="470">
        <v>0</v>
      </c>
      <c r="AO494" s="470">
        <v>0</v>
      </c>
      <c r="AP494" s="470">
        <v>0</v>
      </c>
      <c r="AQ494" s="470">
        <v>1.24</v>
      </c>
      <c r="AR494" s="470">
        <v>5.07</v>
      </c>
      <c r="AS494" s="470">
        <v>0</v>
      </c>
      <c r="AT494" s="470">
        <v>0</v>
      </c>
      <c r="AU494" s="470">
        <v>0</v>
      </c>
      <c r="AV494" s="470">
        <v>0</v>
      </c>
      <c r="AW494" s="470">
        <v>0</v>
      </c>
    </row>
    <row r="495" spans="3:49" s="299" customFormat="1">
      <c r="C495" s="310" t="str">
        <v>GigaEthernet (100Mbps)</v>
      </c>
      <c r="D495"/>
      <c r="E495" s="470">
        <v>0</v>
      </c>
      <c r="F495" s="470">
        <v>0</v>
      </c>
      <c r="G495" s="470">
        <v>0</v>
      </c>
      <c r="H495" s="470">
        <v>0</v>
      </c>
      <c r="I495" s="470">
        <v>0</v>
      </c>
      <c r="J495" s="470">
        <v>0</v>
      </c>
      <c r="K495" s="470">
        <v>0</v>
      </c>
      <c r="L495" s="470">
        <v>0</v>
      </c>
      <c r="M495" s="470">
        <v>0</v>
      </c>
      <c r="N495" s="470">
        <v>0</v>
      </c>
      <c r="O495" s="470">
        <v>0</v>
      </c>
      <c r="T495" s="310" t="str">
        <v>GigaEthernet (100Mbps)</v>
      </c>
      <c r="V495" s="470">
        <v>7.4599999999999991</v>
      </c>
      <c r="W495" s="470">
        <v>14.42</v>
      </c>
      <c r="X495" s="470">
        <v>20.56</v>
      </c>
      <c r="Y495" s="470">
        <v>37.370000000000005</v>
      </c>
      <c r="Z495" s="470">
        <v>35.869999999999997</v>
      </c>
      <c r="AA495" s="470">
        <v>37.28</v>
      </c>
      <c r="AB495" s="470">
        <v>0</v>
      </c>
      <c r="AC495" s="470">
        <v>0</v>
      </c>
      <c r="AD495" s="470">
        <v>0</v>
      </c>
      <c r="AE495" s="470">
        <v>0</v>
      </c>
      <c r="AF495" s="470">
        <v>0</v>
      </c>
      <c r="AK495" s="310" t="str">
        <v>GigaEthernet (100Mbps)</v>
      </c>
      <c r="AM495" s="470">
        <v>7.4599999999999991</v>
      </c>
      <c r="AN495" s="470">
        <v>14.42</v>
      </c>
      <c r="AO495" s="470">
        <v>20.56</v>
      </c>
      <c r="AP495" s="470">
        <v>37.370000000000005</v>
      </c>
      <c r="AQ495" s="470">
        <v>35.869999999999997</v>
      </c>
      <c r="AR495" s="470">
        <v>37.28</v>
      </c>
      <c r="AS495" s="470">
        <v>0</v>
      </c>
      <c r="AT495" s="470">
        <v>0</v>
      </c>
      <c r="AU495" s="470">
        <v>0</v>
      </c>
      <c r="AV495" s="470">
        <v>0</v>
      </c>
      <c r="AW495" s="470">
        <v>0</v>
      </c>
    </row>
    <row r="496" spans="3:49" s="299" customFormat="1">
      <c r="C496" s="310" t="str">
        <v>GigaEthernet (150Mbps)</v>
      </c>
      <c r="D496"/>
      <c r="E496" s="470">
        <v>0</v>
      </c>
      <c r="F496" s="470">
        <v>0</v>
      </c>
      <c r="G496" s="470">
        <v>0</v>
      </c>
      <c r="H496" s="470">
        <v>0</v>
      </c>
      <c r="I496" s="470">
        <v>0</v>
      </c>
      <c r="J496" s="470">
        <v>0</v>
      </c>
      <c r="K496" s="470">
        <v>0</v>
      </c>
      <c r="L496" s="470">
        <v>0</v>
      </c>
      <c r="M496" s="470">
        <v>0</v>
      </c>
      <c r="N496" s="470">
        <v>0</v>
      </c>
      <c r="O496" s="470">
        <v>0</v>
      </c>
      <c r="T496" s="310" t="str">
        <v>GigaEthernet (150Mbps)</v>
      </c>
      <c r="V496" s="470">
        <v>5.5600000000000005</v>
      </c>
      <c r="W496" s="470">
        <v>4.9000000000000004</v>
      </c>
      <c r="X496" s="470">
        <v>5.54</v>
      </c>
      <c r="Y496" s="470">
        <v>4.8</v>
      </c>
      <c r="Z496" s="470">
        <v>7</v>
      </c>
      <c r="AA496" s="470">
        <v>13.940000000000001</v>
      </c>
      <c r="AB496" s="470">
        <v>0</v>
      </c>
      <c r="AC496" s="470">
        <v>0</v>
      </c>
      <c r="AD496" s="470">
        <v>0</v>
      </c>
      <c r="AE496" s="470">
        <v>0</v>
      </c>
      <c r="AF496" s="470">
        <v>0</v>
      </c>
      <c r="AK496" s="310" t="str">
        <v>GigaEthernet (150Mbps)</v>
      </c>
      <c r="AM496" s="470">
        <v>5.5600000000000005</v>
      </c>
      <c r="AN496" s="470">
        <v>4.9000000000000004</v>
      </c>
      <c r="AO496" s="470">
        <v>5.54</v>
      </c>
      <c r="AP496" s="470">
        <v>4.8</v>
      </c>
      <c r="AQ496" s="470">
        <v>7</v>
      </c>
      <c r="AR496" s="470">
        <v>13.940000000000001</v>
      </c>
      <c r="AS496" s="470">
        <v>0</v>
      </c>
      <c r="AT496" s="470">
        <v>0</v>
      </c>
      <c r="AU496" s="470">
        <v>0</v>
      </c>
      <c r="AV496" s="470">
        <v>0</v>
      </c>
      <c r="AW496" s="470">
        <v>0</v>
      </c>
    </row>
    <row r="497" spans="2:53" s="299" customFormat="1">
      <c r="C497" s="310" t="str">
        <v>GigaEthernet (200Mbps)</v>
      </c>
      <c r="D497"/>
      <c r="E497" s="470">
        <v>0</v>
      </c>
      <c r="F497" s="470">
        <v>0</v>
      </c>
      <c r="G497" s="470">
        <v>0</v>
      </c>
      <c r="H497" s="470">
        <v>0</v>
      </c>
      <c r="I497" s="470">
        <v>0</v>
      </c>
      <c r="J497" s="470">
        <v>0</v>
      </c>
      <c r="K497" s="470">
        <v>0</v>
      </c>
      <c r="L497" s="470">
        <v>0</v>
      </c>
      <c r="M497" s="470">
        <v>0</v>
      </c>
      <c r="N497" s="470">
        <v>0</v>
      </c>
      <c r="O497" s="470">
        <v>0</v>
      </c>
      <c r="T497" s="310" t="str">
        <v>GigaEthernet (200Mbps)</v>
      </c>
      <c r="V497" s="470">
        <v>4</v>
      </c>
      <c r="W497" s="470">
        <v>3.92</v>
      </c>
      <c r="X497" s="470">
        <v>2.2200000000000002</v>
      </c>
      <c r="Y497" s="470">
        <v>3.46</v>
      </c>
      <c r="Z497" s="470">
        <v>5.83</v>
      </c>
      <c r="AA497" s="470">
        <v>5.24</v>
      </c>
      <c r="AB497" s="470">
        <v>0</v>
      </c>
      <c r="AC497" s="470">
        <v>0</v>
      </c>
      <c r="AD497" s="470">
        <v>0</v>
      </c>
      <c r="AE497" s="470">
        <v>0</v>
      </c>
      <c r="AF497" s="470">
        <v>0</v>
      </c>
      <c r="AK497" s="310" t="str">
        <v>GigaEthernet (200Mbps)</v>
      </c>
      <c r="AM497" s="470">
        <v>4</v>
      </c>
      <c r="AN497" s="470">
        <v>3.92</v>
      </c>
      <c r="AO497" s="470">
        <v>2.2200000000000002</v>
      </c>
      <c r="AP497" s="470">
        <v>3.46</v>
      </c>
      <c r="AQ497" s="470">
        <v>5.83</v>
      </c>
      <c r="AR497" s="470">
        <v>5.24</v>
      </c>
      <c r="AS497" s="470">
        <v>0</v>
      </c>
      <c r="AT497" s="470">
        <v>0</v>
      </c>
      <c r="AU497" s="470">
        <v>0</v>
      </c>
      <c r="AV497" s="470">
        <v>0</v>
      </c>
      <c r="AW497" s="470">
        <v>0</v>
      </c>
    </row>
    <row r="498" spans="2:53" s="299" customFormat="1">
      <c r="C498" s="310" t="str">
        <v>GigaEthernet (250Mbps)</v>
      </c>
      <c r="D498"/>
      <c r="E498" s="470">
        <v>0</v>
      </c>
      <c r="F498" s="470">
        <v>0</v>
      </c>
      <c r="G498" s="470">
        <v>0</v>
      </c>
      <c r="H498" s="470">
        <v>0</v>
      </c>
      <c r="I498" s="470">
        <v>0</v>
      </c>
      <c r="J498" s="470">
        <v>0</v>
      </c>
      <c r="K498" s="470">
        <v>0</v>
      </c>
      <c r="L498" s="470">
        <v>0</v>
      </c>
      <c r="M498" s="470">
        <v>0</v>
      </c>
      <c r="N498" s="470">
        <v>0</v>
      </c>
      <c r="O498" s="470">
        <v>0</v>
      </c>
      <c r="T498" s="310" t="str">
        <v>GigaEthernet (250Mbps)</v>
      </c>
      <c r="V498" s="470">
        <v>0</v>
      </c>
      <c r="W498" s="470">
        <v>0</v>
      </c>
      <c r="X498" s="470">
        <v>0</v>
      </c>
      <c r="Y498" s="470">
        <v>0</v>
      </c>
      <c r="Z498" s="470">
        <v>0</v>
      </c>
      <c r="AA498" s="470">
        <v>0.87</v>
      </c>
      <c r="AB498" s="470">
        <v>0</v>
      </c>
      <c r="AC498" s="470">
        <v>0</v>
      </c>
      <c r="AD498" s="470">
        <v>0</v>
      </c>
      <c r="AE498" s="470">
        <v>0</v>
      </c>
      <c r="AF498" s="470">
        <v>0</v>
      </c>
      <c r="AK498" s="310" t="str">
        <v>GigaEthernet (250Mbps)</v>
      </c>
      <c r="AM498" s="470">
        <v>0</v>
      </c>
      <c r="AN498" s="470">
        <v>0</v>
      </c>
      <c r="AO498" s="470">
        <v>0</v>
      </c>
      <c r="AP498" s="470">
        <v>0</v>
      </c>
      <c r="AQ498" s="470">
        <v>0</v>
      </c>
      <c r="AR498" s="470">
        <v>0.87</v>
      </c>
      <c r="AS498" s="470">
        <v>0</v>
      </c>
      <c r="AT498" s="470">
        <v>0</v>
      </c>
      <c r="AU498" s="470">
        <v>0</v>
      </c>
      <c r="AV498" s="470">
        <v>0</v>
      </c>
      <c r="AW498" s="470">
        <v>0</v>
      </c>
    </row>
    <row r="499" spans="2:53" s="299" customFormat="1">
      <c r="C499" s="310" t="str">
        <v>GigaEthernet (300Mbps)</v>
      </c>
      <c r="D499"/>
      <c r="E499" s="470">
        <v>0</v>
      </c>
      <c r="F499" s="470">
        <v>0</v>
      </c>
      <c r="G499" s="470">
        <v>0</v>
      </c>
      <c r="H499" s="470">
        <v>0</v>
      </c>
      <c r="I499" s="470">
        <v>0</v>
      </c>
      <c r="J499" s="470">
        <v>0</v>
      </c>
      <c r="K499" s="470">
        <v>0</v>
      </c>
      <c r="L499" s="470">
        <v>0</v>
      </c>
      <c r="M499" s="470">
        <v>0</v>
      </c>
      <c r="N499" s="470">
        <v>0</v>
      </c>
      <c r="O499" s="470">
        <v>0</v>
      </c>
      <c r="T499" s="310" t="str">
        <v>GigaEthernet (300Mbps)</v>
      </c>
      <c r="V499" s="470">
        <v>1.88</v>
      </c>
      <c r="W499" s="470">
        <v>2.52</v>
      </c>
      <c r="X499" s="470">
        <v>1.78</v>
      </c>
      <c r="Y499" s="470">
        <v>1.04</v>
      </c>
      <c r="Z499" s="470">
        <v>2.06</v>
      </c>
      <c r="AA499" s="470">
        <v>1.44</v>
      </c>
      <c r="AB499" s="470">
        <v>0</v>
      </c>
      <c r="AC499" s="470">
        <v>0</v>
      </c>
      <c r="AD499" s="470">
        <v>0</v>
      </c>
      <c r="AE499" s="470">
        <v>0</v>
      </c>
      <c r="AF499" s="470">
        <v>0</v>
      </c>
      <c r="AK499" s="310" t="str">
        <v>GigaEthernet (300Mbps)</v>
      </c>
      <c r="AM499" s="470">
        <v>1.88</v>
      </c>
      <c r="AN499" s="470">
        <v>2.52</v>
      </c>
      <c r="AO499" s="470">
        <v>1.78</v>
      </c>
      <c r="AP499" s="470">
        <v>1.04</v>
      </c>
      <c r="AQ499" s="470">
        <v>2.06</v>
      </c>
      <c r="AR499" s="470">
        <v>1.44</v>
      </c>
      <c r="AS499" s="470">
        <v>0</v>
      </c>
      <c r="AT499" s="470">
        <v>0</v>
      </c>
      <c r="AU499" s="470">
        <v>0</v>
      </c>
      <c r="AV499" s="470">
        <v>0</v>
      </c>
      <c r="AW499" s="470">
        <v>0</v>
      </c>
    </row>
    <row r="500" spans="2:53" s="299" customFormat="1">
      <c r="C500" s="310" t="str">
        <v>GigaEthernet (350Mbps)</v>
      </c>
      <c r="D500"/>
      <c r="E500" s="470">
        <v>0</v>
      </c>
      <c r="F500" s="470">
        <v>0</v>
      </c>
      <c r="G500" s="470">
        <v>0</v>
      </c>
      <c r="H500" s="470">
        <v>0</v>
      </c>
      <c r="I500" s="470">
        <v>0</v>
      </c>
      <c r="J500" s="470">
        <v>0</v>
      </c>
      <c r="K500" s="470">
        <v>0</v>
      </c>
      <c r="L500" s="470">
        <v>0</v>
      </c>
      <c r="M500" s="470">
        <v>0</v>
      </c>
      <c r="N500" s="470">
        <v>0</v>
      </c>
      <c r="O500" s="470">
        <v>0</v>
      </c>
      <c r="T500" s="310" t="str">
        <v>GigaEthernet (350Mbps)</v>
      </c>
      <c r="V500" s="470">
        <v>0</v>
      </c>
      <c r="W500" s="470">
        <v>0</v>
      </c>
      <c r="X500" s="470">
        <v>0</v>
      </c>
      <c r="Y500" s="470">
        <v>0</v>
      </c>
      <c r="Z500" s="470">
        <v>0</v>
      </c>
      <c r="AA500" s="470">
        <v>0</v>
      </c>
      <c r="AB500" s="470">
        <v>0</v>
      </c>
      <c r="AC500" s="470">
        <v>0</v>
      </c>
      <c r="AD500" s="470">
        <v>0</v>
      </c>
      <c r="AE500" s="470">
        <v>0</v>
      </c>
      <c r="AF500" s="470">
        <v>0</v>
      </c>
      <c r="AK500" s="310" t="str">
        <v>GigaEthernet (350Mbps)</v>
      </c>
      <c r="AM500" s="470">
        <v>0</v>
      </c>
      <c r="AN500" s="470">
        <v>0</v>
      </c>
      <c r="AO500" s="470">
        <v>0</v>
      </c>
      <c r="AP500" s="470">
        <v>0</v>
      </c>
      <c r="AQ500" s="470">
        <v>0</v>
      </c>
      <c r="AR500" s="470">
        <v>0</v>
      </c>
      <c r="AS500" s="470">
        <v>0</v>
      </c>
      <c r="AT500" s="470">
        <v>0</v>
      </c>
      <c r="AU500" s="470">
        <v>0</v>
      </c>
      <c r="AV500" s="470">
        <v>0</v>
      </c>
      <c r="AW500" s="470">
        <v>0</v>
      </c>
    </row>
    <row r="501" spans="2:53" s="299" customFormat="1">
      <c r="C501" s="310" t="str">
        <v>GigaEthernet (400Mbps)</v>
      </c>
      <c r="D501"/>
      <c r="E501" s="470">
        <v>0</v>
      </c>
      <c r="F501" s="470">
        <v>0</v>
      </c>
      <c r="G501" s="470">
        <v>0</v>
      </c>
      <c r="H501" s="470">
        <v>0</v>
      </c>
      <c r="I501" s="470">
        <v>0</v>
      </c>
      <c r="J501" s="470">
        <v>0</v>
      </c>
      <c r="K501" s="470">
        <v>0</v>
      </c>
      <c r="L501" s="470">
        <v>0</v>
      </c>
      <c r="M501" s="470">
        <v>0</v>
      </c>
      <c r="N501" s="470">
        <v>0</v>
      </c>
      <c r="O501" s="470">
        <v>0</v>
      </c>
      <c r="T501" s="310" t="str">
        <v>GigaEthernet (400Mbps)</v>
      </c>
      <c r="V501" s="470">
        <v>0</v>
      </c>
      <c r="W501" s="470">
        <v>0</v>
      </c>
      <c r="X501" s="470">
        <v>0</v>
      </c>
      <c r="Y501" s="470">
        <v>1.72</v>
      </c>
      <c r="Z501" s="470">
        <v>1.66</v>
      </c>
      <c r="AA501" s="470">
        <v>3.69</v>
      </c>
      <c r="AB501" s="470">
        <v>0</v>
      </c>
      <c r="AC501" s="470">
        <v>0</v>
      </c>
      <c r="AD501" s="470">
        <v>0</v>
      </c>
      <c r="AE501" s="470">
        <v>0</v>
      </c>
      <c r="AF501" s="470">
        <v>0</v>
      </c>
      <c r="AK501" s="310" t="str">
        <v>GigaEthernet (400Mbps)</v>
      </c>
      <c r="AM501" s="470">
        <v>0</v>
      </c>
      <c r="AN501" s="470">
        <v>0</v>
      </c>
      <c r="AO501" s="470">
        <v>0</v>
      </c>
      <c r="AP501" s="470">
        <v>1.72</v>
      </c>
      <c r="AQ501" s="470">
        <v>1.66</v>
      </c>
      <c r="AR501" s="470">
        <v>3.69</v>
      </c>
      <c r="AS501" s="470">
        <v>0</v>
      </c>
      <c r="AT501" s="470">
        <v>0</v>
      </c>
      <c r="AU501" s="470">
        <v>0</v>
      </c>
      <c r="AV501" s="470">
        <v>0</v>
      </c>
      <c r="AW501" s="470">
        <v>0</v>
      </c>
    </row>
    <row r="502" spans="2:53" s="299" customFormat="1">
      <c r="C502" s="310" t="str">
        <v>GigaEthernet (450Mbps)</v>
      </c>
      <c r="D502"/>
      <c r="E502" s="470">
        <v>0</v>
      </c>
      <c r="F502" s="470">
        <v>0</v>
      </c>
      <c r="G502" s="470">
        <v>0</v>
      </c>
      <c r="H502" s="470">
        <v>0</v>
      </c>
      <c r="I502" s="470">
        <v>0</v>
      </c>
      <c r="J502" s="470">
        <v>0</v>
      </c>
      <c r="K502" s="470">
        <v>0</v>
      </c>
      <c r="L502" s="470">
        <v>0</v>
      </c>
      <c r="M502" s="470">
        <v>0</v>
      </c>
      <c r="N502" s="470">
        <v>0</v>
      </c>
      <c r="O502" s="470">
        <v>0</v>
      </c>
      <c r="T502" s="310" t="str">
        <v>GigaEthernet (450Mbps)</v>
      </c>
      <c r="V502" s="470">
        <v>0</v>
      </c>
      <c r="W502" s="470">
        <v>0</v>
      </c>
      <c r="X502" s="470">
        <v>0</v>
      </c>
      <c r="Y502" s="470">
        <v>0</v>
      </c>
      <c r="Z502" s="470">
        <v>0</v>
      </c>
      <c r="AA502" s="470">
        <v>0</v>
      </c>
      <c r="AB502" s="470">
        <v>0</v>
      </c>
      <c r="AC502" s="470">
        <v>0</v>
      </c>
      <c r="AD502" s="470">
        <v>0</v>
      </c>
      <c r="AE502" s="470">
        <v>0</v>
      </c>
      <c r="AF502" s="470">
        <v>0</v>
      </c>
      <c r="AK502" s="310" t="str">
        <v>GigaEthernet (450Mbps)</v>
      </c>
      <c r="AM502" s="470">
        <v>0</v>
      </c>
      <c r="AN502" s="470">
        <v>0</v>
      </c>
      <c r="AO502" s="470">
        <v>0</v>
      </c>
      <c r="AP502" s="470">
        <v>0</v>
      </c>
      <c r="AQ502" s="470">
        <v>0</v>
      </c>
      <c r="AR502" s="470">
        <v>0</v>
      </c>
      <c r="AS502" s="470">
        <v>0</v>
      </c>
      <c r="AT502" s="470">
        <v>0</v>
      </c>
      <c r="AU502" s="470">
        <v>0</v>
      </c>
      <c r="AV502" s="470">
        <v>0</v>
      </c>
      <c r="AW502" s="470">
        <v>0</v>
      </c>
    </row>
    <row r="503" spans="2:53" s="299" customFormat="1">
      <c r="C503" s="310" t="str">
        <v>GigaEthernet (500Mbps)</v>
      </c>
      <c r="D503"/>
      <c r="E503" s="470">
        <v>0</v>
      </c>
      <c r="F503" s="470">
        <v>0</v>
      </c>
      <c r="G503" s="470">
        <v>0</v>
      </c>
      <c r="H503" s="470">
        <v>0</v>
      </c>
      <c r="I503" s="470">
        <v>0</v>
      </c>
      <c r="J503" s="470">
        <v>0</v>
      </c>
      <c r="K503" s="470">
        <v>0</v>
      </c>
      <c r="L503" s="470">
        <v>0</v>
      </c>
      <c r="M503" s="470">
        <v>0</v>
      </c>
      <c r="N503" s="470">
        <v>0</v>
      </c>
      <c r="O503" s="470">
        <v>0</v>
      </c>
      <c r="T503" s="310" t="str">
        <v>GigaEthernet (500Mbps)</v>
      </c>
      <c r="V503" s="470">
        <v>0</v>
      </c>
      <c r="W503" s="470">
        <v>0</v>
      </c>
      <c r="X503" s="470">
        <v>0</v>
      </c>
      <c r="Y503" s="470">
        <v>0</v>
      </c>
      <c r="Z503" s="470">
        <v>0</v>
      </c>
      <c r="AA503" s="470">
        <v>0</v>
      </c>
      <c r="AB503" s="470">
        <v>0</v>
      </c>
      <c r="AC503" s="470">
        <v>0</v>
      </c>
      <c r="AD503" s="470">
        <v>0</v>
      </c>
      <c r="AE503" s="470">
        <v>0</v>
      </c>
      <c r="AF503" s="470">
        <v>0</v>
      </c>
      <c r="AK503" s="310" t="str">
        <v>GigaEthernet (500Mbps)</v>
      </c>
      <c r="AM503" s="470">
        <v>0</v>
      </c>
      <c r="AN503" s="470">
        <v>0</v>
      </c>
      <c r="AO503" s="470">
        <v>0</v>
      </c>
      <c r="AP503" s="470">
        <v>0</v>
      </c>
      <c r="AQ503" s="470">
        <v>0</v>
      </c>
      <c r="AR503" s="470">
        <v>0</v>
      </c>
      <c r="AS503" s="470">
        <v>0</v>
      </c>
      <c r="AT503" s="470">
        <v>0</v>
      </c>
      <c r="AU503" s="470">
        <v>0</v>
      </c>
      <c r="AV503" s="470">
        <v>0</v>
      </c>
      <c r="AW503" s="470">
        <v>0</v>
      </c>
    </row>
    <row r="504" spans="2:53" s="299" customFormat="1">
      <c r="C504" s="310" t="str">
        <v>GigaEthernet (550Mbps)</v>
      </c>
      <c r="D504"/>
      <c r="E504" s="470">
        <v>0</v>
      </c>
      <c r="F504" s="470">
        <v>0</v>
      </c>
      <c r="G504" s="470">
        <v>0</v>
      </c>
      <c r="H504" s="470">
        <v>0</v>
      </c>
      <c r="I504" s="470">
        <v>0</v>
      </c>
      <c r="J504" s="470">
        <v>0</v>
      </c>
      <c r="K504" s="470">
        <v>0</v>
      </c>
      <c r="L504" s="470">
        <v>0</v>
      </c>
      <c r="M504" s="470">
        <v>0</v>
      </c>
      <c r="N504" s="470">
        <v>0</v>
      </c>
      <c r="O504" s="470">
        <v>0</v>
      </c>
      <c r="T504" s="310" t="str">
        <v>GigaEthernet (550Mbps)</v>
      </c>
      <c r="V504" s="470">
        <v>0</v>
      </c>
      <c r="W504" s="470">
        <v>0</v>
      </c>
      <c r="X504" s="470">
        <v>0</v>
      </c>
      <c r="Y504" s="470">
        <v>0</v>
      </c>
      <c r="Z504" s="470">
        <v>0</v>
      </c>
      <c r="AA504" s="470">
        <v>0</v>
      </c>
      <c r="AB504" s="470">
        <v>0</v>
      </c>
      <c r="AC504" s="470">
        <v>0</v>
      </c>
      <c r="AD504" s="470">
        <v>0</v>
      </c>
      <c r="AE504" s="470">
        <v>0</v>
      </c>
      <c r="AF504" s="470">
        <v>0</v>
      </c>
      <c r="AK504" s="310" t="str">
        <v>GigaEthernet (550Mbps)</v>
      </c>
      <c r="AM504" s="470">
        <v>0</v>
      </c>
      <c r="AN504" s="470">
        <v>0</v>
      </c>
      <c r="AO504" s="470">
        <v>0</v>
      </c>
      <c r="AP504" s="470">
        <v>0</v>
      </c>
      <c r="AQ504" s="470">
        <v>0</v>
      </c>
      <c r="AR504" s="470">
        <v>0</v>
      </c>
      <c r="AS504" s="470">
        <v>0</v>
      </c>
      <c r="AT504" s="470">
        <v>0</v>
      </c>
      <c r="AU504" s="470">
        <v>0</v>
      </c>
      <c r="AV504" s="470">
        <v>0</v>
      </c>
      <c r="AW504" s="470">
        <v>0</v>
      </c>
    </row>
    <row r="505" spans="2:53" s="299" customFormat="1">
      <c r="C505" s="310" t="str">
        <v>GigaEthernet (600Mbps)</v>
      </c>
      <c r="D505"/>
      <c r="E505" s="470">
        <v>0</v>
      </c>
      <c r="F505" s="470">
        <v>0</v>
      </c>
      <c r="G505" s="470">
        <v>0</v>
      </c>
      <c r="H505" s="470">
        <v>0</v>
      </c>
      <c r="I505" s="470">
        <v>0</v>
      </c>
      <c r="J505" s="470">
        <v>0</v>
      </c>
      <c r="K505" s="470">
        <v>0</v>
      </c>
      <c r="L505" s="470">
        <v>0</v>
      </c>
      <c r="M505" s="470">
        <v>0</v>
      </c>
      <c r="N505" s="470">
        <v>0</v>
      </c>
      <c r="O505" s="470">
        <v>0</v>
      </c>
      <c r="T505" s="310" t="str">
        <v>GigaEthernet (600Mbps)</v>
      </c>
      <c r="V505" s="470">
        <v>0.78</v>
      </c>
      <c r="W505" s="470">
        <v>0.7</v>
      </c>
      <c r="X505" s="470">
        <v>0</v>
      </c>
      <c r="Y505" s="470">
        <v>0</v>
      </c>
      <c r="Z505" s="470">
        <v>0</v>
      </c>
      <c r="AA505" s="470">
        <v>0</v>
      </c>
      <c r="AB505" s="470">
        <v>0</v>
      </c>
      <c r="AC505" s="470">
        <v>0</v>
      </c>
      <c r="AD505" s="470">
        <v>0</v>
      </c>
      <c r="AE505" s="470">
        <v>0</v>
      </c>
      <c r="AF505" s="470">
        <v>0</v>
      </c>
      <c r="AK505" s="310" t="str">
        <v>GigaEthernet (600Mbps)</v>
      </c>
      <c r="AM505" s="470">
        <v>0.78</v>
      </c>
      <c r="AN505" s="470">
        <v>0.7</v>
      </c>
      <c r="AO505" s="470">
        <v>0</v>
      </c>
      <c r="AP505" s="470">
        <v>0</v>
      </c>
      <c r="AQ505" s="470">
        <v>0</v>
      </c>
      <c r="AR505" s="470">
        <v>0</v>
      </c>
      <c r="AS505" s="470">
        <v>0</v>
      </c>
      <c r="AT505" s="470">
        <v>0</v>
      </c>
      <c r="AU505" s="470">
        <v>0</v>
      </c>
      <c r="AV505" s="470">
        <v>0</v>
      </c>
      <c r="AW505" s="470">
        <v>0</v>
      </c>
    </row>
    <row r="506" spans="2:53" s="299" customFormat="1">
      <c r="C506" s="310" t="str">
        <v>GigaEthernet (750Mbps)</v>
      </c>
      <c r="D506"/>
      <c r="E506" s="470">
        <v>0</v>
      </c>
      <c r="F506" s="470">
        <v>0</v>
      </c>
      <c r="G506" s="470">
        <v>0</v>
      </c>
      <c r="H506" s="470">
        <v>0</v>
      </c>
      <c r="I506" s="470">
        <v>0</v>
      </c>
      <c r="J506" s="470">
        <v>0</v>
      </c>
      <c r="K506" s="470">
        <v>0</v>
      </c>
      <c r="L506" s="470">
        <v>0</v>
      </c>
      <c r="M506" s="470">
        <v>0</v>
      </c>
      <c r="N506" s="470">
        <v>0</v>
      </c>
      <c r="O506" s="470">
        <v>0</v>
      </c>
      <c r="T506" s="310" t="str">
        <v>GigaEthernet (750Mbps)</v>
      </c>
      <c r="V506" s="470">
        <v>0</v>
      </c>
      <c r="W506" s="470">
        <v>0</v>
      </c>
      <c r="X506" s="470">
        <v>0.96</v>
      </c>
      <c r="Y506" s="470">
        <v>1.28</v>
      </c>
      <c r="Z506" s="470">
        <v>0.91</v>
      </c>
      <c r="AA506" s="470">
        <v>0</v>
      </c>
      <c r="AB506" s="470">
        <v>0</v>
      </c>
      <c r="AC506" s="470">
        <v>0</v>
      </c>
      <c r="AD506" s="470">
        <v>0</v>
      </c>
      <c r="AE506" s="470">
        <v>0</v>
      </c>
      <c r="AF506" s="470">
        <v>0</v>
      </c>
      <c r="AK506" s="310" t="str">
        <v>GigaEthernet (750Mbps)</v>
      </c>
      <c r="AM506" s="470">
        <v>0</v>
      </c>
      <c r="AN506" s="470">
        <v>0</v>
      </c>
      <c r="AO506" s="470">
        <v>0.96</v>
      </c>
      <c r="AP506" s="470">
        <v>1.28</v>
      </c>
      <c r="AQ506" s="470">
        <v>0.91</v>
      </c>
      <c r="AR506" s="470">
        <v>0</v>
      </c>
      <c r="AS506" s="470">
        <v>0</v>
      </c>
      <c r="AT506" s="470">
        <v>0</v>
      </c>
      <c r="AU506" s="470">
        <v>0</v>
      </c>
      <c r="AV506" s="470">
        <v>0</v>
      </c>
      <c r="AW506" s="470">
        <v>0</v>
      </c>
    </row>
    <row r="507" spans="2:53" s="299" customFormat="1">
      <c r="C507" s="310" t="str">
        <v>GigaEthernet (1 Gbps)</v>
      </c>
      <c r="D507"/>
      <c r="E507" s="470">
        <v>0</v>
      </c>
      <c r="F507" s="470">
        <v>0</v>
      </c>
      <c r="G507" s="470">
        <v>0</v>
      </c>
      <c r="H507" s="470">
        <v>0</v>
      </c>
      <c r="I507" s="470">
        <v>0</v>
      </c>
      <c r="J507" s="470">
        <v>0</v>
      </c>
      <c r="K507" s="470">
        <v>0</v>
      </c>
      <c r="L507" s="470">
        <v>0</v>
      </c>
      <c r="M507" s="470">
        <v>0</v>
      </c>
      <c r="N507" s="470">
        <v>0</v>
      </c>
      <c r="O507" s="470">
        <v>0</v>
      </c>
      <c r="Q507"/>
      <c r="R507"/>
      <c r="T507" s="310" t="str">
        <v>GigaEthernet (1 Gbps)</v>
      </c>
      <c r="V507" s="470">
        <v>0</v>
      </c>
      <c r="W507" s="470">
        <v>0.95</v>
      </c>
      <c r="X507" s="470">
        <v>0</v>
      </c>
      <c r="Y507" s="470">
        <v>0</v>
      </c>
      <c r="Z507" s="470">
        <v>1.08</v>
      </c>
      <c r="AA507" s="470">
        <v>10.4</v>
      </c>
      <c r="AB507" s="470">
        <v>0</v>
      </c>
      <c r="AC507" s="470">
        <v>0</v>
      </c>
      <c r="AD507" s="470">
        <v>0</v>
      </c>
      <c r="AE507" s="470">
        <v>0</v>
      </c>
      <c r="AF507" s="470">
        <v>0</v>
      </c>
      <c r="AK507" s="310" t="str">
        <v>GigaEthernet (1 Gbps)</v>
      </c>
      <c r="AM507" s="470">
        <v>0</v>
      </c>
      <c r="AN507" s="470">
        <v>0.95</v>
      </c>
      <c r="AO507" s="470">
        <v>0</v>
      </c>
      <c r="AP507" s="470">
        <v>0</v>
      </c>
      <c r="AQ507" s="470">
        <v>1.08</v>
      </c>
      <c r="AR507" s="470">
        <v>10.4</v>
      </c>
      <c r="AS507" s="470">
        <v>0</v>
      </c>
      <c r="AT507" s="470">
        <v>0</v>
      </c>
      <c r="AU507" s="470">
        <v>0</v>
      </c>
      <c r="AV507" s="470">
        <v>0</v>
      </c>
      <c r="AW507" s="470">
        <v>0</v>
      </c>
    </row>
    <row r="508" spans="2:53" s="299" customFormat="1">
      <c r="E508" s="337">
        <f>SUM(E470:E507)</f>
        <v>8214.73</v>
      </c>
      <c r="F508" s="337">
        <f t="shared" ref="F508" si="41">SUM(F470:F507)</f>
        <v>10178.090000000002</v>
      </c>
      <c r="G508" s="337">
        <f t="shared" ref="G508" si="42">SUM(G470:G507)</f>
        <v>9651.5600000000013</v>
      </c>
      <c r="H508" s="337">
        <f t="shared" ref="H508" si="43">SUM(H470:H507)</f>
        <v>8492.65</v>
      </c>
      <c r="I508" s="337">
        <f t="shared" ref="I508" si="44">SUM(I470:I507)</f>
        <v>8848.16</v>
      </c>
      <c r="J508" s="337">
        <f t="shared" ref="J508" si="45">SUM(J470:J507)</f>
        <v>8056.46</v>
      </c>
      <c r="K508" s="337">
        <f t="shared" ref="K508" si="46">SUM(K470:K507)</f>
        <v>0</v>
      </c>
      <c r="L508" s="337">
        <f t="shared" ref="L508" si="47">SUM(L470:L507)</f>
        <v>0</v>
      </c>
      <c r="M508" s="337">
        <f t="shared" ref="M508" si="48">SUM(M470:M507)</f>
        <v>0</v>
      </c>
      <c r="N508" s="337">
        <f t="shared" ref="N508" si="49">SUM(N470:N507)</f>
        <v>0</v>
      </c>
      <c r="O508" s="337">
        <f t="shared" ref="O508" si="50">SUM(O470:O507)</f>
        <v>0</v>
      </c>
      <c r="Q508"/>
      <c r="R508"/>
      <c r="V508" s="337">
        <f>SUM(V470:V507)</f>
        <v>11654.3</v>
      </c>
      <c r="W508" s="337">
        <f t="shared" ref="W508:AF508" si="51">SUM(W470:W507)</f>
        <v>14816.210000000001</v>
      </c>
      <c r="X508" s="337">
        <f t="shared" si="51"/>
        <v>14772.279999999999</v>
      </c>
      <c r="Y508" s="337">
        <f t="shared" si="51"/>
        <v>16746.969999999998</v>
      </c>
      <c r="Z508" s="337">
        <f t="shared" si="51"/>
        <v>15633.52</v>
      </c>
      <c r="AA508" s="337">
        <f t="shared" si="51"/>
        <v>19724.449999999997</v>
      </c>
      <c r="AB508" s="337">
        <f t="shared" si="51"/>
        <v>0</v>
      </c>
      <c r="AC508" s="337">
        <f t="shared" si="51"/>
        <v>0</v>
      </c>
      <c r="AD508" s="337">
        <f t="shared" si="51"/>
        <v>0</v>
      </c>
      <c r="AE508" s="337">
        <f t="shared" si="51"/>
        <v>0</v>
      </c>
      <c r="AF508" s="337">
        <f t="shared" si="51"/>
        <v>0</v>
      </c>
      <c r="AM508" s="337">
        <f>SUM(AM470:AM507)</f>
        <v>19869.030000000006</v>
      </c>
      <c r="AN508" s="337">
        <f t="shared" ref="AN508:AW508" si="52">SUM(AN470:AN507)</f>
        <v>24994.299999999996</v>
      </c>
      <c r="AO508" s="337">
        <f t="shared" si="52"/>
        <v>24423.84</v>
      </c>
      <c r="AP508" s="337">
        <f t="shared" si="52"/>
        <v>25239.620000000003</v>
      </c>
      <c r="AQ508" s="337">
        <f t="shared" si="52"/>
        <v>24481.680000000004</v>
      </c>
      <c r="AR508" s="337">
        <f t="shared" si="52"/>
        <v>27780.909999999989</v>
      </c>
      <c r="AS508" s="337">
        <f t="shared" si="52"/>
        <v>0</v>
      </c>
      <c r="AT508" s="337">
        <f t="shared" si="52"/>
        <v>0</v>
      </c>
      <c r="AU508" s="337">
        <f t="shared" si="52"/>
        <v>0</v>
      </c>
      <c r="AV508" s="337">
        <f t="shared" si="52"/>
        <v>0</v>
      </c>
      <c r="AW508" s="337">
        <f t="shared" si="52"/>
        <v>0</v>
      </c>
    </row>
    <row r="509" spans="2:53" s="299" customFormat="1"/>
    <row r="510" spans="2:53" s="299" customFormat="1"/>
    <row r="511" spans="2:53" s="299" customFormat="1" ht="17.25" thickBot="1">
      <c r="B511" s="308" t="s">
        <v>492</v>
      </c>
      <c r="C511" s="308"/>
      <c r="D511" s="308"/>
      <c r="E511" s="308"/>
      <c r="S511" s="308" t="s">
        <v>561</v>
      </c>
      <c r="T511" s="308"/>
      <c r="U511" s="308"/>
      <c r="V511" s="308"/>
      <c r="W511" s="308"/>
      <c r="X511" s="308"/>
      <c r="Y511" s="308"/>
      <c r="AJ511" s="308" t="s">
        <v>565</v>
      </c>
      <c r="AK511" s="308"/>
      <c r="AL511" s="308"/>
      <c r="AM511" s="308"/>
      <c r="AN511" s="308"/>
      <c r="AO511" s="308"/>
    </row>
    <row r="512" spans="2:53" s="299" customFormat="1" ht="18" thickTop="1" thickBot="1">
      <c r="B512" s="308" t="s">
        <v>493</v>
      </c>
      <c r="C512" s="308"/>
      <c r="D512" s="308"/>
      <c r="E512" s="308"/>
      <c r="F512" s="308"/>
      <c r="G512" s="308"/>
      <c r="H512" s="308"/>
      <c r="I512" s="308"/>
      <c r="J512" s="308"/>
      <c r="K512" s="308"/>
      <c r="L512" s="308"/>
      <c r="M512" s="308"/>
      <c r="N512" s="308"/>
      <c r="O512" s="308"/>
      <c r="P512" s="308"/>
      <c r="Q512" s="308"/>
      <c r="S512" s="308" t="s">
        <v>573</v>
      </c>
      <c r="T512" s="308"/>
      <c r="U512" s="308"/>
      <c r="V512" s="308"/>
      <c r="W512" s="308"/>
      <c r="X512" s="308"/>
      <c r="Y512" s="308"/>
      <c r="Z512" s="308"/>
      <c r="AA512" s="308"/>
      <c r="AB512" s="308"/>
      <c r="AC512" s="308"/>
      <c r="AD512" s="308"/>
      <c r="AE512" s="308"/>
      <c r="AF512" s="308"/>
      <c r="AG512" s="308"/>
      <c r="AH512" s="308"/>
      <c r="AJ512" s="308" t="s">
        <v>569</v>
      </c>
      <c r="AK512" s="308"/>
      <c r="AL512" s="308"/>
      <c r="AM512" s="308"/>
      <c r="AN512" s="308"/>
      <c r="AO512" s="308"/>
      <c r="AP512" s="308"/>
      <c r="AQ512" s="308"/>
      <c r="AR512" s="308"/>
      <c r="AS512" s="308"/>
      <c r="AT512" s="308"/>
      <c r="AU512" s="308"/>
      <c r="AV512" s="308"/>
      <c r="AW512" s="308"/>
      <c r="AX512" s="308"/>
      <c r="AY512" s="308"/>
      <c r="AZ512" s="308"/>
      <c r="BA512" s="308"/>
    </row>
    <row r="513" spans="2:49" s="299" customFormat="1" ht="12.75" thickTop="1"/>
    <row r="514" spans="2:49" s="299" customFormat="1" ht="15">
      <c r="C514" s="332" t="s">
        <v>499</v>
      </c>
      <c r="T514" s="332" t="s">
        <v>499</v>
      </c>
      <c r="AK514" s="332" t="s">
        <v>499</v>
      </c>
    </row>
    <row r="515" spans="2:49" s="299" customFormat="1" ht="15">
      <c r="C515" s="332" t="s">
        <v>498</v>
      </c>
      <c r="T515" s="332" t="s">
        <v>498</v>
      </c>
      <c r="AK515" s="332" t="s">
        <v>498</v>
      </c>
    </row>
    <row r="516" spans="2:49" s="299" customFormat="1"/>
    <row r="517" spans="2:49" s="299" customFormat="1">
      <c r="C517" s="326" t="s">
        <v>442</v>
      </c>
      <c r="D517" s="326">
        <f t="array" ref="D517:O517">TRANSPOSE(Years)</f>
        <v>2008</v>
      </c>
      <c r="E517" s="326">
        <v>2009</v>
      </c>
      <c r="F517" s="326">
        <v>2010</v>
      </c>
      <c r="G517" s="326">
        <v>2011</v>
      </c>
      <c r="H517" s="326">
        <v>2012</v>
      </c>
      <c r="I517" s="326">
        <v>2013</v>
      </c>
      <c r="J517" s="326">
        <v>2014</v>
      </c>
      <c r="K517" s="326">
        <v>2015</v>
      </c>
      <c r="L517" s="326">
        <v>2016</v>
      </c>
      <c r="M517" s="326">
        <v>2017</v>
      </c>
      <c r="N517" s="326">
        <v>2018</v>
      </c>
      <c r="O517" s="326">
        <v>2019</v>
      </c>
      <c r="T517" s="338" t="s">
        <v>442</v>
      </c>
      <c r="U517" s="338">
        <f t="array" ref="U517:AF517">TRANSPOSE(Years)</f>
        <v>2008</v>
      </c>
      <c r="V517" s="338">
        <v>2009</v>
      </c>
      <c r="W517" s="338">
        <v>2010</v>
      </c>
      <c r="X517" s="338">
        <v>2011</v>
      </c>
      <c r="Y517" s="338">
        <v>2012</v>
      </c>
      <c r="Z517" s="338">
        <v>2013</v>
      </c>
      <c r="AA517" s="338">
        <v>2014</v>
      </c>
      <c r="AB517" s="338">
        <v>2015</v>
      </c>
      <c r="AC517" s="338">
        <v>2016</v>
      </c>
      <c r="AD517" s="338">
        <v>2017</v>
      </c>
      <c r="AE517" s="338">
        <v>2018</v>
      </c>
      <c r="AF517" s="338">
        <v>2019</v>
      </c>
      <c r="AK517" s="338" t="s">
        <v>442</v>
      </c>
      <c r="AL517" s="338">
        <f t="array" ref="AL517:AW517">TRANSPOSE(Years)</f>
        <v>2008</v>
      </c>
      <c r="AM517" s="338">
        <v>2009</v>
      </c>
      <c r="AN517" s="338">
        <v>2010</v>
      </c>
      <c r="AO517" s="338">
        <v>2011</v>
      </c>
      <c r="AP517" s="338">
        <v>2012</v>
      </c>
      <c r="AQ517" s="338">
        <v>2013</v>
      </c>
      <c r="AR517" s="338">
        <v>2014</v>
      </c>
      <c r="AS517" s="338">
        <v>2015</v>
      </c>
      <c r="AT517" s="338">
        <v>2016</v>
      </c>
      <c r="AU517" s="338">
        <v>2017</v>
      </c>
      <c r="AV517" s="338">
        <v>2018</v>
      </c>
      <c r="AW517" s="338">
        <v>2019</v>
      </c>
    </row>
    <row r="518" spans="2:49" s="299" customFormat="1">
      <c r="B518"/>
      <c r="C518" s="310" t="str">
        <f t="array" ref="C518:C555">LL.list</f>
        <v>64 kbps</v>
      </c>
      <c r="E518" s="335">
        <f t="array" ref="E518:J555">International.LL.2009.2014.retail</f>
        <v>19.990000000000002</v>
      </c>
      <c r="F518" s="335">
        <v>18.419999999999995</v>
      </c>
      <c r="G518" s="335">
        <v>19.060000000000002</v>
      </c>
      <c r="H518" s="335">
        <v>7.3299999999999983</v>
      </c>
      <c r="I518" s="335">
        <v>9.1999999999999993</v>
      </c>
      <c r="J518" s="335">
        <v>5.9</v>
      </c>
      <c r="K518" s="473"/>
      <c r="L518" s="473"/>
      <c r="M518" s="473"/>
      <c r="N518" s="473"/>
      <c r="O518" s="473"/>
      <c r="T518" s="310" t="str">
        <f t="array" ref="T518:T555">LL.list</f>
        <v>64 kbps</v>
      </c>
      <c r="V518" s="335">
        <f t="array" ref="V518:AA555">International.LL.2009.2014.wholesale</f>
        <v>20</v>
      </c>
      <c r="W518" s="335">
        <v>20</v>
      </c>
      <c r="X518" s="335">
        <v>20</v>
      </c>
      <c r="Y518" s="335">
        <v>9</v>
      </c>
      <c r="Z518" s="335">
        <v>10</v>
      </c>
      <c r="AA518" s="335">
        <v>7</v>
      </c>
      <c r="AB518" s="473"/>
      <c r="AC518" s="473"/>
      <c r="AD518" s="473"/>
      <c r="AE518" s="473"/>
      <c r="AF518" s="473"/>
      <c r="AK518" s="310" t="str">
        <f t="array" ref="AK518:AK555">LL.list</f>
        <v>64 kbps</v>
      </c>
      <c r="AM518" s="335">
        <f t="array" ref="AM518:AR555">International.LL.2009.2014.total</f>
        <v>39.99</v>
      </c>
      <c r="AN518" s="335">
        <v>38.419999999999995</v>
      </c>
      <c r="AO518" s="335">
        <v>39.06</v>
      </c>
      <c r="AP518" s="335">
        <v>16.329999999999998</v>
      </c>
      <c r="AQ518" s="335">
        <v>19.2</v>
      </c>
      <c r="AR518" s="335">
        <v>12.9</v>
      </c>
      <c r="AS518" s="473"/>
      <c r="AT518" s="473"/>
      <c r="AU518" s="473"/>
      <c r="AV518" s="473"/>
      <c r="AW518" s="473"/>
    </row>
    <row r="519" spans="2:49" s="299" customFormat="1">
      <c r="B519"/>
      <c r="C519" s="310" t="str">
        <v>128 kbps</v>
      </c>
      <c r="E519" s="335">
        <v>3.24</v>
      </c>
      <c r="F519" s="335">
        <v>3.8400000000000007</v>
      </c>
      <c r="G519" s="335">
        <v>3.1400000000000006</v>
      </c>
      <c r="H519" s="335">
        <v>0.60999999999999988</v>
      </c>
      <c r="I519" s="335">
        <v>0</v>
      </c>
      <c r="J519" s="335">
        <v>0</v>
      </c>
      <c r="K519" s="473"/>
      <c r="L519" s="473"/>
      <c r="M519" s="473"/>
      <c r="N519" s="473"/>
      <c r="O519" s="473"/>
      <c r="T519" s="310" t="str">
        <v>128 kbps</v>
      </c>
      <c r="V519" s="335">
        <v>5</v>
      </c>
      <c r="W519" s="335">
        <v>4</v>
      </c>
      <c r="X519" s="335">
        <v>4</v>
      </c>
      <c r="Y519" s="335">
        <v>2</v>
      </c>
      <c r="Z519" s="335">
        <v>0</v>
      </c>
      <c r="AA519" s="335">
        <v>0</v>
      </c>
      <c r="AB519" s="473"/>
      <c r="AC519" s="473"/>
      <c r="AD519" s="473"/>
      <c r="AE519" s="473"/>
      <c r="AF519" s="473"/>
      <c r="AK519" s="310" t="str">
        <v>128 kbps</v>
      </c>
      <c r="AM519" s="335">
        <v>8.24</v>
      </c>
      <c r="AN519" s="335">
        <v>7.8400000000000007</v>
      </c>
      <c r="AO519" s="335">
        <v>7.1400000000000006</v>
      </c>
      <c r="AP519" s="335">
        <v>2.61</v>
      </c>
      <c r="AQ519" s="335">
        <v>0</v>
      </c>
      <c r="AR519" s="335">
        <v>0</v>
      </c>
      <c r="AS519" s="473"/>
      <c r="AT519" s="473"/>
      <c r="AU519" s="473"/>
      <c r="AV519" s="473"/>
      <c r="AW519" s="473"/>
    </row>
    <row r="520" spans="2:49" s="299" customFormat="1">
      <c r="B520"/>
      <c r="C520" s="310" t="str">
        <v>192 kbps</v>
      </c>
      <c r="E520" s="335">
        <v>-0.14000000000000001</v>
      </c>
      <c r="F520" s="335">
        <v>0</v>
      </c>
      <c r="G520" s="335">
        <v>0</v>
      </c>
      <c r="H520" s="335">
        <v>0</v>
      </c>
      <c r="I520" s="335">
        <v>0</v>
      </c>
      <c r="J520" s="335">
        <v>0</v>
      </c>
      <c r="K520" s="473"/>
      <c r="L520" s="473"/>
      <c r="M520" s="473"/>
      <c r="N520" s="473"/>
      <c r="O520" s="473"/>
      <c r="T520" s="310" t="str">
        <v>192 kbps</v>
      </c>
      <c r="V520" s="335">
        <v>1</v>
      </c>
      <c r="W520" s="335">
        <v>0</v>
      </c>
      <c r="X520" s="335">
        <v>0</v>
      </c>
      <c r="Y520" s="335">
        <v>0</v>
      </c>
      <c r="Z520" s="335">
        <v>0</v>
      </c>
      <c r="AA520" s="335">
        <v>0</v>
      </c>
      <c r="AB520" s="473"/>
      <c r="AC520" s="473"/>
      <c r="AD520" s="473"/>
      <c r="AE520" s="473"/>
      <c r="AF520" s="473"/>
      <c r="AK520" s="310" t="str">
        <v>192 kbps</v>
      </c>
      <c r="AM520" s="335">
        <v>0.86</v>
      </c>
      <c r="AN520" s="335">
        <v>0</v>
      </c>
      <c r="AO520" s="335">
        <v>0</v>
      </c>
      <c r="AP520" s="335">
        <v>0</v>
      </c>
      <c r="AQ520" s="335">
        <v>0</v>
      </c>
      <c r="AR520" s="335">
        <v>0</v>
      </c>
      <c r="AS520" s="473"/>
      <c r="AT520" s="473"/>
      <c r="AU520" s="473"/>
      <c r="AV520" s="473"/>
      <c r="AW520" s="473"/>
    </row>
    <row r="521" spans="2:49" s="299" customFormat="1">
      <c r="B521"/>
      <c r="C521" s="310" t="str">
        <v>256 kbps</v>
      </c>
      <c r="E521" s="335">
        <v>7.66</v>
      </c>
      <c r="F521" s="335">
        <v>3.3999999999999986</v>
      </c>
      <c r="G521" s="335">
        <v>2.0600000000000005</v>
      </c>
      <c r="H521" s="335">
        <v>3.4399999999999995</v>
      </c>
      <c r="I521" s="335">
        <v>1.7200000000000002</v>
      </c>
      <c r="J521" s="335">
        <v>1.2799999999999998</v>
      </c>
      <c r="K521" s="473"/>
      <c r="L521" s="473"/>
      <c r="M521" s="473"/>
      <c r="N521" s="473"/>
      <c r="O521" s="473"/>
      <c r="T521" s="310" t="str">
        <v>256 kbps</v>
      </c>
      <c r="V521" s="335">
        <v>9</v>
      </c>
      <c r="W521" s="335">
        <v>5</v>
      </c>
      <c r="X521" s="335">
        <v>4</v>
      </c>
      <c r="Y521" s="335">
        <v>4</v>
      </c>
      <c r="Z521" s="335">
        <v>2</v>
      </c>
      <c r="AA521" s="335">
        <v>2</v>
      </c>
      <c r="AB521" s="473"/>
      <c r="AC521" s="473"/>
      <c r="AD521" s="473"/>
      <c r="AE521" s="473"/>
      <c r="AF521" s="473"/>
      <c r="AK521" s="310" t="str">
        <v>256 kbps</v>
      </c>
      <c r="AM521" s="335">
        <v>16.66</v>
      </c>
      <c r="AN521" s="335">
        <v>8.3999999999999986</v>
      </c>
      <c r="AO521" s="335">
        <v>6.0600000000000005</v>
      </c>
      <c r="AP521" s="335">
        <v>7.4399999999999995</v>
      </c>
      <c r="AQ521" s="335">
        <v>3.72</v>
      </c>
      <c r="AR521" s="335">
        <v>3.28</v>
      </c>
      <c r="AS521" s="473"/>
      <c r="AT521" s="473"/>
      <c r="AU521" s="473"/>
      <c r="AV521" s="473"/>
      <c r="AW521" s="473"/>
    </row>
    <row r="522" spans="2:49" s="299" customFormat="1">
      <c r="B522"/>
      <c r="C522" s="310" t="str">
        <v>384 kbps</v>
      </c>
      <c r="E522" s="335">
        <v>6.32</v>
      </c>
      <c r="F522" s="335">
        <v>2.4799999999999995</v>
      </c>
      <c r="G522" s="335">
        <v>5.7000000000000011</v>
      </c>
      <c r="H522" s="335">
        <v>4.8900000000000006</v>
      </c>
      <c r="I522" s="335">
        <v>0</v>
      </c>
      <c r="J522" s="335">
        <v>0</v>
      </c>
      <c r="K522" s="473"/>
      <c r="L522" s="473"/>
      <c r="M522" s="473"/>
      <c r="N522" s="473"/>
      <c r="O522" s="473"/>
      <c r="T522" s="310" t="str">
        <v>384 kbps</v>
      </c>
      <c r="V522" s="335">
        <v>7</v>
      </c>
      <c r="W522" s="335">
        <v>4</v>
      </c>
      <c r="X522" s="335">
        <v>6</v>
      </c>
      <c r="Y522" s="335">
        <v>6</v>
      </c>
      <c r="Z522" s="335">
        <v>0</v>
      </c>
      <c r="AA522" s="335">
        <v>0</v>
      </c>
      <c r="AB522" s="473"/>
      <c r="AC522" s="473"/>
      <c r="AD522" s="473"/>
      <c r="AE522" s="473"/>
      <c r="AF522" s="473"/>
      <c r="AK522" s="310" t="str">
        <v>384 kbps</v>
      </c>
      <c r="AM522" s="335">
        <v>13.32</v>
      </c>
      <c r="AN522" s="335">
        <v>6.4799999999999995</v>
      </c>
      <c r="AO522" s="335">
        <v>11.700000000000001</v>
      </c>
      <c r="AP522" s="335">
        <v>10.89</v>
      </c>
      <c r="AQ522" s="335">
        <v>0</v>
      </c>
      <c r="AR522" s="335">
        <v>0</v>
      </c>
      <c r="AS522" s="473"/>
      <c r="AT522" s="473"/>
      <c r="AU522" s="473"/>
      <c r="AV522" s="473"/>
      <c r="AW522" s="473"/>
    </row>
    <row r="523" spans="2:49" s="299" customFormat="1">
      <c r="B523"/>
      <c r="C523" s="310" t="str">
        <v>512 kbps</v>
      </c>
      <c r="E523" s="335">
        <v>5.52</v>
      </c>
      <c r="F523" s="335">
        <v>4.3599999999999994</v>
      </c>
      <c r="G523" s="335">
        <v>3.8000000000000007</v>
      </c>
      <c r="H523" s="335">
        <v>4.7200000000000006</v>
      </c>
      <c r="I523" s="335">
        <v>3.4000000000000004</v>
      </c>
      <c r="J523" s="335">
        <v>1.5</v>
      </c>
      <c r="K523" s="473"/>
      <c r="L523" s="473"/>
      <c r="M523" s="473"/>
      <c r="N523" s="473"/>
      <c r="O523" s="473"/>
      <c r="T523" s="310" t="str">
        <v>512 kbps</v>
      </c>
      <c r="V523" s="335">
        <v>6</v>
      </c>
      <c r="W523" s="335">
        <v>5</v>
      </c>
      <c r="X523" s="335">
        <v>5</v>
      </c>
      <c r="Y523" s="335">
        <v>5</v>
      </c>
      <c r="Z523" s="335">
        <v>5</v>
      </c>
      <c r="AA523" s="335">
        <v>3</v>
      </c>
      <c r="AB523" s="473"/>
      <c r="AC523" s="473"/>
      <c r="AD523" s="473"/>
      <c r="AE523" s="473"/>
      <c r="AF523" s="473"/>
      <c r="AK523" s="310" t="str">
        <v>512 kbps</v>
      </c>
      <c r="AM523" s="335">
        <v>11.52</v>
      </c>
      <c r="AN523" s="335">
        <v>9.36</v>
      </c>
      <c r="AO523" s="335">
        <v>8.8000000000000007</v>
      </c>
      <c r="AP523" s="335">
        <v>9.7200000000000006</v>
      </c>
      <c r="AQ523" s="335">
        <v>8.4</v>
      </c>
      <c r="AR523" s="335">
        <v>4.5</v>
      </c>
      <c r="AS523" s="473"/>
      <c r="AT523" s="473"/>
      <c r="AU523" s="473"/>
      <c r="AV523" s="473"/>
      <c r="AW523" s="473"/>
    </row>
    <row r="524" spans="2:49" s="299" customFormat="1">
      <c r="B524"/>
      <c r="C524" s="310" t="str">
        <v>768 kbps</v>
      </c>
      <c r="E524" s="335">
        <v>2.25</v>
      </c>
      <c r="F524" s="335">
        <v>2.6000000000000005</v>
      </c>
      <c r="G524" s="335">
        <v>2.6999999999999993</v>
      </c>
      <c r="H524" s="335">
        <v>0.14000000000000012</v>
      </c>
      <c r="I524" s="335">
        <v>0</v>
      </c>
      <c r="J524" s="335">
        <v>0</v>
      </c>
      <c r="K524" s="473"/>
      <c r="L524" s="473"/>
      <c r="M524" s="473"/>
      <c r="N524" s="473"/>
      <c r="O524" s="473"/>
      <c r="T524" s="310" t="str">
        <v>768 kbps</v>
      </c>
      <c r="V524" s="335">
        <v>4</v>
      </c>
      <c r="W524" s="335">
        <v>3</v>
      </c>
      <c r="X524" s="335">
        <v>3</v>
      </c>
      <c r="Y524" s="335">
        <v>2</v>
      </c>
      <c r="Z524" s="335">
        <v>0</v>
      </c>
      <c r="AA524" s="335">
        <v>0</v>
      </c>
      <c r="AB524" s="473"/>
      <c r="AC524" s="473"/>
      <c r="AD524" s="473"/>
      <c r="AE524" s="473"/>
      <c r="AF524" s="473"/>
      <c r="AK524" s="310" t="str">
        <v>768 kbps</v>
      </c>
      <c r="AM524" s="335">
        <v>6.25</v>
      </c>
      <c r="AN524" s="335">
        <v>5.6000000000000005</v>
      </c>
      <c r="AO524" s="335">
        <v>5.6999999999999993</v>
      </c>
      <c r="AP524" s="335">
        <v>2.14</v>
      </c>
      <c r="AQ524" s="335">
        <v>0</v>
      </c>
      <c r="AR524" s="335">
        <v>0</v>
      </c>
      <c r="AS524" s="473"/>
      <c r="AT524" s="473"/>
      <c r="AU524" s="473"/>
      <c r="AV524" s="473"/>
      <c r="AW524" s="473"/>
    </row>
    <row r="525" spans="2:49" s="299" customFormat="1">
      <c r="B525"/>
      <c r="C525" s="310" t="str">
        <v>1024 kbps</v>
      </c>
      <c r="E525" s="335">
        <v>3.21</v>
      </c>
      <c r="F525" s="335">
        <v>3.3200000000000003</v>
      </c>
      <c r="G525" s="335">
        <v>3.2800000000000002</v>
      </c>
      <c r="H525" s="335">
        <v>1.3600000000000003</v>
      </c>
      <c r="I525" s="335">
        <v>4.5999999999999996</v>
      </c>
      <c r="J525" s="335">
        <v>3.2800000000000002</v>
      </c>
      <c r="K525" s="473"/>
      <c r="L525" s="473"/>
      <c r="M525" s="473"/>
      <c r="N525" s="473"/>
      <c r="O525" s="473"/>
      <c r="T525" s="310" t="str">
        <v>1024 kbps</v>
      </c>
      <c r="V525" s="335">
        <v>4</v>
      </c>
      <c r="W525" s="335">
        <v>4</v>
      </c>
      <c r="X525" s="335">
        <v>4</v>
      </c>
      <c r="Y525" s="335">
        <v>3</v>
      </c>
      <c r="Z525" s="335">
        <v>5</v>
      </c>
      <c r="AA525" s="335">
        <v>4</v>
      </c>
      <c r="AB525" s="473"/>
      <c r="AC525" s="473"/>
      <c r="AD525" s="473"/>
      <c r="AE525" s="473"/>
      <c r="AF525" s="473"/>
      <c r="AK525" s="310" t="str">
        <v>1024 kbps</v>
      </c>
      <c r="AM525" s="335">
        <v>7.21</v>
      </c>
      <c r="AN525" s="335">
        <v>7.32</v>
      </c>
      <c r="AO525" s="335">
        <v>7.28</v>
      </c>
      <c r="AP525" s="335">
        <v>4.3600000000000003</v>
      </c>
      <c r="AQ525" s="335">
        <v>9.6</v>
      </c>
      <c r="AR525" s="335">
        <v>7.28</v>
      </c>
      <c r="AS525" s="473"/>
      <c r="AT525" s="473"/>
      <c r="AU525" s="473"/>
      <c r="AV525" s="473"/>
      <c r="AW525" s="473"/>
    </row>
    <row r="526" spans="2:49" s="299" customFormat="1">
      <c r="B526"/>
      <c r="C526" s="331" t="str">
        <v>E1 (2.04 Mbps)</v>
      </c>
      <c r="E526" s="335">
        <v>58.260000000000005</v>
      </c>
      <c r="F526" s="335">
        <v>56.97999999999999</v>
      </c>
      <c r="G526" s="335">
        <v>76.920000000000016</v>
      </c>
      <c r="H526" s="335">
        <v>68.5</v>
      </c>
      <c r="I526" s="335">
        <v>63.33</v>
      </c>
      <c r="J526" s="335">
        <v>53.780000000000015</v>
      </c>
      <c r="K526" s="473"/>
      <c r="L526" s="473"/>
      <c r="M526" s="473"/>
      <c r="N526" s="473"/>
      <c r="O526" s="473"/>
      <c r="T526" s="331" t="str">
        <v>E1 (2.04 Mbps)</v>
      </c>
      <c r="V526" s="335">
        <v>60</v>
      </c>
      <c r="W526" s="335">
        <v>57</v>
      </c>
      <c r="X526" s="335">
        <v>77</v>
      </c>
      <c r="Y526" s="335">
        <v>69</v>
      </c>
      <c r="Z526" s="335">
        <v>64</v>
      </c>
      <c r="AA526" s="335">
        <v>55</v>
      </c>
      <c r="AB526" s="473"/>
      <c r="AC526" s="473"/>
      <c r="AD526" s="473"/>
      <c r="AE526" s="473"/>
      <c r="AF526" s="473"/>
      <c r="AK526" s="331" t="str">
        <v>E1 (2.04 Mbps)</v>
      </c>
      <c r="AM526" s="335">
        <v>118.26</v>
      </c>
      <c r="AN526" s="335">
        <v>113.97999999999999</v>
      </c>
      <c r="AO526" s="335">
        <v>153.92000000000002</v>
      </c>
      <c r="AP526" s="335">
        <v>137.5</v>
      </c>
      <c r="AQ526" s="335">
        <v>127.33</v>
      </c>
      <c r="AR526" s="335">
        <v>108.78000000000002</v>
      </c>
      <c r="AS526" s="473"/>
      <c r="AT526" s="473"/>
      <c r="AU526" s="473"/>
      <c r="AV526" s="473"/>
      <c r="AW526" s="473"/>
    </row>
    <row r="527" spans="2:49" s="299" customFormat="1">
      <c r="B527"/>
      <c r="C527" s="331" t="str">
        <v>E2 *</v>
      </c>
      <c r="E527" s="335">
        <v>0</v>
      </c>
      <c r="F527" s="335">
        <v>0</v>
      </c>
      <c r="G527" s="335">
        <v>0</v>
      </c>
      <c r="H527" s="335">
        <v>0</v>
      </c>
      <c r="I527" s="335">
        <v>0</v>
      </c>
      <c r="J527" s="335">
        <v>0</v>
      </c>
      <c r="K527" s="473"/>
      <c r="L527" s="473"/>
      <c r="M527" s="473"/>
      <c r="N527" s="473"/>
      <c r="O527" s="473"/>
      <c r="T527" s="331" t="str">
        <v>E2 *</v>
      </c>
      <c r="V527" s="335">
        <v>0</v>
      </c>
      <c r="W527" s="335">
        <v>0</v>
      </c>
      <c r="X527" s="335">
        <v>0</v>
      </c>
      <c r="Y527" s="335">
        <v>0</v>
      </c>
      <c r="Z527" s="335">
        <v>0</v>
      </c>
      <c r="AA527" s="335">
        <v>0</v>
      </c>
      <c r="AB527" s="473"/>
      <c r="AC527" s="473"/>
      <c r="AD527" s="473"/>
      <c r="AE527" s="473"/>
      <c r="AF527" s="473"/>
      <c r="AK527" s="331" t="str">
        <v>E2 *</v>
      </c>
      <c r="AM527" s="335">
        <v>0</v>
      </c>
      <c r="AN527" s="335">
        <v>0</v>
      </c>
      <c r="AO527" s="335">
        <v>0</v>
      </c>
      <c r="AP527" s="335">
        <v>0</v>
      </c>
      <c r="AQ527" s="335">
        <v>0</v>
      </c>
      <c r="AR527" s="335">
        <v>0</v>
      </c>
      <c r="AS527" s="473"/>
      <c r="AT527" s="473"/>
      <c r="AU527" s="473"/>
      <c r="AV527" s="473"/>
      <c r="AW527" s="473"/>
    </row>
    <row r="528" spans="2:49" s="299" customFormat="1">
      <c r="B528"/>
      <c r="C528" s="331" t="str">
        <v>E3 (34 Mbps)</v>
      </c>
      <c r="E528" s="335">
        <v>0</v>
      </c>
      <c r="F528" s="335">
        <v>0</v>
      </c>
      <c r="G528" s="335">
        <v>0</v>
      </c>
      <c r="H528" s="335">
        <v>0</v>
      </c>
      <c r="I528" s="335">
        <v>0</v>
      </c>
      <c r="J528" s="335">
        <v>0</v>
      </c>
      <c r="K528" s="473"/>
      <c r="L528" s="473"/>
      <c r="M528" s="473"/>
      <c r="N528" s="473"/>
      <c r="O528" s="473"/>
      <c r="T528" s="331" t="str">
        <v>E3 (34 Mbps)</v>
      </c>
      <c r="V528" s="335">
        <v>0</v>
      </c>
      <c r="W528" s="335">
        <v>0</v>
      </c>
      <c r="X528" s="335">
        <v>0</v>
      </c>
      <c r="Y528" s="335">
        <v>0</v>
      </c>
      <c r="Z528" s="335">
        <v>0</v>
      </c>
      <c r="AA528" s="335">
        <v>0</v>
      </c>
      <c r="AB528" s="473"/>
      <c r="AC528" s="473"/>
      <c r="AD528" s="473"/>
      <c r="AE528" s="473"/>
      <c r="AF528" s="473"/>
      <c r="AK528" s="331" t="str">
        <v>E3 (34 Mbps)</v>
      </c>
      <c r="AM528" s="335">
        <v>0</v>
      </c>
      <c r="AN528" s="335">
        <v>0</v>
      </c>
      <c r="AO528" s="335">
        <v>0</v>
      </c>
      <c r="AP528" s="335">
        <v>0</v>
      </c>
      <c r="AQ528" s="335">
        <v>0</v>
      </c>
      <c r="AR528" s="335">
        <v>0</v>
      </c>
      <c r="AS528" s="473"/>
      <c r="AT528" s="473"/>
      <c r="AU528" s="473"/>
      <c r="AV528" s="473"/>
      <c r="AW528" s="473"/>
    </row>
    <row r="529" spans="2:49" s="299" customFormat="1">
      <c r="B529"/>
      <c r="C529" s="331" t="str">
        <v>STM-1 (155 Mbps)</v>
      </c>
      <c r="E529" s="335">
        <v>0</v>
      </c>
      <c r="F529" s="335">
        <v>0</v>
      </c>
      <c r="G529" s="335">
        <v>0</v>
      </c>
      <c r="H529" s="335">
        <v>0</v>
      </c>
      <c r="I529" s="335">
        <v>0</v>
      </c>
      <c r="J529" s="335">
        <v>0</v>
      </c>
      <c r="K529" s="473"/>
      <c r="L529" s="473"/>
      <c r="M529" s="473"/>
      <c r="N529" s="473"/>
      <c r="O529" s="473"/>
      <c r="T529" s="331" t="str">
        <v>STM-1 (155 Mbps)</v>
      </c>
      <c r="V529" s="335">
        <v>3.72</v>
      </c>
      <c r="W529" s="335">
        <v>5.6999999999999993</v>
      </c>
      <c r="X529" s="335">
        <v>6.35</v>
      </c>
      <c r="Y529" s="335">
        <v>2.0999999999999996</v>
      </c>
      <c r="Z529" s="335">
        <v>2.4899999999999998</v>
      </c>
      <c r="AA529" s="335">
        <v>2.8499999999999996</v>
      </c>
      <c r="AB529" s="473"/>
      <c r="AC529" s="473"/>
      <c r="AD529" s="473"/>
      <c r="AE529" s="473"/>
      <c r="AF529" s="473"/>
      <c r="AK529" s="331" t="str">
        <v>STM-1 (155 Mbps)</v>
      </c>
      <c r="AM529" s="335">
        <v>3.72</v>
      </c>
      <c r="AN529" s="335">
        <v>5.6999999999999993</v>
      </c>
      <c r="AO529" s="335">
        <v>6.35</v>
      </c>
      <c r="AP529" s="335">
        <v>2.0999999999999996</v>
      </c>
      <c r="AQ529" s="335">
        <v>2.4899999999999998</v>
      </c>
      <c r="AR529" s="335">
        <v>2.8499999999999996</v>
      </c>
      <c r="AS529" s="473"/>
      <c r="AT529" s="473"/>
      <c r="AU529" s="473"/>
      <c r="AV529" s="473"/>
      <c r="AW529" s="473"/>
    </row>
    <row r="530" spans="2:49" s="299" customFormat="1">
      <c r="B530"/>
      <c r="C530" s="310" t="str">
        <v>STM-4 (622.08 Mbps)</v>
      </c>
      <c r="E530" s="335">
        <v>0</v>
      </c>
      <c r="F530" s="335">
        <v>0</v>
      </c>
      <c r="G530" s="335">
        <v>0</v>
      </c>
      <c r="H530" s="335">
        <v>0</v>
      </c>
      <c r="I530" s="335">
        <v>0</v>
      </c>
      <c r="J530" s="335">
        <v>0</v>
      </c>
      <c r="K530" s="473"/>
      <c r="L530" s="473"/>
      <c r="M530" s="473"/>
      <c r="N530" s="473"/>
      <c r="O530" s="473"/>
      <c r="T530" s="310" t="str">
        <v>STM-4 (622.08 Mbps)</v>
      </c>
      <c r="V530" s="335">
        <v>0</v>
      </c>
      <c r="W530" s="335">
        <v>0</v>
      </c>
      <c r="X530" s="335">
        <v>0.77</v>
      </c>
      <c r="Y530" s="335">
        <v>0.78</v>
      </c>
      <c r="Z530" s="335">
        <v>1.02</v>
      </c>
      <c r="AA530" s="335">
        <v>1.03</v>
      </c>
      <c r="AB530" s="473"/>
      <c r="AC530" s="473"/>
      <c r="AD530" s="473"/>
      <c r="AE530" s="473"/>
      <c r="AF530" s="473"/>
      <c r="AK530" s="310" t="str">
        <v>STM-4 (622.08 Mbps)</v>
      </c>
      <c r="AM530" s="335">
        <v>0</v>
      </c>
      <c r="AN530" s="335">
        <v>0</v>
      </c>
      <c r="AO530" s="335">
        <v>0.77</v>
      </c>
      <c r="AP530" s="335">
        <v>0.78</v>
      </c>
      <c r="AQ530" s="335">
        <v>1.02</v>
      </c>
      <c r="AR530" s="335">
        <v>1.03</v>
      </c>
      <c r="AS530" s="473"/>
      <c r="AT530" s="473"/>
      <c r="AU530" s="473"/>
      <c r="AV530" s="473"/>
      <c r="AW530" s="473"/>
    </row>
    <row r="531" spans="2:49" s="299" customFormat="1">
      <c r="B531"/>
      <c r="C531" s="310" t="str">
        <v>STM-16 (2488.32Mbps)</v>
      </c>
      <c r="E531" s="335">
        <v>0</v>
      </c>
      <c r="F531" s="335">
        <v>0</v>
      </c>
      <c r="G531" s="335">
        <v>0</v>
      </c>
      <c r="H531" s="335">
        <v>0</v>
      </c>
      <c r="I531" s="335">
        <v>0</v>
      </c>
      <c r="J531" s="335">
        <v>0</v>
      </c>
      <c r="K531" s="473"/>
      <c r="L531" s="473"/>
      <c r="M531" s="473"/>
      <c r="N531" s="473"/>
      <c r="O531" s="473"/>
      <c r="T531" s="310" t="str">
        <v>STM-16 (2488.32Mbps)</v>
      </c>
      <c r="V531" s="335">
        <v>3.76</v>
      </c>
      <c r="W531" s="335">
        <v>4.04</v>
      </c>
      <c r="X531" s="335">
        <v>4.76</v>
      </c>
      <c r="Y531" s="335">
        <v>2.92</v>
      </c>
      <c r="Z531" s="335">
        <v>3.44</v>
      </c>
      <c r="AA531" s="335">
        <v>4.5199999999999996</v>
      </c>
      <c r="AB531" s="473"/>
      <c r="AC531" s="473"/>
      <c r="AD531" s="473"/>
      <c r="AE531" s="473"/>
      <c r="AF531" s="473"/>
      <c r="AK531" s="310" t="str">
        <v>STM-16 (2488.32Mbps)</v>
      </c>
      <c r="AM531" s="335">
        <v>3.76</v>
      </c>
      <c r="AN531" s="335">
        <v>4.04</v>
      </c>
      <c r="AO531" s="335">
        <v>4.76</v>
      </c>
      <c r="AP531" s="335">
        <v>2.92</v>
      </c>
      <c r="AQ531" s="335">
        <v>3.44</v>
      </c>
      <c r="AR531" s="335">
        <v>4.5199999999999996</v>
      </c>
      <c r="AS531" s="473"/>
      <c r="AT531" s="473"/>
      <c r="AU531" s="473"/>
      <c r="AV531" s="473"/>
      <c r="AW531" s="473"/>
    </row>
    <row r="532" spans="2:49" s="299" customFormat="1">
      <c r="B532"/>
      <c r="C532" s="310" t="str">
        <v>STM-64 (9953.28Mbps)</v>
      </c>
      <c r="E532" s="335">
        <v>0</v>
      </c>
      <c r="F532" s="335">
        <v>0</v>
      </c>
      <c r="G532" s="335">
        <v>0</v>
      </c>
      <c r="H532" s="335">
        <v>0</v>
      </c>
      <c r="I532" s="335">
        <v>0</v>
      </c>
      <c r="J532" s="335">
        <v>0</v>
      </c>
      <c r="K532" s="473"/>
      <c r="L532" s="473"/>
      <c r="M532" s="473"/>
      <c r="N532" s="473"/>
      <c r="O532" s="473"/>
      <c r="T532" s="310" t="str">
        <v>STM-64 (9953.28Mbps)</v>
      </c>
      <c r="V532" s="335">
        <v>0</v>
      </c>
      <c r="W532" s="335">
        <v>0</v>
      </c>
      <c r="X532" s="335">
        <v>0</v>
      </c>
      <c r="Y532" s="335">
        <v>0</v>
      </c>
      <c r="Z532" s="335">
        <v>0</v>
      </c>
      <c r="AA532" s="335">
        <v>0</v>
      </c>
      <c r="AB532" s="473"/>
      <c r="AC532" s="473"/>
      <c r="AD532" s="473"/>
      <c r="AE532" s="473"/>
      <c r="AF532" s="473"/>
      <c r="AK532" s="310" t="str">
        <v>STM-64 (9953.28Mbps)</v>
      </c>
      <c r="AM532" s="335">
        <v>0</v>
      </c>
      <c r="AN532" s="335">
        <v>0</v>
      </c>
      <c r="AO532" s="335">
        <v>0</v>
      </c>
      <c r="AP532" s="335">
        <v>0</v>
      </c>
      <c r="AQ532" s="335">
        <v>0</v>
      </c>
      <c r="AR532" s="335">
        <v>0</v>
      </c>
      <c r="AS532" s="473"/>
      <c r="AT532" s="473"/>
      <c r="AU532" s="473"/>
      <c r="AV532" s="473"/>
      <c r="AW532" s="473"/>
    </row>
    <row r="533" spans="2:49" s="299" customFormat="1">
      <c r="B533"/>
      <c r="C533" s="310" t="str">
        <v>STM-256 (39813.12 Mbps)*</v>
      </c>
      <c r="E533" s="335">
        <v>0</v>
      </c>
      <c r="F533" s="335">
        <v>0</v>
      </c>
      <c r="G533" s="335">
        <v>0</v>
      </c>
      <c r="H533" s="335">
        <v>0</v>
      </c>
      <c r="I533" s="335">
        <v>0</v>
      </c>
      <c r="J533" s="335">
        <v>0</v>
      </c>
      <c r="K533" s="473"/>
      <c r="L533" s="473"/>
      <c r="M533" s="473"/>
      <c r="N533" s="473"/>
      <c r="O533" s="473"/>
      <c r="T533" s="310" t="str">
        <v>STM-256 (39813.12 Mbps)*</v>
      </c>
      <c r="V533" s="335">
        <v>0</v>
      </c>
      <c r="W533" s="335">
        <v>0</v>
      </c>
      <c r="X533" s="335">
        <v>0</v>
      </c>
      <c r="Y533" s="335">
        <v>0</v>
      </c>
      <c r="Z533" s="335">
        <v>0</v>
      </c>
      <c r="AA533" s="335">
        <v>0</v>
      </c>
      <c r="AB533" s="473"/>
      <c r="AC533" s="473"/>
      <c r="AD533" s="473"/>
      <c r="AE533" s="473"/>
      <c r="AF533" s="473"/>
      <c r="AK533" s="310" t="str">
        <v>STM-256 (39813.12 Mbps)*</v>
      </c>
      <c r="AM533" s="335">
        <v>0</v>
      </c>
      <c r="AN533" s="335">
        <v>0</v>
      </c>
      <c r="AO533" s="335">
        <v>0</v>
      </c>
      <c r="AP533" s="335">
        <v>0</v>
      </c>
      <c r="AQ533" s="335">
        <v>0</v>
      </c>
      <c r="AR533" s="335">
        <v>0</v>
      </c>
      <c r="AS533" s="473"/>
      <c r="AT533" s="473"/>
      <c r="AU533" s="473"/>
      <c r="AV533" s="473"/>
      <c r="AW533" s="473"/>
    </row>
    <row r="534" spans="2:49" s="299" customFormat="1">
      <c r="B534"/>
      <c r="C534" s="310" t="str">
        <v>Ethernet (10Mbps)</v>
      </c>
      <c r="E534" s="335">
        <v>0</v>
      </c>
      <c r="F534" s="335">
        <v>0</v>
      </c>
      <c r="G534" s="335">
        <v>0</v>
      </c>
      <c r="H534" s="335">
        <v>0</v>
      </c>
      <c r="I534" s="335">
        <v>0</v>
      </c>
      <c r="J534" s="335">
        <v>0</v>
      </c>
      <c r="K534" s="473"/>
      <c r="L534" s="473"/>
      <c r="M534" s="473"/>
      <c r="N534" s="473"/>
      <c r="O534" s="473"/>
      <c r="T534" s="310" t="str">
        <v>Ethernet (10Mbps)</v>
      </c>
      <c r="V534" s="335">
        <v>0</v>
      </c>
      <c r="W534" s="335">
        <v>0</v>
      </c>
      <c r="X534" s="335">
        <v>0</v>
      </c>
      <c r="Y534" s="335">
        <v>0</v>
      </c>
      <c r="Z534" s="335">
        <v>0</v>
      </c>
      <c r="AA534" s="335">
        <v>0</v>
      </c>
      <c r="AB534" s="473"/>
      <c r="AC534" s="473"/>
      <c r="AD534" s="473"/>
      <c r="AE534" s="473"/>
      <c r="AF534" s="473"/>
      <c r="AK534" s="310" t="str">
        <v>Ethernet (10Mbps)</v>
      </c>
      <c r="AM534" s="335">
        <v>0</v>
      </c>
      <c r="AN534" s="335">
        <v>0</v>
      </c>
      <c r="AO534" s="335">
        <v>0</v>
      </c>
      <c r="AP534" s="335">
        <v>0</v>
      </c>
      <c r="AQ534" s="335">
        <v>0</v>
      </c>
      <c r="AR534" s="335">
        <v>0</v>
      </c>
      <c r="AS534" s="473"/>
      <c r="AT534" s="473"/>
      <c r="AU534" s="473"/>
      <c r="AV534" s="473"/>
      <c r="AW534" s="473"/>
    </row>
    <row r="535" spans="2:49" s="299" customFormat="1">
      <c r="B535"/>
      <c r="C535" s="310" t="str">
        <v>Ethernet (20Mbps)</v>
      </c>
      <c r="E535" s="335">
        <v>0</v>
      </c>
      <c r="F535" s="335">
        <v>0</v>
      </c>
      <c r="G535" s="335">
        <v>0</v>
      </c>
      <c r="H535" s="335">
        <v>0</v>
      </c>
      <c r="I535" s="335">
        <v>0</v>
      </c>
      <c r="J535" s="335">
        <v>0</v>
      </c>
      <c r="K535" s="473"/>
      <c r="L535" s="473"/>
      <c r="M535" s="473"/>
      <c r="N535" s="473"/>
      <c r="O535" s="473"/>
      <c r="T535" s="310" t="str">
        <v>Ethernet (20Mbps)</v>
      </c>
      <c r="V535" s="335">
        <v>0</v>
      </c>
      <c r="W535" s="335">
        <v>0</v>
      </c>
      <c r="X535" s="335">
        <v>0</v>
      </c>
      <c r="Y535" s="335">
        <v>0</v>
      </c>
      <c r="Z535" s="335">
        <v>0</v>
      </c>
      <c r="AA535" s="335">
        <v>0</v>
      </c>
      <c r="AB535" s="473"/>
      <c r="AC535" s="473"/>
      <c r="AD535" s="473"/>
      <c r="AE535" s="473"/>
      <c r="AF535" s="473"/>
      <c r="AK535" s="310" t="str">
        <v>Ethernet (20Mbps)</v>
      </c>
      <c r="AM535" s="335">
        <v>0</v>
      </c>
      <c r="AN535" s="335">
        <v>0</v>
      </c>
      <c r="AO535" s="335">
        <v>0</v>
      </c>
      <c r="AP535" s="335">
        <v>0</v>
      </c>
      <c r="AQ535" s="335">
        <v>0</v>
      </c>
      <c r="AR535" s="335">
        <v>0</v>
      </c>
      <c r="AS535" s="473"/>
      <c r="AT535" s="473"/>
      <c r="AU535" s="473"/>
      <c r="AV535" s="473"/>
      <c r="AW535" s="473"/>
    </row>
    <row r="536" spans="2:49" s="299" customFormat="1">
      <c r="B536"/>
      <c r="C536" s="310" t="str">
        <v>Ethernet (30Mbps)</v>
      </c>
      <c r="E536" s="335">
        <v>0</v>
      </c>
      <c r="F536" s="335">
        <v>0</v>
      </c>
      <c r="G536" s="335">
        <v>0</v>
      </c>
      <c r="H536" s="335">
        <v>0</v>
      </c>
      <c r="I536" s="335">
        <v>0</v>
      </c>
      <c r="J536" s="335">
        <v>0</v>
      </c>
      <c r="K536" s="473"/>
      <c r="L536" s="473"/>
      <c r="M536" s="473"/>
      <c r="N536" s="473"/>
      <c r="O536" s="473"/>
      <c r="T536" s="310" t="str">
        <v>Ethernet (30Mbps)</v>
      </c>
      <c r="V536" s="335">
        <v>0</v>
      </c>
      <c r="W536" s="335">
        <v>0</v>
      </c>
      <c r="X536" s="335">
        <v>0</v>
      </c>
      <c r="Y536" s="335">
        <v>0</v>
      </c>
      <c r="Z536" s="335">
        <v>0</v>
      </c>
      <c r="AA536" s="335">
        <v>0</v>
      </c>
      <c r="AB536" s="473"/>
      <c r="AC536" s="473"/>
      <c r="AD536" s="473"/>
      <c r="AE536" s="473"/>
      <c r="AF536" s="473"/>
      <c r="AK536" s="310" t="str">
        <v>Ethernet (30Mbps)</v>
      </c>
      <c r="AM536" s="335">
        <v>0</v>
      </c>
      <c r="AN536" s="335">
        <v>0</v>
      </c>
      <c r="AO536" s="335">
        <v>0</v>
      </c>
      <c r="AP536" s="335">
        <v>0</v>
      </c>
      <c r="AQ536" s="335">
        <v>0</v>
      </c>
      <c r="AR536" s="335">
        <v>0</v>
      </c>
      <c r="AS536" s="473"/>
      <c r="AT536" s="473"/>
      <c r="AU536" s="473"/>
      <c r="AV536" s="473"/>
      <c r="AW536" s="473"/>
    </row>
    <row r="537" spans="2:49" s="299" customFormat="1">
      <c r="B537"/>
      <c r="C537" s="310" t="str">
        <v>Ethernet (40Mbps)</v>
      </c>
      <c r="E537" s="335">
        <v>0</v>
      </c>
      <c r="F537" s="335">
        <v>0</v>
      </c>
      <c r="G537" s="335">
        <v>0</v>
      </c>
      <c r="H537" s="335">
        <v>0</v>
      </c>
      <c r="I537" s="335">
        <v>0</v>
      </c>
      <c r="J537" s="335">
        <v>0</v>
      </c>
      <c r="K537" s="473"/>
      <c r="L537" s="473"/>
      <c r="M537" s="473"/>
      <c r="N537" s="473"/>
      <c r="O537" s="473"/>
      <c r="T537" s="310" t="str">
        <v>Ethernet (40Mbps)</v>
      </c>
      <c r="V537" s="335">
        <v>0</v>
      </c>
      <c r="W537" s="335">
        <v>0</v>
      </c>
      <c r="X537" s="335">
        <v>0</v>
      </c>
      <c r="Y537" s="335">
        <v>0</v>
      </c>
      <c r="Z537" s="335">
        <v>0</v>
      </c>
      <c r="AA537" s="335">
        <v>0</v>
      </c>
      <c r="AB537" s="473"/>
      <c r="AC537" s="473"/>
      <c r="AD537" s="473"/>
      <c r="AE537" s="473"/>
      <c r="AF537" s="473"/>
      <c r="AK537" s="310" t="str">
        <v>Ethernet (40Mbps)</v>
      </c>
      <c r="AM537" s="335">
        <v>0</v>
      </c>
      <c r="AN537" s="335">
        <v>0</v>
      </c>
      <c r="AO537" s="335">
        <v>0</v>
      </c>
      <c r="AP537" s="335">
        <v>0</v>
      </c>
      <c r="AQ537" s="335">
        <v>0</v>
      </c>
      <c r="AR537" s="335">
        <v>0</v>
      </c>
      <c r="AS537" s="473"/>
      <c r="AT537" s="473"/>
      <c r="AU537" s="473"/>
      <c r="AV537" s="473"/>
      <c r="AW537" s="473"/>
    </row>
    <row r="538" spans="2:49" s="299" customFormat="1">
      <c r="B538"/>
      <c r="C538" s="310" t="str">
        <v>Ethernet (50Mbps)</v>
      </c>
      <c r="E538" s="335">
        <v>0</v>
      </c>
      <c r="F538" s="335">
        <v>0</v>
      </c>
      <c r="G538" s="335">
        <v>0</v>
      </c>
      <c r="H538" s="335">
        <v>0</v>
      </c>
      <c r="I538" s="335">
        <v>0</v>
      </c>
      <c r="J538" s="335">
        <v>0</v>
      </c>
      <c r="K538" s="473"/>
      <c r="L538" s="473"/>
      <c r="M538" s="473"/>
      <c r="N538" s="473"/>
      <c r="O538" s="473"/>
      <c r="T538" s="310" t="str">
        <v>Ethernet (50Mbps)</v>
      </c>
      <c r="V538" s="335">
        <v>0</v>
      </c>
      <c r="W538" s="335">
        <v>0</v>
      </c>
      <c r="X538" s="335">
        <v>0</v>
      </c>
      <c r="Y538" s="335">
        <v>0</v>
      </c>
      <c r="Z538" s="335">
        <v>0</v>
      </c>
      <c r="AA538" s="335">
        <v>0</v>
      </c>
      <c r="AB538" s="473"/>
      <c r="AC538" s="473"/>
      <c r="AD538" s="473"/>
      <c r="AE538" s="473"/>
      <c r="AF538" s="473"/>
      <c r="AK538" s="310" t="str">
        <v>Ethernet (50Mbps)</v>
      </c>
      <c r="AM538" s="335">
        <v>0</v>
      </c>
      <c r="AN538" s="335">
        <v>0</v>
      </c>
      <c r="AO538" s="335">
        <v>0</v>
      </c>
      <c r="AP538" s="335">
        <v>0</v>
      </c>
      <c r="AQ538" s="335">
        <v>0</v>
      </c>
      <c r="AR538" s="335">
        <v>0</v>
      </c>
      <c r="AS538" s="473"/>
      <c r="AT538" s="473"/>
      <c r="AU538" s="473"/>
      <c r="AV538" s="473"/>
      <c r="AW538" s="473"/>
    </row>
    <row r="539" spans="2:49" s="299" customFormat="1">
      <c r="B539"/>
      <c r="C539" s="310" t="str">
        <v>Ethernet (60Mbps)</v>
      </c>
      <c r="E539" s="335">
        <v>0</v>
      </c>
      <c r="F539" s="335">
        <v>0</v>
      </c>
      <c r="G539" s="335">
        <v>0</v>
      </c>
      <c r="H539" s="335">
        <v>0</v>
      </c>
      <c r="I539" s="335">
        <v>0</v>
      </c>
      <c r="J539" s="335">
        <v>0</v>
      </c>
      <c r="K539" s="473"/>
      <c r="L539" s="473"/>
      <c r="M539" s="473"/>
      <c r="N539" s="473"/>
      <c r="O539" s="473"/>
      <c r="T539" s="310" t="str">
        <v>Ethernet (60Mbps)</v>
      </c>
      <c r="V539" s="335">
        <v>0</v>
      </c>
      <c r="W539" s="335">
        <v>0</v>
      </c>
      <c r="X539" s="335">
        <v>0</v>
      </c>
      <c r="Y539" s="335">
        <v>0</v>
      </c>
      <c r="Z539" s="335">
        <v>0</v>
      </c>
      <c r="AA539" s="335">
        <v>0</v>
      </c>
      <c r="AB539" s="473"/>
      <c r="AC539" s="473"/>
      <c r="AD539" s="473"/>
      <c r="AE539" s="473"/>
      <c r="AF539" s="473"/>
      <c r="AK539" s="310" t="str">
        <v>Ethernet (60Mbps)</v>
      </c>
      <c r="AM539" s="335">
        <v>0</v>
      </c>
      <c r="AN539" s="335">
        <v>0</v>
      </c>
      <c r="AO539" s="335">
        <v>0</v>
      </c>
      <c r="AP539" s="335">
        <v>0</v>
      </c>
      <c r="AQ539" s="335">
        <v>0</v>
      </c>
      <c r="AR539" s="335">
        <v>0</v>
      </c>
      <c r="AS539" s="473"/>
      <c r="AT539" s="473"/>
      <c r="AU539" s="473"/>
      <c r="AV539" s="473"/>
      <c r="AW539" s="473"/>
    </row>
    <row r="540" spans="2:49" s="299" customFormat="1">
      <c r="B540"/>
      <c r="C540" s="310" t="str">
        <v>Ethernet (70Mbps)</v>
      </c>
      <c r="E540" s="335">
        <v>0</v>
      </c>
      <c r="F540" s="335">
        <v>0</v>
      </c>
      <c r="G540" s="335">
        <v>0</v>
      </c>
      <c r="H540" s="335">
        <v>0</v>
      </c>
      <c r="I540" s="335">
        <v>0</v>
      </c>
      <c r="J540" s="335">
        <v>0</v>
      </c>
      <c r="K540" s="473"/>
      <c r="L540" s="473"/>
      <c r="M540" s="473"/>
      <c r="N540" s="473"/>
      <c r="O540" s="473"/>
      <c r="T540" s="310" t="str">
        <v>Ethernet (70Mbps)</v>
      </c>
      <c r="V540" s="335">
        <v>0</v>
      </c>
      <c r="W540" s="335">
        <v>0</v>
      </c>
      <c r="X540" s="335">
        <v>0</v>
      </c>
      <c r="Y540" s="335">
        <v>0</v>
      </c>
      <c r="Z540" s="335">
        <v>0</v>
      </c>
      <c r="AA540" s="335">
        <v>0</v>
      </c>
      <c r="AB540" s="473"/>
      <c r="AC540" s="473"/>
      <c r="AD540" s="473"/>
      <c r="AE540" s="473"/>
      <c r="AF540" s="473"/>
      <c r="AK540" s="310" t="str">
        <v>Ethernet (70Mbps)</v>
      </c>
      <c r="AM540" s="335">
        <v>0</v>
      </c>
      <c r="AN540" s="335">
        <v>0</v>
      </c>
      <c r="AO540" s="335">
        <v>0</v>
      </c>
      <c r="AP540" s="335">
        <v>0</v>
      </c>
      <c r="AQ540" s="335">
        <v>0</v>
      </c>
      <c r="AR540" s="335">
        <v>0</v>
      </c>
      <c r="AS540" s="473"/>
      <c r="AT540" s="473"/>
      <c r="AU540" s="473"/>
      <c r="AV540" s="473"/>
      <c r="AW540" s="473"/>
    </row>
    <row r="541" spans="2:49" s="299" customFormat="1">
      <c r="B541"/>
      <c r="C541" s="310" t="str">
        <v>Ethernet (80Mbps)</v>
      </c>
      <c r="E541" s="335">
        <v>0</v>
      </c>
      <c r="F541" s="335">
        <v>0</v>
      </c>
      <c r="G541" s="335">
        <v>0</v>
      </c>
      <c r="H541" s="335">
        <v>0</v>
      </c>
      <c r="I541" s="335">
        <v>0</v>
      </c>
      <c r="J541" s="335">
        <v>0</v>
      </c>
      <c r="K541" s="473"/>
      <c r="L541" s="473"/>
      <c r="M541" s="473"/>
      <c r="N541" s="473"/>
      <c r="O541" s="473"/>
      <c r="T541" s="310" t="str">
        <v>Ethernet (80Mbps)</v>
      </c>
      <c r="V541" s="335">
        <v>0</v>
      </c>
      <c r="W541" s="335">
        <v>0</v>
      </c>
      <c r="X541" s="335">
        <v>0</v>
      </c>
      <c r="Y541" s="335">
        <v>0</v>
      </c>
      <c r="Z541" s="335">
        <v>0</v>
      </c>
      <c r="AA541" s="335">
        <v>0</v>
      </c>
      <c r="AB541" s="473"/>
      <c r="AC541" s="473"/>
      <c r="AD541" s="473"/>
      <c r="AE541" s="473"/>
      <c r="AF541" s="473"/>
      <c r="AK541" s="310" t="str">
        <v>Ethernet (80Mbps)</v>
      </c>
      <c r="AM541" s="335">
        <v>0</v>
      </c>
      <c r="AN541" s="335">
        <v>0</v>
      </c>
      <c r="AO541" s="335">
        <v>0</v>
      </c>
      <c r="AP541" s="335">
        <v>0</v>
      </c>
      <c r="AQ541" s="335">
        <v>0</v>
      </c>
      <c r="AR541" s="335">
        <v>0</v>
      </c>
      <c r="AS541" s="473"/>
      <c r="AT541" s="473"/>
      <c r="AU541" s="473"/>
      <c r="AV541" s="473"/>
      <c r="AW541" s="473"/>
    </row>
    <row r="542" spans="2:49" s="299" customFormat="1">
      <c r="B542"/>
      <c r="C542" s="310" t="str">
        <v>Ethernet (90Mbps)</v>
      </c>
      <c r="E542" s="335">
        <v>0</v>
      </c>
      <c r="F542" s="335">
        <v>0</v>
      </c>
      <c r="G542" s="335">
        <v>0</v>
      </c>
      <c r="H542" s="335">
        <v>0</v>
      </c>
      <c r="I542" s="335">
        <v>0</v>
      </c>
      <c r="J542" s="335">
        <v>0</v>
      </c>
      <c r="K542" s="473"/>
      <c r="L542" s="473"/>
      <c r="M542" s="473"/>
      <c r="N542" s="473"/>
      <c r="O542" s="473"/>
      <c r="T542" s="310" t="str">
        <v>Ethernet (90Mbps)</v>
      </c>
      <c r="V542" s="335">
        <v>0</v>
      </c>
      <c r="W542" s="335">
        <v>0</v>
      </c>
      <c r="X542" s="335">
        <v>0</v>
      </c>
      <c r="Y542" s="335">
        <v>0</v>
      </c>
      <c r="Z542" s="335">
        <v>0</v>
      </c>
      <c r="AA542" s="335">
        <v>0</v>
      </c>
      <c r="AB542" s="473"/>
      <c r="AC542" s="473"/>
      <c r="AD542" s="473"/>
      <c r="AE542" s="473"/>
      <c r="AF542" s="473"/>
      <c r="AK542" s="310" t="str">
        <v>Ethernet (90Mbps)</v>
      </c>
      <c r="AM542" s="335">
        <v>0</v>
      </c>
      <c r="AN542" s="335">
        <v>0</v>
      </c>
      <c r="AO542" s="335">
        <v>0</v>
      </c>
      <c r="AP542" s="335">
        <v>0</v>
      </c>
      <c r="AQ542" s="335">
        <v>0</v>
      </c>
      <c r="AR542" s="335">
        <v>0</v>
      </c>
      <c r="AS542" s="473"/>
      <c r="AT542" s="473"/>
      <c r="AU542" s="473"/>
      <c r="AV542" s="473"/>
      <c r="AW542" s="473"/>
    </row>
    <row r="543" spans="2:49" s="299" customFormat="1">
      <c r="B543"/>
      <c r="C543" s="310" t="str">
        <v>GigaEthernet (100Mbps)</v>
      </c>
      <c r="E543" s="335">
        <v>0</v>
      </c>
      <c r="F543" s="335">
        <v>0</v>
      </c>
      <c r="G543" s="335">
        <v>0</v>
      </c>
      <c r="H543" s="335">
        <v>0</v>
      </c>
      <c r="I543" s="335">
        <v>0</v>
      </c>
      <c r="J543" s="335">
        <v>0</v>
      </c>
      <c r="K543" s="473"/>
      <c r="L543" s="473"/>
      <c r="M543" s="473"/>
      <c r="N543" s="473"/>
      <c r="O543" s="473"/>
      <c r="T543" s="310" t="str">
        <v>GigaEthernet (100Mbps)</v>
      </c>
      <c r="V543" s="335">
        <v>0</v>
      </c>
      <c r="W543" s="335">
        <v>0</v>
      </c>
      <c r="X543" s="335">
        <v>0</v>
      </c>
      <c r="Y543" s="335">
        <v>0</v>
      </c>
      <c r="Z543" s="335">
        <v>0</v>
      </c>
      <c r="AA543" s="335">
        <v>0</v>
      </c>
      <c r="AB543" s="473"/>
      <c r="AC543" s="473"/>
      <c r="AD543" s="473"/>
      <c r="AE543" s="473"/>
      <c r="AF543" s="473"/>
      <c r="AK543" s="310" t="str">
        <v>GigaEthernet (100Mbps)</v>
      </c>
      <c r="AM543" s="335">
        <v>0</v>
      </c>
      <c r="AN543" s="335">
        <v>0</v>
      </c>
      <c r="AO543" s="335">
        <v>0</v>
      </c>
      <c r="AP543" s="335">
        <v>0</v>
      </c>
      <c r="AQ543" s="335">
        <v>0</v>
      </c>
      <c r="AR543" s="335">
        <v>0</v>
      </c>
      <c r="AS543" s="473"/>
      <c r="AT543" s="473"/>
      <c r="AU543" s="473"/>
      <c r="AV543" s="473"/>
      <c r="AW543" s="473"/>
    </row>
    <row r="544" spans="2:49" s="299" customFormat="1">
      <c r="B544"/>
      <c r="C544" s="310" t="str">
        <v>GigaEthernet (150Mbps)</v>
      </c>
      <c r="E544" s="335">
        <v>0</v>
      </c>
      <c r="F544" s="335">
        <v>0</v>
      </c>
      <c r="G544" s="335">
        <v>0</v>
      </c>
      <c r="H544" s="335">
        <v>0</v>
      </c>
      <c r="I544" s="335">
        <v>0</v>
      </c>
      <c r="J544" s="335">
        <v>0</v>
      </c>
      <c r="K544" s="473"/>
      <c r="L544" s="473"/>
      <c r="M544" s="473"/>
      <c r="N544" s="473"/>
      <c r="O544" s="473"/>
      <c r="T544" s="310" t="str">
        <v>GigaEthernet (150Mbps)</v>
      </c>
      <c r="V544" s="335">
        <v>0</v>
      </c>
      <c r="W544" s="335">
        <v>0</v>
      </c>
      <c r="X544" s="335">
        <v>0</v>
      </c>
      <c r="Y544" s="335">
        <v>0</v>
      </c>
      <c r="Z544" s="335">
        <v>0</v>
      </c>
      <c r="AA544" s="335">
        <v>0</v>
      </c>
      <c r="AB544" s="473"/>
      <c r="AC544" s="473"/>
      <c r="AD544" s="473"/>
      <c r="AE544" s="473"/>
      <c r="AF544" s="473"/>
      <c r="AK544" s="310" t="str">
        <v>GigaEthernet (150Mbps)</v>
      </c>
      <c r="AM544" s="335">
        <v>0</v>
      </c>
      <c r="AN544" s="335">
        <v>0</v>
      </c>
      <c r="AO544" s="335">
        <v>0</v>
      </c>
      <c r="AP544" s="335">
        <v>0</v>
      </c>
      <c r="AQ544" s="335">
        <v>0</v>
      </c>
      <c r="AR544" s="335">
        <v>0</v>
      </c>
      <c r="AS544" s="473"/>
      <c r="AT544" s="473"/>
      <c r="AU544" s="473"/>
      <c r="AV544" s="473"/>
      <c r="AW544" s="473"/>
    </row>
    <row r="545" spans="2:52" s="299" customFormat="1">
      <c r="B545"/>
      <c r="C545" s="310" t="str">
        <v>GigaEthernet (200Mbps)</v>
      </c>
      <c r="E545" s="335">
        <v>0</v>
      </c>
      <c r="F545" s="335">
        <v>0</v>
      </c>
      <c r="G545" s="335">
        <v>0</v>
      </c>
      <c r="H545" s="335">
        <v>0</v>
      </c>
      <c r="I545" s="335">
        <v>0</v>
      </c>
      <c r="J545" s="335">
        <v>0</v>
      </c>
      <c r="K545" s="473"/>
      <c r="L545" s="473"/>
      <c r="M545" s="473"/>
      <c r="N545" s="473"/>
      <c r="O545" s="473"/>
      <c r="T545" s="310" t="str">
        <v>GigaEthernet (200Mbps)</v>
      </c>
      <c r="V545" s="335">
        <v>0</v>
      </c>
      <c r="W545" s="335">
        <v>0</v>
      </c>
      <c r="X545" s="335">
        <v>0</v>
      </c>
      <c r="Y545" s="335">
        <v>0</v>
      </c>
      <c r="Z545" s="335">
        <v>0</v>
      </c>
      <c r="AA545" s="335">
        <v>0</v>
      </c>
      <c r="AB545" s="473"/>
      <c r="AC545" s="473"/>
      <c r="AD545" s="473"/>
      <c r="AE545" s="473"/>
      <c r="AF545" s="473"/>
      <c r="AK545" s="310" t="str">
        <v>GigaEthernet (200Mbps)</v>
      </c>
      <c r="AM545" s="335">
        <v>0</v>
      </c>
      <c r="AN545" s="335">
        <v>0</v>
      </c>
      <c r="AO545" s="335">
        <v>0</v>
      </c>
      <c r="AP545" s="335">
        <v>0</v>
      </c>
      <c r="AQ545" s="335">
        <v>0</v>
      </c>
      <c r="AR545" s="335">
        <v>0</v>
      </c>
      <c r="AS545" s="473"/>
      <c r="AT545" s="473"/>
      <c r="AU545" s="473"/>
      <c r="AV545" s="473"/>
      <c r="AW545" s="473"/>
    </row>
    <row r="546" spans="2:52" s="299" customFormat="1">
      <c r="B546"/>
      <c r="C546" s="310" t="str">
        <v>GigaEthernet (250Mbps)</v>
      </c>
      <c r="E546" s="335">
        <v>0</v>
      </c>
      <c r="F546" s="335">
        <v>0</v>
      </c>
      <c r="G546" s="335">
        <v>0</v>
      </c>
      <c r="H546" s="335">
        <v>0</v>
      </c>
      <c r="I546" s="335">
        <v>0</v>
      </c>
      <c r="J546" s="335">
        <v>0</v>
      </c>
      <c r="K546" s="473"/>
      <c r="L546" s="473"/>
      <c r="M546" s="473"/>
      <c r="N546" s="473"/>
      <c r="O546" s="473"/>
      <c r="T546" s="310" t="str">
        <v>GigaEthernet (250Mbps)</v>
      </c>
      <c r="V546" s="335">
        <v>0</v>
      </c>
      <c r="W546" s="335">
        <v>0</v>
      </c>
      <c r="X546" s="335">
        <v>0</v>
      </c>
      <c r="Y546" s="335">
        <v>0</v>
      </c>
      <c r="Z546" s="335">
        <v>0</v>
      </c>
      <c r="AA546" s="335">
        <v>0</v>
      </c>
      <c r="AB546" s="473"/>
      <c r="AC546" s="473"/>
      <c r="AD546" s="473"/>
      <c r="AE546" s="473"/>
      <c r="AF546" s="473"/>
      <c r="AK546" s="310" t="str">
        <v>GigaEthernet (250Mbps)</v>
      </c>
      <c r="AM546" s="335">
        <v>0</v>
      </c>
      <c r="AN546" s="335">
        <v>0</v>
      </c>
      <c r="AO546" s="335">
        <v>0</v>
      </c>
      <c r="AP546" s="335">
        <v>0</v>
      </c>
      <c r="AQ546" s="335">
        <v>0</v>
      </c>
      <c r="AR546" s="335">
        <v>0</v>
      </c>
      <c r="AS546" s="473"/>
      <c r="AT546" s="473"/>
      <c r="AU546" s="473"/>
      <c r="AV546" s="473"/>
      <c r="AW546" s="473"/>
    </row>
    <row r="547" spans="2:52" s="299" customFormat="1">
      <c r="B547"/>
      <c r="C547" s="310" t="str">
        <v>GigaEthernet (300Mbps)</v>
      </c>
      <c r="E547" s="335">
        <v>0</v>
      </c>
      <c r="F547" s="335">
        <v>0</v>
      </c>
      <c r="G547" s="335">
        <v>0</v>
      </c>
      <c r="H547" s="335">
        <v>0</v>
      </c>
      <c r="I547" s="335">
        <v>0</v>
      </c>
      <c r="J547" s="335">
        <v>0</v>
      </c>
      <c r="K547" s="473"/>
      <c r="L547" s="473"/>
      <c r="M547" s="473"/>
      <c r="N547" s="473"/>
      <c r="O547" s="473"/>
      <c r="T547" s="310" t="str">
        <v>GigaEthernet (300Mbps)</v>
      </c>
      <c r="V547" s="335">
        <v>0</v>
      </c>
      <c r="W547" s="335">
        <v>0</v>
      </c>
      <c r="X547" s="335">
        <v>0</v>
      </c>
      <c r="Y547" s="335">
        <v>0</v>
      </c>
      <c r="Z547" s="335">
        <v>0</v>
      </c>
      <c r="AA547" s="335">
        <v>0</v>
      </c>
      <c r="AB547" s="473"/>
      <c r="AC547" s="473"/>
      <c r="AD547" s="473"/>
      <c r="AE547" s="473"/>
      <c r="AF547" s="473"/>
      <c r="AK547" s="310" t="str">
        <v>GigaEthernet (300Mbps)</v>
      </c>
      <c r="AM547" s="335">
        <v>0</v>
      </c>
      <c r="AN547" s="335">
        <v>0</v>
      </c>
      <c r="AO547" s="335">
        <v>0</v>
      </c>
      <c r="AP547" s="335">
        <v>0</v>
      </c>
      <c r="AQ547" s="335">
        <v>0</v>
      </c>
      <c r="AR547" s="335">
        <v>0</v>
      </c>
      <c r="AS547" s="473"/>
      <c r="AT547" s="473"/>
      <c r="AU547" s="473"/>
      <c r="AV547" s="473"/>
      <c r="AW547" s="473"/>
    </row>
    <row r="548" spans="2:52" s="299" customFormat="1">
      <c r="B548"/>
      <c r="C548" s="310" t="str">
        <v>GigaEthernet (350Mbps)</v>
      </c>
      <c r="E548" s="335">
        <v>0</v>
      </c>
      <c r="F548" s="335">
        <v>0</v>
      </c>
      <c r="G548" s="335">
        <v>0</v>
      </c>
      <c r="H548" s="335">
        <v>0</v>
      </c>
      <c r="I548" s="335">
        <v>0</v>
      </c>
      <c r="J548" s="335">
        <v>0</v>
      </c>
      <c r="K548" s="473"/>
      <c r="L548" s="473"/>
      <c r="M548" s="473"/>
      <c r="N548" s="473"/>
      <c r="O548" s="473"/>
      <c r="T548" s="310" t="str">
        <v>GigaEthernet (350Mbps)</v>
      </c>
      <c r="V548" s="335">
        <v>0</v>
      </c>
      <c r="W548" s="335">
        <v>0</v>
      </c>
      <c r="X548" s="335">
        <v>0</v>
      </c>
      <c r="Y548" s="335">
        <v>0</v>
      </c>
      <c r="Z548" s="335">
        <v>0</v>
      </c>
      <c r="AA548" s="335">
        <v>0</v>
      </c>
      <c r="AB548" s="473"/>
      <c r="AC548" s="473"/>
      <c r="AD548" s="473"/>
      <c r="AE548" s="473"/>
      <c r="AF548" s="473"/>
      <c r="AK548" s="310" t="str">
        <v>GigaEthernet (350Mbps)</v>
      </c>
      <c r="AM548" s="335">
        <v>0</v>
      </c>
      <c r="AN548" s="335">
        <v>0</v>
      </c>
      <c r="AO548" s="335">
        <v>0</v>
      </c>
      <c r="AP548" s="335">
        <v>0</v>
      </c>
      <c r="AQ548" s="335">
        <v>0</v>
      </c>
      <c r="AR548" s="335">
        <v>0</v>
      </c>
      <c r="AS548" s="473"/>
      <c r="AT548" s="473"/>
      <c r="AU548" s="473"/>
      <c r="AV548" s="473"/>
      <c r="AW548" s="473"/>
    </row>
    <row r="549" spans="2:52" s="299" customFormat="1">
      <c r="B549"/>
      <c r="C549" s="310" t="str">
        <v>GigaEthernet (400Mbps)</v>
      </c>
      <c r="E549" s="335">
        <v>0</v>
      </c>
      <c r="F549" s="335">
        <v>0</v>
      </c>
      <c r="G549" s="335">
        <v>0</v>
      </c>
      <c r="H549" s="335">
        <v>0</v>
      </c>
      <c r="I549" s="335">
        <v>0</v>
      </c>
      <c r="J549" s="335">
        <v>0</v>
      </c>
      <c r="K549" s="473"/>
      <c r="L549" s="473"/>
      <c r="M549" s="473"/>
      <c r="N549" s="473"/>
      <c r="O549" s="473"/>
      <c r="T549" s="310" t="str">
        <v>GigaEthernet (400Mbps)</v>
      </c>
      <c r="V549" s="335">
        <v>0</v>
      </c>
      <c r="W549" s="335">
        <v>0</v>
      </c>
      <c r="X549" s="335">
        <v>0</v>
      </c>
      <c r="Y549" s="335">
        <v>0</v>
      </c>
      <c r="Z549" s="335">
        <v>0</v>
      </c>
      <c r="AA549" s="335">
        <v>0</v>
      </c>
      <c r="AB549" s="473"/>
      <c r="AC549" s="473"/>
      <c r="AD549" s="473"/>
      <c r="AE549" s="473"/>
      <c r="AF549" s="473"/>
      <c r="AK549" s="310" t="str">
        <v>GigaEthernet (400Mbps)</v>
      </c>
      <c r="AM549" s="335">
        <v>0</v>
      </c>
      <c r="AN549" s="335">
        <v>0</v>
      </c>
      <c r="AO549" s="335">
        <v>0</v>
      </c>
      <c r="AP549" s="335">
        <v>0</v>
      </c>
      <c r="AQ549" s="335">
        <v>0</v>
      </c>
      <c r="AR549" s="335">
        <v>0</v>
      </c>
      <c r="AS549" s="473"/>
      <c r="AT549" s="473"/>
      <c r="AU549" s="473"/>
      <c r="AV549" s="473"/>
      <c r="AW549" s="473"/>
    </row>
    <row r="550" spans="2:52" s="299" customFormat="1">
      <c r="B550"/>
      <c r="C550" s="310" t="str">
        <v>GigaEthernet (450Mbps)</v>
      </c>
      <c r="E550" s="335">
        <v>0</v>
      </c>
      <c r="F550" s="335">
        <v>0</v>
      </c>
      <c r="G550" s="335">
        <v>0</v>
      </c>
      <c r="H550" s="335">
        <v>0</v>
      </c>
      <c r="I550" s="335">
        <v>0</v>
      </c>
      <c r="J550" s="335">
        <v>0</v>
      </c>
      <c r="K550" s="473"/>
      <c r="L550" s="473"/>
      <c r="M550" s="473"/>
      <c r="N550" s="473"/>
      <c r="O550" s="473"/>
      <c r="T550" s="310" t="str">
        <v>GigaEthernet (450Mbps)</v>
      </c>
      <c r="V550" s="335">
        <v>0</v>
      </c>
      <c r="W550" s="335">
        <v>0</v>
      </c>
      <c r="X550" s="335">
        <v>0</v>
      </c>
      <c r="Y550" s="335">
        <v>0</v>
      </c>
      <c r="Z550" s="335">
        <v>0</v>
      </c>
      <c r="AA550" s="335">
        <v>0</v>
      </c>
      <c r="AB550" s="473"/>
      <c r="AC550" s="473"/>
      <c r="AD550" s="473"/>
      <c r="AE550" s="473"/>
      <c r="AF550" s="473"/>
      <c r="AK550" s="310" t="str">
        <v>GigaEthernet (450Mbps)</v>
      </c>
      <c r="AM550" s="335">
        <v>0</v>
      </c>
      <c r="AN550" s="335">
        <v>0</v>
      </c>
      <c r="AO550" s="335">
        <v>0</v>
      </c>
      <c r="AP550" s="335">
        <v>0</v>
      </c>
      <c r="AQ550" s="335">
        <v>0</v>
      </c>
      <c r="AR550" s="335">
        <v>0</v>
      </c>
      <c r="AS550" s="473"/>
      <c r="AT550" s="473"/>
      <c r="AU550" s="473"/>
      <c r="AV550" s="473"/>
      <c r="AW550" s="473"/>
    </row>
    <row r="551" spans="2:52" s="299" customFormat="1">
      <c r="B551"/>
      <c r="C551" s="310" t="str">
        <v>GigaEthernet (500Mbps)</v>
      </c>
      <c r="E551" s="335">
        <v>0</v>
      </c>
      <c r="F551" s="335">
        <v>0</v>
      </c>
      <c r="G551" s="335">
        <v>0</v>
      </c>
      <c r="H551" s="335">
        <v>0</v>
      </c>
      <c r="I551" s="335">
        <v>0</v>
      </c>
      <c r="J551" s="335">
        <v>0</v>
      </c>
      <c r="K551" s="473"/>
      <c r="L551" s="473"/>
      <c r="M551" s="473"/>
      <c r="N551" s="473"/>
      <c r="O551" s="473"/>
      <c r="T551" s="310" t="str">
        <v>GigaEthernet (500Mbps)</v>
      </c>
      <c r="V551" s="335">
        <v>0</v>
      </c>
      <c r="W551" s="335">
        <v>0</v>
      </c>
      <c r="X551" s="335">
        <v>0</v>
      </c>
      <c r="Y551" s="335">
        <v>0</v>
      </c>
      <c r="Z551" s="335">
        <v>0</v>
      </c>
      <c r="AA551" s="335">
        <v>0</v>
      </c>
      <c r="AB551" s="473"/>
      <c r="AC551" s="473"/>
      <c r="AD551" s="473"/>
      <c r="AE551" s="473"/>
      <c r="AF551" s="473"/>
      <c r="AK551" s="310" t="str">
        <v>GigaEthernet (500Mbps)</v>
      </c>
      <c r="AM551" s="335">
        <v>0</v>
      </c>
      <c r="AN551" s="335">
        <v>0</v>
      </c>
      <c r="AO551" s="335">
        <v>0</v>
      </c>
      <c r="AP551" s="335">
        <v>0</v>
      </c>
      <c r="AQ551" s="335">
        <v>0</v>
      </c>
      <c r="AR551" s="335">
        <v>0</v>
      </c>
      <c r="AS551" s="473"/>
      <c r="AT551" s="473"/>
      <c r="AU551" s="473"/>
      <c r="AV551" s="473"/>
      <c r="AW551" s="473"/>
    </row>
    <row r="552" spans="2:52" s="299" customFormat="1">
      <c r="B552"/>
      <c r="C552" s="310" t="str">
        <v>GigaEthernet (550Mbps)</v>
      </c>
      <c r="E552" s="336">
        <v>0</v>
      </c>
      <c r="F552" s="335">
        <v>0</v>
      </c>
      <c r="G552" s="335">
        <v>0</v>
      </c>
      <c r="H552" s="335">
        <v>0</v>
      </c>
      <c r="I552" s="335">
        <v>0</v>
      </c>
      <c r="J552" s="335">
        <v>0</v>
      </c>
      <c r="K552" s="473"/>
      <c r="L552" s="473"/>
      <c r="M552" s="473"/>
      <c r="N552" s="473"/>
      <c r="O552" s="473"/>
      <c r="T552" s="310" t="str">
        <v>GigaEthernet (550Mbps)</v>
      </c>
      <c r="V552" s="336">
        <v>0</v>
      </c>
      <c r="W552" s="335">
        <v>0</v>
      </c>
      <c r="X552" s="335">
        <v>0</v>
      </c>
      <c r="Y552" s="335">
        <v>0</v>
      </c>
      <c r="Z552" s="335">
        <v>0</v>
      </c>
      <c r="AA552" s="335">
        <v>0</v>
      </c>
      <c r="AB552" s="473"/>
      <c r="AC552" s="473"/>
      <c r="AD552" s="473"/>
      <c r="AE552" s="473"/>
      <c r="AF552" s="473"/>
      <c r="AK552" s="310" t="str">
        <v>GigaEthernet (550Mbps)</v>
      </c>
      <c r="AM552" s="336">
        <v>0</v>
      </c>
      <c r="AN552" s="335">
        <v>0</v>
      </c>
      <c r="AO552" s="335">
        <v>0</v>
      </c>
      <c r="AP552" s="335">
        <v>0</v>
      </c>
      <c r="AQ552" s="335">
        <v>0</v>
      </c>
      <c r="AR552" s="335">
        <v>0</v>
      </c>
      <c r="AS552" s="473"/>
      <c r="AT552" s="473"/>
      <c r="AU552" s="473"/>
      <c r="AV552" s="473"/>
      <c r="AW552" s="473"/>
    </row>
    <row r="553" spans="2:52" s="299" customFormat="1">
      <c r="B553"/>
      <c r="C553" s="310" t="str">
        <v>GigaEthernet (600Mbps)</v>
      </c>
      <c r="E553" s="335">
        <v>0</v>
      </c>
      <c r="F553" s="335">
        <v>0</v>
      </c>
      <c r="G553" s="335">
        <v>0</v>
      </c>
      <c r="H553" s="335">
        <v>0</v>
      </c>
      <c r="I553" s="335">
        <v>0</v>
      </c>
      <c r="J553" s="335">
        <v>0</v>
      </c>
      <c r="K553" s="473"/>
      <c r="L553" s="473"/>
      <c r="M553" s="473"/>
      <c r="N553" s="473"/>
      <c r="O553" s="473"/>
      <c r="T553" s="310" t="str">
        <v>GigaEthernet (600Mbps)</v>
      </c>
      <c r="V553" s="335">
        <v>0</v>
      </c>
      <c r="W553" s="335">
        <v>0</v>
      </c>
      <c r="X553" s="335">
        <v>0</v>
      </c>
      <c r="Y553" s="335">
        <v>0</v>
      </c>
      <c r="Z553" s="335">
        <v>0</v>
      </c>
      <c r="AA553" s="335">
        <v>0</v>
      </c>
      <c r="AB553" s="473"/>
      <c r="AC553" s="473"/>
      <c r="AD553" s="473"/>
      <c r="AE553" s="473"/>
      <c r="AF553" s="473"/>
      <c r="AK553" s="310" t="str">
        <v>GigaEthernet (600Mbps)</v>
      </c>
      <c r="AM553" s="335">
        <v>0</v>
      </c>
      <c r="AN553" s="335">
        <v>0</v>
      </c>
      <c r="AO553" s="335">
        <v>0</v>
      </c>
      <c r="AP553" s="335">
        <v>0</v>
      </c>
      <c r="AQ553" s="335">
        <v>0</v>
      </c>
      <c r="AR553" s="335">
        <v>0</v>
      </c>
      <c r="AS553" s="473"/>
      <c r="AT553" s="473"/>
      <c r="AU553" s="473"/>
      <c r="AV553" s="473"/>
      <c r="AW553" s="473"/>
    </row>
    <row r="554" spans="2:52" s="299" customFormat="1">
      <c r="B554"/>
      <c r="C554" s="310" t="str">
        <v>GigaEthernet (750Mbps)</v>
      </c>
      <c r="E554" s="335">
        <v>0</v>
      </c>
      <c r="F554" s="335">
        <v>0</v>
      </c>
      <c r="G554" s="335">
        <v>0</v>
      </c>
      <c r="H554" s="335">
        <v>0</v>
      </c>
      <c r="I554" s="335">
        <v>0</v>
      </c>
      <c r="J554" s="335">
        <v>0</v>
      </c>
      <c r="K554" s="473"/>
      <c r="L554" s="473"/>
      <c r="M554" s="473"/>
      <c r="N554" s="473"/>
      <c r="O554" s="473"/>
      <c r="T554" s="310" t="str">
        <v>GigaEthernet (750Mbps)</v>
      </c>
      <c r="V554" s="335">
        <v>0</v>
      </c>
      <c r="W554" s="335">
        <v>0</v>
      </c>
      <c r="X554" s="335">
        <v>0</v>
      </c>
      <c r="Y554" s="335">
        <v>0</v>
      </c>
      <c r="Z554" s="335">
        <v>0</v>
      </c>
      <c r="AA554" s="335">
        <v>0</v>
      </c>
      <c r="AB554" s="473"/>
      <c r="AC554" s="473"/>
      <c r="AD554" s="473"/>
      <c r="AE554" s="473"/>
      <c r="AF554" s="473"/>
      <c r="AK554" s="310" t="str">
        <v>GigaEthernet (750Mbps)</v>
      </c>
      <c r="AM554" s="335">
        <v>0</v>
      </c>
      <c r="AN554" s="335">
        <v>0</v>
      </c>
      <c r="AO554" s="335">
        <v>0</v>
      </c>
      <c r="AP554" s="335">
        <v>0</v>
      </c>
      <c r="AQ554" s="335">
        <v>0</v>
      </c>
      <c r="AR554" s="335">
        <v>0</v>
      </c>
      <c r="AS554" s="473"/>
      <c r="AT554" s="473"/>
      <c r="AU554" s="473"/>
      <c r="AV554" s="473"/>
      <c r="AW554" s="473"/>
    </row>
    <row r="555" spans="2:52" s="299" customFormat="1">
      <c r="B555"/>
      <c r="C555" s="310" t="str">
        <v>GigaEthernet (1 Gbps)</v>
      </c>
      <c r="E555" s="335">
        <v>0</v>
      </c>
      <c r="F555" s="335">
        <v>0</v>
      </c>
      <c r="G555" s="335">
        <v>0</v>
      </c>
      <c r="H555" s="335">
        <v>0</v>
      </c>
      <c r="I555" s="335">
        <v>0</v>
      </c>
      <c r="J555" s="335">
        <v>0</v>
      </c>
      <c r="K555" s="473"/>
      <c r="L555" s="473"/>
      <c r="M555" s="473"/>
      <c r="N555" s="473"/>
      <c r="O555" s="473"/>
      <c r="Q555" s="326" t="s">
        <v>500</v>
      </c>
      <c r="T555" s="310" t="str">
        <v>GigaEthernet (1 Gbps)</v>
      </c>
      <c r="V555" s="335">
        <v>0</v>
      </c>
      <c r="W555" s="335">
        <v>0</v>
      </c>
      <c r="X555" s="335">
        <v>0</v>
      </c>
      <c r="Y555" s="335">
        <v>0</v>
      </c>
      <c r="Z555" s="335">
        <v>0</v>
      </c>
      <c r="AA555" s="335">
        <v>0</v>
      </c>
      <c r="AB555" s="473"/>
      <c r="AC555" s="473"/>
      <c r="AD555" s="473"/>
      <c r="AE555" s="473"/>
      <c r="AF555" s="473"/>
      <c r="AH555" s="338" t="s">
        <v>500</v>
      </c>
      <c r="AK555" s="310" t="str">
        <v>GigaEthernet (1 Gbps)</v>
      </c>
      <c r="AM555" s="335">
        <v>0</v>
      </c>
      <c r="AN555" s="335">
        <v>0</v>
      </c>
      <c r="AO555" s="335">
        <v>0</v>
      </c>
      <c r="AP555" s="335">
        <v>0</v>
      </c>
      <c r="AQ555" s="335">
        <v>0</v>
      </c>
      <c r="AR555" s="335">
        <v>0</v>
      </c>
      <c r="AS555" s="473"/>
      <c r="AT555" s="473"/>
      <c r="AU555" s="473"/>
      <c r="AV555" s="473"/>
      <c r="AW555" s="473"/>
      <c r="AY555" s="338" t="s">
        <v>500</v>
      </c>
    </row>
    <row r="556" spans="2:52" s="299" customFormat="1">
      <c r="C556"/>
      <c r="E556" s="337">
        <f>SUM(E518:E555)</f>
        <v>106.31</v>
      </c>
      <c r="F556" s="337">
        <f t="shared" ref="F556" si="53">SUM(F518:F555)</f>
        <v>95.399999999999977</v>
      </c>
      <c r="G556" s="337">
        <f t="shared" ref="G556" si="54">SUM(G518:G555)</f>
        <v>116.66000000000003</v>
      </c>
      <c r="H556" s="337">
        <f t="shared" ref="H556" si="55">SUM(H518:H555)</f>
        <v>90.99</v>
      </c>
      <c r="I556" s="337">
        <f t="shared" ref="I556" si="56">SUM(I518:I555)</f>
        <v>82.25</v>
      </c>
      <c r="J556" s="337">
        <f t="shared" ref="J556:O556" si="57">SUM(J518:J555)</f>
        <v>65.740000000000009</v>
      </c>
      <c r="K556" s="337">
        <f t="shared" si="57"/>
        <v>0</v>
      </c>
      <c r="L556" s="337">
        <f t="shared" si="57"/>
        <v>0</v>
      </c>
      <c r="M556" s="337">
        <f t="shared" si="57"/>
        <v>0</v>
      </c>
      <c r="N556" s="337">
        <f t="shared" si="57"/>
        <v>0</v>
      </c>
      <c r="O556" s="337">
        <f t="shared" si="57"/>
        <v>0</v>
      </c>
      <c r="P556" s="307" t="s">
        <v>534</v>
      </c>
      <c r="Q556" s="334">
        <f>(J556/E556)^(1/(J517-E517))-1</f>
        <v>-9.1654401050007217E-2</v>
      </c>
      <c r="V556" s="337">
        <f>SUM(V518:V555)</f>
        <v>123.48</v>
      </c>
      <c r="W556" s="337">
        <f t="shared" ref="W556:AA556" si="58">SUM(W518:W555)</f>
        <v>111.74000000000001</v>
      </c>
      <c r="X556" s="337">
        <f t="shared" si="58"/>
        <v>134.88</v>
      </c>
      <c r="Y556" s="337">
        <f t="shared" si="58"/>
        <v>105.8</v>
      </c>
      <c r="Z556" s="337">
        <f t="shared" si="58"/>
        <v>92.949999999999989</v>
      </c>
      <c r="AA556" s="337">
        <f t="shared" si="58"/>
        <v>79.399999999999991</v>
      </c>
      <c r="AB556" s="337">
        <f t="shared" ref="AB556:AF556" si="59">SUM(AB518:AB555)</f>
        <v>0</v>
      </c>
      <c r="AC556" s="337">
        <f t="shared" si="59"/>
        <v>0</v>
      </c>
      <c r="AD556" s="337">
        <f t="shared" si="59"/>
        <v>0</v>
      </c>
      <c r="AE556" s="337">
        <f t="shared" si="59"/>
        <v>0</v>
      </c>
      <c r="AF556" s="337">
        <f t="shared" si="59"/>
        <v>0</v>
      </c>
      <c r="AG556" s="307" t="s">
        <v>610</v>
      </c>
      <c r="AH556" s="334">
        <f>(AA556/V556)^(1/(AA517-V517))-1</f>
        <v>-8.4528610217518119E-2</v>
      </c>
      <c r="AM556" s="337">
        <f>SUM(AM518:AM555)</f>
        <v>229.79</v>
      </c>
      <c r="AN556" s="337">
        <f t="shared" ref="AN556:AR556" si="60">SUM(AN518:AN555)</f>
        <v>207.13999999999996</v>
      </c>
      <c r="AO556" s="337">
        <f t="shared" si="60"/>
        <v>251.54000000000002</v>
      </c>
      <c r="AP556" s="337">
        <f t="shared" si="60"/>
        <v>196.79</v>
      </c>
      <c r="AQ556" s="337">
        <f t="shared" si="60"/>
        <v>175.20000000000002</v>
      </c>
      <c r="AR556" s="337">
        <f t="shared" si="60"/>
        <v>145.14000000000001</v>
      </c>
      <c r="AS556" s="337">
        <f t="shared" ref="AS556:AW556" si="61">SUM(AS518:AS555)</f>
        <v>0</v>
      </c>
      <c r="AT556" s="337">
        <f t="shared" si="61"/>
        <v>0</v>
      </c>
      <c r="AU556" s="337">
        <f t="shared" si="61"/>
        <v>0</v>
      </c>
      <c r="AV556" s="337">
        <f t="shared" si="61"/>
        <v>0</v>
      </c>
      <c r="AW556" s="337">
        <f t="shared" si="61"/>
        <v>0</v>
      </c>
      <c r="AX556" s="307" t="s">
        <v>603</v>
      </c>
      <c r="AY556" s="334">
        <f>(AR556/AM556)^(1/(AR517-AM517))-1</f>
        <v>-8.7797624809483943E-2</v>
      </c>
    </row>
    <row r="557" spans="2:52" s="299" customFormat="1"/>
    <row r="558" spans="2:52" s="299" customFormat="1" ht="15">
      <c r="C558" s="332" t="s">
        <v>502</v>
      </c>
      <c r="T558" s="332" t="s">
        <v>502</v>
      </c>
      <c r="AK558" s="332" t="s">
        <v>502</v>
      </c>
    </row>
    <row r="559" spans="2:52" s="299" customFormat="1" ht="15">
      <c r="C559" s="332" t="s">
        <v>501</v>
      </c>
      <c r="T559" s="332" t="s">
        <v>501</v>
      </c>
      <c r="AK559" s="332" t="s">
        <v>501</v>
      </c>
    </row>
    <row r="560" spans="2:52" s="299" customFormat="1">
      <c r="AH560"/>
      <c r="AI560"/>
      <c r="AY560"/>
      <c r="AZ560"/>
    </row>
    <row r="561" spans="3:52" s="299" customFormat="1">
      <c r="C561" s="326" t="s">
        <v>442</v>
      </c>
      <c r="D561" s="326">
        <f t="array" ref="D561:O561">TRANSPOSE(Years)</f>
        <v>2008</v>
      </c>
      <c r="E561" s="326">
        <v>2009</v>
      </c>
      <c r="F561" s="326">
        <v>2010</v>
      </c>
      <c r="G561" s="326">
        <v>2011</v>
      </c>
      <c r="H561" s="326">
        <v>2012</v>
      </c>
      <c r="I561" s="326">
        <v>2013</v>
      </c>
      <c r="J561" s="326">
        <v>2014</v>
      </c>
      <c r="K561" s="326">
        <v>2015</v>
      </c>
      <c r="L561" s="326">
        <v>2016</v>
      </c>
      <c r="M561" s="326">
        <v>2017</v>
      </c>
      <c r="N561" s="326">
        <v>2018</v>
      </c>
      <c r="O561" s="326">
        <v>2019</v>
      </c>
      <c r="T561" s="338" t="s">
        <v>442</v>
      </c>
      <c r="U561" s="338">
        <f t="array" ref="U561:AF561">TRANSPOSE(Years)</f>
        <v>2008</v>
      </c>
      <c r="V561" s="338">
        <v>2009</v>
      </c>
      <c r="W561" s="338">
        <v>2010</v>
      </c>
      <c r="X561" s="338">
        <v>2011</v>
      </c>
      <c r="Y561" s="338">
        <v>2012</v>
      </c>
      <c r="Z561" s="338">
        <v>2013</v>
      </c>
      <c r="AA561" s="338">
        <v>2014</v>
      </c>
      <c r="AB561" s="338">
        <v>2015</v>
      </c>
      <c r="AC561" s="338">
        <v>2016</v>
      </c>
      <c r="AD561" s="338">
        <v>2017</v>
      </c>
      <c r="AE561" s="338">
        <v>2018</v>
      </c>
      <c r="AF561" s="338">
        <v>2019</v>
      </c>
      <c r="AH561"/>
      <c r="AI561"/>
      <c r="AK561" s="338" t="s">
        <v>442</v>
      </c>
      <c r="AL561" s="338">
        <f t="array" ref="AL561:AW561">TRANSPOSE(Years)</f>
        <v>2008</v>
      </c>
      <c r="AM561" s="338">
        <v>2009</v>
      </c>
      <c r="AN561" s="338">
        <v>2010</v>
      </c>
      <c r="AO561" s="338">
        <v>2011</v>
      </c>
      <c r="AP561" s="338">
        <v>2012</v>
      </c>
      <c r="AQ561" s="338">
        <v>2013</v>
      </c>
      <c r="AR561" s="338">
        <v>2014</v>
      </c>
      <c r="AS561" s="338">
        <v>2015</v>
      </c>
      <c r="AT561" s="338">
        <v>2016</v>
      </c>
      <c r="AU561" s="338">
        <v>2017</v>
      </c>
      <c r="AV561" s="338">
        <v>2018</v>
      </c>
      <c r="AW561" s="338">
        <v>2019</v>
      </c>
      <c r="AY561"/>
      <c r="AZ561"/>
    </row>
    <row r="562" spans="3:52" s="299" customFormat="1">
      <c r="C562" s="310" t="str">
        <f t="array" ref="C562:C599">LL.list</f>
        <v>64 kbps</v>
      </c>
      <c r="E562" s="333">
        <f t="array" ref="E562:E599">E518:E555/E556</f>
        <v>0.18803499200451512</v>
      </c>
      <c r="F562" s="333">
        <f t="array" ref="F562:F599">F518:F555/F556</f>
        <v>0.19308176100628929</v>
      </c>
      <c r="G562" s="333">
        <f t="array" ref="G562:G599">G518:G555/G556</f>
        <v>0.16338076461512085</v>
      </c>
      <c r="H562" s="333">
        <f t="array" ref="H562:H599">H518:H555/H556</f>
        <v>8.0558303110231877E-2</v>
      </c>
      <c r="I562" s="333">
        <f t="array" ref="I562:I599">I518:I555/I556</f>
        <v>0.11185410334346503</v>
      </c>
      <c r="J562" s="333">
        <f t="array" ref="J562:J599">J518:J555/J556</f>
        <v>8.9747490112564637E-2</v>
      </c>
      <c r="K562" s="473"/>
      <c r="L562" s="473"/>
      <c r="M562" s="473"/>
      <c r="N562" s="473"/>
      <c r="O562" s="473"/>
      <c r="T562" s="310" t="str">
        <f t="array" ref="T562:T599">LL.list</f>
        <v>64 kbps</v>
      </c>
      <c r="V562" s="333">
        <f t="array" ref="V562:V599">V518:V555/V556</f>
        <v>0.16196954972465177</v>
      </c>
      <c r="W562" s="333">
        <f t="array" ref="W562:W599">W518:W555/W556</f>
        <v>0.17898693395382137</v>
      </c>
      <c r="X562" s="333">
        <f t="array" ref="X562:X599">X518:X555/X556</f>
        <v>0.14827995255041518</v>
      </c>
      <c r="Y562" s="333">
        <f t="array" ref="Y562:Y599">Y518:Y555/Y556</f>
        <v>8.5066162570888476E-2</v>
      </c>
      <c r="Z562" s="333">
        <f t="array" ref="Z562:Z599">Z518:Z555/Z556</f>
        <v>0.10758472296933837</v>
      </c>
      <c r="AA562" s="333">
        <f t="array" ref="AA562:AA599">AA518:AA555/AA556</f>
        <v>8.8161209068010088E-2</v>
      </c>
      <c r="AB562" s="474"/>
      <c r="AC562" s="474"/>
      <c r="AD562" s="474"/>
      <c r="AE562" s="474"/>
      <c r="AF562" s="474"/>
      <c r="AH562"/>
      <c r="AI562"/>
      <c r="AK562" s="310" t="str">
        <f t="array" ref="AK562:AK599">LL.list</f>
        <v>64 kbps</v>
      </c>
      <c r="AM562" s="333">
        <f t="array" ref="AM562:AM599">AM518:AM555/AM556</f>
        <v>0.17402846076852779</v>
      </c>
      <c r="AN562" s="333">
        <f t="array" ref="AN562:AN599">AN518:AN555/AN556</f>
        <v>0.18547842039200541</v>
      </c>
      <c r="AO562" s="333">
        <f t="array" ref="AO562:AO599">AO518:AO555/AO556</f>
        <v>0.1552834539238292</v>
      </c>
      <c r="AP562" s="333">
        <f t="array" ref="AP562:AP599">AP518:AP555/AP556</f>
        <v>8.2981858834290351E-2</v>
      </c>
      <c r="AQ562" s="333">
        <f t="array" ref="AQ562:AQ599">AQ518:AQ555/AQ556</f>
        <v>0.10958904109589039</v>
      </c>
      <c r="AR562" s="333">
        <f t="array" ref="AR562:AR599">AR518:AR555/AR556</f>
        <v>8.8879702356345597E-2</v>
      </c>
      <c r="AS562" s="474"/>
      <c r="AT562" s="474"/>
      <c r="AU562" s="474"/>
      <c r="AV562" s="474"/>
      <c r="AW562" s="474"/>
      <c r="AY562"/>
      <c r="AZ562"/>
    </row>
    <row r="563" spans="3:52" s="299" customFormat="1">
      <c r="C563" s="310" t="str">
        <v>128 kbps</v>
      </c>
      <c r="E563" s="333">
        <v>3.0476907158310602E-2</v>
      </c>
      <c r="F563" s="333">
        <v>4.0251572327044044E-2</v>
      </c>
      <c r="G563" s="333">
        <v>2.6915823761357791E-2</v>
      </c>
      <c r="H563" s="333">
        <v>6.7040334102648636E-3</v>
      </c>
      <c r="I563" s="333">
        <v>0</v>
      </c>
      <c r="J563" s="333">
        <v>0</v>
      </c>
      <c r="K563" s="473"/>
      <c r="L563" s="473"/>
      <c r="M563" s="473"/>
      <c r="N563" s="473"/>
      <c r="O563" s="473"/>
      <c r="T563" s="310" t="str">
        <v>128 kbps</v>
      </c>
      <c r="V563" s="333">
        <v>4.0492387431162943E-2</v>
      </c>
      <c r="W563" s="333">
        <v>3.5797386790764274E-2</v>
      </c>
      <c r="X563" s="333">
        <v>2.9655990510083038E-2</v>
      </c>
      <c r="Y563" s="333">
        <v>1.890359168241966E-2</v>
      </c>
      <c r="Z563" s="333">
        <v>0</v>
      </c>
      <c r="AA563" s="333">
        <v>0</v>
      </c>
      <c r="AB563" s="474"/>
      <c r="AC563" s="474"/>
      <c r="AD563" s="474"/>
      <c r="AE563" s="474"/>
      <c r="AF563" s="474"/>
      <c r="AH563"/>
      <c r="AI563"/>
      <c r="AK563" s="310" t="str">
        <v>128 kbps</v>
      </c>
      <c r="AM563" s="333">
        <v>3.5858827625223029E-2</v>
      </c>
      <c r="AN563" s="333">
        <v>3.7848797914454002E-2</v>
      </c>
      <c r="AO563" s="333">
        <v>2.8385147491452652E-2</v>
      </c>
      <c r="AP563" s="333">
        <v>1.3262869048223994E-2</v>
      </c>
      <c r="AQ563" s="333">
        <v>0</v>
      </c>
      <c r="AR563" s="333">
        <v>0</v>
      </c>
      <c r="AS563" s="474"/>
      <c r="AT563" s="474"/>
      <c r="AU563" s="474"/>
      <c r="AV563" s="474"/>
      <c r="AW563" s="474"/>
      <c r="AY563"/>
      <c r="AZ563"/>
    </row>
    <row r="564" spans="3:52" s="299" customFormat="1">
      <c r="C564" s="310" t="str">
        <v>192 kbps</v>
      </c>
      <c r="E564" s="333">
        <v>-1.3169033957294706E-3</v>
      </c>
      <c r="F564" s="333">
        <v>0</v>
      </c>
      <c r="G564" s="333">
        <v>0</v>
      </c>
      <c r="H564" s="333">
        <v>0</v>
      </c>
      <c r="I564" s="333">
        <v>0</v>
      </c>
      <c r="J564" s="333">
        <v>0</v>
      </c>
      <c r="K564" s="473"/>
      <c r="L564" s="473"/>
      <c r="M564" s="473"/>
      <c r="N564" s="473"/>
      <c r="O564" s="473"/>
      <c r="T564" s="310" t="str">
        <v>192 kbps</v>
      </c>
      <c r="V564" s="333">
        <v>8.0984774862325887E-3</v>
      </c>
      <c r="W564" s="333">
        <v>0</v>
      </c>
      <c r="X564" s="333">
        <v>0</v>
      </c>
      <c r="Y564" s="333">
        <v>0</v>
      </c>
      <c r="Z564" s="333">
        <v>0</v>
      </c>
      <c r="AA564" s="333">
        <v>0</v>
      </c>
      <c r="AB564" s="474"/>
      <c r="AC564" s="474"/>
      <c r="AD564" s="474"/>
      <c r="AE564" s="474"/>
      <c r="AF564" s="474"/>
      <c r="AH564"/>
      <c r="AI564"/>
      <c r="AK564" s="310" t="str">
        <v>192 kbps</v>
      </c>
      <c r="AM564" s="333">
        <v>3.7425475434091997E-3</v>
      </c>
      <c r="AN564" s="333">
        <v>0</v>
      </c>
      <c r="AO564" s="333">
        <v>0</v>
      </c>
      <c r="AP564" s="333">
        <v>0</v>
      </c>
      <c r="AQ564" s="333">
        <v>0</v>
      </c>
      <c r="AR564" s="333">
        <v>0</v>
      </c>
      <c r="AS564" s="474"/>
      <c r="AT564" s="474"/>
      <c r="AU564" s="474"/>
      <c r="AV564" s="474"/>
      <c r="AW564" s="474"/>
      <c r="AY564"/>
      <c r="AZ564"/>
    </row>
    <row r="565" spans="3:52" s="299" customFormat="1">
      <c r="C565" s="310" t="str">
        <v>256 kbps</v>
      </c>
      <c r="E565" s="333">
        <v>7.2053428652055315E-2</v>
      </c>
      <c r="F565" s="333">
        <v>3.5639412997903561E-2</v>
      </c>
      <c r="G565" s="333">
        <v>1.7658151894393966E-2</v>
      </c>
      <c r="H565" s="333">
        <v>3.7806352346411692E-2</v>
      </c>
      <c r="I565" s="333">
        <v>2.0911854103343466E-2</v>
      </c>
      <c r="J565" s="333">
        <v>1.9470641922725886E-2</v>
      </c>
      <c r="K565" s="473"/>
      <c r="L565" s="473"/>
      <c r="M565" s="473"/>
      <c r="N565" s="473"/>
      <c r="O565" s="473"/>
      <c r="T565" s="310" t="str">
        <v>256 kbps</v>
      </c>
      <c r="V565" s="333">
        <v>7.2886297376093298E-2</v>
      </c>
      <c r="W565" s="333">
        <v>4.4746733488455342E-2</v>
      </c>
      <c r="X565" s="333">
        <v>2.9655990510083038E-2</v>
      </c>
      <c r="Y565" s="333">
        <v>3.780718336483932E-2</v>
      </c>
      <c r="Z565" s="333">
        <v>2.1516944593867673E-2</v>
      </c>
      <c r="AA565" s="333">
        <v>2.5188916876574308E-2</v>
      </c>
      <c r="AB565" s="474"/>
      <c r="AC565" s="474"/>
      <c r="AD565" s="474"/>
      <c r="AE565" s="474"/>
      <c r="AF565" s="474"/>
      <c r="AH565"/>
      <c r="AI565"/>
      <c r="AK565" s="310" t="str">
        <v>256 kbps</v>
      </c>
      <c r="AM565" s="333">
        <v>7.2500979154880546E-2</v>
      </c>
      <c r="AN565" s="333">
        <v>4.0552283479772133E-2</v>
      </c>
      <c r="AO565" s="333">
        <v>2.4091595770056453E-2</v>
      </c>
      <c r="AP565" s="333">
        <v>3.7806799125971846E-2</v>
      </c>
      <c r="AQ565" s="333">
        <v>2.1232876712328767E-2</v>
      </c>
      <c r="AR565" s="333">
        <v>2.2598870056497172E-2</v>
      </c>
      <c r="AS565" s="474"/>
      <c r="AT565" s="474"/>
      <c r="AU565" s="474"/>
      <c r="AV565" s="474"/>
      <c r="AW565" s="474"/>
      <c r="AY565"/>
      <c r="AZ565"/>
    </row>
    <row r="566" spans="3:52" s="299" customFormat="1">
      <c r="C566" s="310" t="str">
        <v>384 kbps</v>
      </c>
      <c r="E566" s="333">
        <v>5.9448781864358952E-2</v>
      </c>
      <c r="F566" s="333">
        <v>2.59958071278826E-2</v>
      </c>
      <c r="G566" s="333">
        <v>4.8859934853420196E-2</v>
      </c>
      <c r="H566" s="333">
        <v>5.3742169469172443E-2</v>
      </c>
      <c r="I566" s="333">
        <v>0</v>
      </c>
      <c r="J566" s="333">
        <v>0</v>
      </c>
      <c r="K566" s="473"/>
      <c r="L566" s="473"/>
      <c r="M566" s="473"/>
      <c r="N566" s="473"/>
      <c r="O566" s="473"/>
      <c r="T566" s="310" t="str">
        <v>384 kbps</v>
      </c>
      <c r="V566" s="333">
        <v>5.6689342403628114E-2</v>
      </c>
      <c r="W566" s="333">
        <v>3.5797386790764274E-2</v>
      </c>
      <c r="X566" s="333">
        <v>4.4483985765124558E-2</v>
      </c>
      <c r="Y566" s="333">
        <v>5.6710775047258979E-2</v>
      </c>
      <c r="Z566" s="333">
        <v>0</v>
      </c>
      <c r="AA566" s="333">
        <v>0</v>
      </c>
      <c r="AB566" s="474"/>
      <c r="AC566" s="474"/>
      <c r="AD566" s="474"/>
      <c r="AE566" s="474"/>
      <c r="AF566" s="474"/>
      <c r="AH566"/>
      <c r="AI566"/>
      <c r="AK566" s="310" t="str">
        <v>384 kbps</v>
      </c>
      <c r="AM566" s="333">
        <v>5.7965968928151791E-2</v>
      </c>
      <c r="AN566" s="333">
        <v>3.1283190112967083E-2</v>
      </c>
      <c r="AO566" s="333">
        <v>4.651347698179216E-2</v>
      </c>
      <c r="AP566" s="333">
        <v>5.5338177752934606E-2</v>
      </c>
      <c r="AQ566" s="333">
        <v>0</v>
      </c>
      <c r="AR566" s="333">
        <v>0</v>
      </c>
      <c r="AS566" s="474"/>
      <c r="AT566" s="474"/>
      <c r="AU566" s="474"/>
      <c r="AV566" s="474"/>
      <c r="AW566" s="474"/>
      <c r="AY566"/>
      <c r="AZ566"/>
    </row>
    <row r="567" spans="3:52" s="299" customFormat="1">
      <c r="C567" s="310" t="str">
        <v>512 kbps</v>
      </c>
      <c r="E567" s="333">
        <v>5.1923619603047685E-2</v>
      </c>
      <c r="F567" s="333">
        <v>4.5702306079664579E-2</v>
      </c>
      <c r="G567" s="333">
        <v>3.2573289902280131E-2</v>
      </c>
      <c r="H567" s="333">
        <v>5.1873832289262567E-2</v>
      </c>
      <c r="I567" s="333">
        <v>4.1337386018237089E-2</v>
      </c>
      <c r="J567" s="333">
        <v>2.28171585031944E-2</v>
      </c>
      <c r="K567" s="473"/>
      <c r="L567" s="473"/>
      <c r="M567" s="473"/>
      <c r="N567" s="473"/>
      <c r="O567" s="473"/>
      <c r="T567" s="310" t="str">
        <v>512 kbps</v>
      </c>
      <c r="V567" s="333">
        <v>4.8590864917395525E-2</v>
      </c>
      <c r="W567" s="333">
        <v>4.4746733488455342E-2</v>
      </c>
      <c r="X567" s="333">
        <v>3.7069988137603795E-2</v>
      </c>
      <c r="Y567" s="333">
        <v>4.725897920604915E-2</v>
      </c>
      <c r="Z567" s="333">
        <v>5.3792361484669184E-2</v>
      </c>
      <c r="AA567" s="333">
        <v>3.7783375314861464E-2</v>
      </c>
      <c r="AB567" s="474"/>
      <c r="AC567" s="474"/>
      <c r="AD567" s="474"/>
      <c r="AE567" s="474"/>
      <c r="AF567" s="474"/>
      <c r="AH567"/>
      <c r="AI567"/>
      <c r="AK567" s="310" t="str">
        <v>512 kbps</v>
      </c>
      <c r="AM567" s="333">
        <v>5.0132729883806952E-2</v>
      </c>
      <c r="AN567" s="333">
        <v>4.5186830163174672E-2</v>
      </c>
      <c r="AO567" s="333">
        <v>3.4984495507672735E-2</v>
      </c>
      <c r="AP567" s="333">
        <v>4.9392753696834192E-2</v>
      </c>
      <c r="AQ567" s="333">
        <v>4.7945205479452052E-2</v>
      </c>
      <c r="AR567" s="333">
        <v>3.1004547333608926E-2</v>
      </c>
      <c r="AS567" s="474"/>
      <c r="AT567" s="474"/>
      <c r="AU567" s="474"/>
      <c r="AV567" s="474"/>
      <c r="AW567" s="474"/>
      <c r="AY567"/>
      <c r="AZ567"/>
    </row>
    <row r="568" spans="3:52" s="299" customFormat="1">
      <c r="C568" s="310" t="str">
        <v>768 kbps</v>
      </c>
      <c r="E568" s="333">
        <v>2.1164518859937916E-2</v>
      </c>
      <c r="F568" s="333">
        <v>2.7253668763102739E-2</v>
      </c>
      <c r="G568" s="333">
        <v>2.3144179667409556E-2</v>
      </c>
      <c r="H568" s="333">
        <v>1.5386306187493146E-3</v>
      </c>
      <c r="I568" s="333">
        <v>0</v>
      </c>
      <c r="J568" s="333">
        <v>0</v>
      </c>
      <c r="K568" s="473"/>
      <c r="L568" s="473"/>
      <c r="M568" s="473"/>
      <c r="N568" s="473"/>
      <c r="O568" s="473"/>
      <c r="T568" s="310" t="str">
        <v>768 kbps</v>
      </c>
      <c r="V568" s="333">
        <v>3.2393909944930355E-2</v>
      </c>
      <c r="W568" s="333">
        <v>2.6848040093073202E-2</v>
      </c>
      <c r="X568" s="333">
        <v>2.2241992882562279E-2</v>
      </c>
      <c r="Y568" s="333">
        <v>1.890359168241966E-2</v>
      </c>
      <c r="Z568" s="333">
        <v>0</v>
      </c>
      <c r="AA568" s="333">
        <v>0</v>
      </c>
      <c r="AB568" s="474"/>
      <c r="AC568" s="474"/>
      <c r="AD568" s="474"/>
      <c r="AE568" s="474"/>
      <c r="AF568" s="474"/>
      <c r="AH568"/>
      <c r="AI568"/>
      <c r="AK568" s="310" t="str">
        <v>768 kbps</v>
      </c>
      <c r="AM568" s="333">
        <v>2.7198746681752907E-2</v>
      </c>
      <c r="AN568" s="333">
        <v>2.7034855653181433E-2</v>
      </c>
      <c r="AO568" s="333">
        <v>2.266041186292438E-2</v>
      </c>
      <c r="AP568" s="333">
        <v>1.0874536307739215E-2</v>
      </c>
      <c r="AQ568" s="333">
        <v>0</v>
      </c>
      <c r="AR568" s="333">
        <v>0</v>
      </c>
      <c r="AS568" s="474"/>
      <c r="AT568" s="474"/>
      <c r="AU568" s="474"/>
      <c r="AV568" s="474"/>
      <c r="AW568" s="474"/>
      <c r="AY568"/>
      <c r="AZ568"/>
    </row>
    <row r="569" spans="3:52" s="299" customFormat="1">
      <c r="C569" s="310" t="str">
        <v>1024 kbps</v>
      </c>
      <c r="E569" s="333">
        <v>3.0194713573511427E-2</v>
      </c>
      <c r="F569" s="333">
        <v>3.4800838574423489E-2</v>
      </c>
      <c r="G569" s="333">
        <v>2.8115892336704952E-2</v>
      </c>
      <c r="H569" s="333">
        <v>1.4946697439279046E-2</v>
      </c>
      <c r="I569" s="333">
        <v>5.5927051671732515E-2</v>
      </c>
      <c r="J569" s="333">
        <v>4.989351992698509E-2</v>
      </c>
      <c r="K569" s="473"/>
      <c r="L569" s="473"/>
      <c r="M569" s="473"/>
      <c r="N569" s="473"/>
      <c r="O569" s="473"/>
      <c r="T569" s="310" t="str">
        <v>1024 kbps</v>
      </c>
      <c r="V569" s="333">
        <v>3.2393909944930355E-2</v>
      </c>
      <c r="W569" s="333">
        <v>3.5797386790764274E-2</v>
      </c>
      <c r="X569" s="333">
        <v>2.9655990510083038E-2</v>
      </c>
      <c r="Y569" s="333">
        <v>2.835538752362949E-2</v>
      </c>
      <c r="Z569" s="333">
        <v>5.3792361484669184E-2</v>
      </c>
      <c r="AA569" s="333">
        <v>5.0377833753148617E-2</v>
      </c>
      <c r="AB569" s="474"/>
      <c r="AC569" s="474"/>
      <c r="AD569" s="474"/>
      <c r="AE569" s="474"/>
      <c r="AF569" s="474"/>
      <c r="AH569"/>
      <c r="AI569"/>
      <c r="AK569" s="310" t="str">
        <v>1024 kbps</v>
      </c>
      <c r="AM569" s="333">
        <v>3.1376474172070151E-2</v>
      </c>
      <c r="AN569" s="333">
        <v>3.53384184609443E-2</v>
      </c>
      <c r="AO569" s="333">
        <v>2.8941719010892899E-2</v>
      </c>
      <c r="AP569" s="333">
        <v>2.2155597337263074E-2</v>
      </c>
      <c r="AQ569" s="333">
        <v>5.4794520547945195E-2</v>
      </c>
      <c r="AR569" s="333">
        <v>5.0158467686371777E-2</v>
      </c>
      <c r="AS569" s="474"/>
      <c r="AT569" s="474"/>
      <c r="AU569" s="474"/>
      <c r="AV569" s="474"/>
      <c r="AW569" s="474"/>
      <c r="AY569"/>
      <c r="AZ569"/>
    </row>
    <row r="570" spans="3:52" s="299" customFormat="1">
      <c r="C570" s="331" t="str">
        <v>E1 (2.04 Mbps)</v>
      </c>
      <c r="E570" s="333">
        <v>0.54801994167999246</v>
      </c>
      <c r="F570" s="333">
        <v>0.59727463312368978</v>
      </c>
      <c r="G570" s="333">
        <v>0.65935196296931253</v>
      </c>
      <c r="H570" s="333">
        <v>0.75282998131662826</v>
      </c>
      <c r="I570" s="333">
        <v>0.76996960486322186</v>
      </c>
      <c r="J570" s="333">
        <v>0.81807118953453006</v>
      </c>
      <c r="K570" s="473"/>
      <c r="L570" s="473"/>
      <c r="M570" s="473"/>
      <c r="N570" s="473"/>
      <c r="O570" s="473"/>
      <c r="T570" s="331" t="str">
        <v>E1 (2.04 Mbps)</v>
      </c>
      <c r="V570" s="333">
        <v>0.48590864917395526</v>
      </c>
      <c r="W570" s="333">
        <v>0.51011276176839082</v>
      </c>
      <c r="X570" s="333">
        <v>0.57087781731909848</v>
      </c>
      <c r="Y570" s="333">
        <v>0.65217391304347827</v>
      </c>
      <c r="Z570" s="333">
        <v>0.68854222700376555</v>
      </c>
      <c r="AA570" s="333">
        <v>0.69269521410579349</v>
      </c>
      <c r="AB570" s="474"/>
      <c r="AC570" s="474"/>
      <c r="AD570" s="474"/>
      <c r="AE570" s="474"/>
      <c r="AF570" s="474"/>
      <c r="AH570"/>
      <c r="AI570"/>
      <c r="AK570" s="331" t="str">
        <v>E1 (2.04 Mbps)</v>
      </c>
      <c r="AM570" s="333">
        <v>0.51464380521345576</v>
      </c>
      <c r="AN570" s="333">
        <v>0.55025586559814621</v>
      </c>
      <c r="AO570" s="333">
        <v>0.61191063051602135</v>
      </c>
      <c r="AP570" s="333">
        <v>0.69871436556735611</v>
      </c>
      <c r="AQ570" s="333">
        <v>0.72676940639269394</v>
      </c>
      <c r="AR570" s="333">
        <v>0.7494832575444399</v>
      </c>
      <c r="AS570" s="474"/>
      <c r="AT570" s="474"/>
      <c r="AU570" s="474"/>
      <c r="AV570" s="474"/>
      <c r="AW570" s="474"/>
      <c r="AY570"/>
      <c r="AZ570"/>
    </row>
    <row r="571" spans="3:52" s="299" customFormat="1">
      <c r="C571" s="331" t="str">
        <v>E2 *</v>
      </c>
      <c r="E571" s="333">
        <v>0</v>
      </c>
      <c r="F571" s="333">
        <v>0</v>
      </c>
      <c r="G571" s="333">
        <v>0</v>
      </c>
      <c r="H571" s="333">
        <v>0</v>
      </c>
      <c r="I571" s="333">
        <v>0</v>
      </c>
      <c r="J571" s="333">
        <v>0</v>
      </c>
      <c r="K571" s="473"/>
      <c r="L571" s="473"/>
      <c r="M571" s="473"/>
      <c r="N571" s="473"/>
      <c r="O571" s="473"/>
      <c r="T571" s="331" t="str">
        <v>E2 *</v>
      </c>
      <c r="V571" s="333">
        <v>0</v>
      </c>
      <c r="W571" s="333">
        <v>0</v>
      </c>
      <c r="X571" s="333">
        <v>0</v>
      </c>
      <c r="Y571" s="333">
        <v>0</v>
      </c>
      <c r="Z571" s="333">
        <v>0</v>
      </c>
      <c r="AA571" s="333">
        <v>0</v>
      </c>
      <c r="AB571" s="474"/>
      <c r="AC571" s="474"/>
      <c r="AD571" s="474"/>
      <c r="AE571" s="474"/>
      <c r="AF571" s="474"/>
      <c r="AH571"/>
      <c r="AI571"/>
      <c r="AK571" s="331" t="str">
        <v>E2 *</v>
      </c>
      <c r="AM571" s="333">
        <v>0</v>
      </c>
      <c r="AN571" s="333">
        <v>0</v>
      </c>
      <c r="AO571" s="333">
        <v>0</v>
      </c>
      <c r="AP571" s="333">
        <v>0</v>
      </c>
      <c r="AQ571" s="333">
        <v>0</v>
      </c>
      <c r="AR571" s="333">
        <v>0</v>
      </c>
      <c r="AS571" s="474"/>
      <c r="AT571" s="474"/>
      <c r="AU571" s="474"/>
      <c r="AV571" s="474"/>
      <c r="AW571" s="474"/>
      <c r="AY571"/>
      <c r="AZ571"/>
    </row>
    <row r="572" spans="3:52" s="299" customFormat="1">
      <c r="C572" s="331" t="str">
        <v>E3 (34 Mbps)</v>
      </c>
      <c r="E572" s="333">
        <v>0</v>
      </c>
      <c r="F572" s="333">
        <v>0</v>
      </c>
      <c r="G572" s="333">
        <v>0</v>
      </c>
      <c r="H572" s="333">
        <v>0</v>
      </c>
      <c r="I572" s="333">
        <v>0</v>
      </c>
      <c r="J572" s="333">
        <v>0</v>
      </c>
      <c r="K572" s="473"/>
      <c r="L572" s="473"/>
      <c r="M572" s="473"/>
      <c r="N572" s="473"/>
      <c r="O572" s="473"/>
      <c r="T572" s="331" t="str">
        <v>E3 (34 Mbps)</v>
      </c>
      <c r="V572" s="333">
        <v>0</v>
      </c>
      <c r="W572" s="333">
        <v>0</v>
      </c>
      <c r="X572" s="333">
        <v>0</v>
      </c>
      <c r="Y572" s="333">
        <v>0</v>
      </c>
      <c r="Z572" s="333">
        <v>0</v>
      </c>
      <c r="AA572" s="333">
        <v>0</v>
      </c>
      <c r="AB572" s="474"/>
      <c r="AC572" s="474"/>
      <c r="AD572" s="474"/>
      <c r="AE572" s="474"/>
      <c r="AF572" s="474"/>
      <c r="AH572"/>
      <c r="AI572"/>
      <c r="AK572" s="331" t="str">
        <v>E3 (34 Mbps)</v>
      </c>
      <c r="AM572" s="333">
        <v>0</v>
      </c>
      <c r="AN572" s="333">
        <v>0</v>
      </c>
      <c r="AO572" s="333">
        <v>0</v>
      </c>
      <c r="AP572" s="333">
        <v>0</v>
      </c>
      <c r="AQ572" s="333">
        <v>0</v>
      </c>
      <c r="AR572" s="333">
        <v>0</v>
      </c>
      <c r="AS572" s="474"/>
      <c r="AT572" s="474"/>
      <c r="AU572" s="474"/>
      <c r="AV572" s="474"/>
      <c r="AW572" s="474"/>
      <c r="AY572"/>
      <c r="AZ572"/>
    </row>
    <row r="573" spans="3:52" s="299" customFormat="1">
      <c r="C573" s="331" t="str">
        <v>STM-1 (155 Mbps)</v>
      </c>
      <c r="E573" s="333">
        <v>0</v>
      </c>
      <c r="F573" s="333">
        <v>0</v>
      </c>
      <c r="G573" s="333">
        <v>0</v>
      </c>
      <c r="H573" s="333">
        <v>0</v>
      </c>
      <c r="I573" s="333">
        <v>0</v>
      </c>
      <c r="J573" s="333">
        <v>0</v>
      </c>
      <c r="K573" s="473"/>
      <c r="L573" s="473"/>
      <c r="M573" s="473"/>
      <c r="N573" s="473"/>
      <c r="O573" s="473"/>
      <c r="T573" s="331" t="str">
        <v>STM-1 (155 Mbps)</v>
      </c>
      <c r="V573" s="333">
        <v>3.0126336248785229E-2</v>
      </c>
      <c r="W573" s="333">
        <v>5.1011276176839079E-2</v>
      </c>
      <c r="X573" s="333">
        <v>4.7078884934756822E-2</v>
      </c>
      <c r="Y573" s="333">
        <v>1.9848771266540641E-2</v>
      </c>
      <c r="Z573" s="333">
        <v>2.678859601936525E-2</v>
      </c>
      <c r="AA573" s="333">
        <v>3.5894206549118388E-2</v>
      </c>
      <c r="AB573" s="474"/>
      <c r="AC573" s="474"/>
      <c r="AD573" s="474"/>
      <c r="AE573" s="474"/>
      <c r="AF573" s="474"/>
      <c r="AH573"/>
      <c r="AI573"/>
      <c r="AK573" s="331" t="str">
        <v>STM-1 (155 Mbps)</v>
      </c>
      <c r="AM573" s="333">
        <v>1.6188694024979331E-2</v>
      </c>
      <c r="AN573" s="333">
        <v>2.7517620932702522E-2</v>
      </c>
      <c r="AO573" s="333">
        <v>2.5244493917468393E-2</v>
      </c>
      <c r="AP573" s="333">
        <v>1.0671273946846891E-2</v>
      </c>
      <c r="AQ573" s="333">
        <v>1.4212328767123285E-2</v>
      </c>
      <c r="AR573" s="333">
        <v>1.963621331128565E-2</v>
      </c>
      <c r="AS573" s="474"/>
      <c r="AT573" s="474"/>
      <c r="AU573" s="474"/>
      <c r="AV573" s="474"/>
      <c r="AW573" s="474"/>
      <c r="AY573"/>
      <c r="AZ573"/>
    </row>
    <row r="574" spans="3:52" s="299" customFormat="1">
      <c r="C574" s="310" t="str">
        <v>STM-4 (622.08 Mbps)</v>
      </c>
      <c r="E574" s="333">
        <v>0</v>
      </c>
      <c r="F574" s="333">
        <v>0</v>
      </c>
      <c r="G574" s="333">
        <v>0</v>
      </c>
      <c r="H574" s="333">
        <v>0</v>
      </c>
      <c r="I574" s="333">
        <v>0</v>
      </c>
      <c r="J574" s="333">
        <v>0</v>
      </c>
      <c r="K574" s="473"/>
      <c r="L574" s="473"/>
      <c r="M574" s="473"/>
      <c r="N574" s="473"/>
      <c r="O574" s="473"/>
      <c r="T574" s="310" t="str">
        <v>STM-4 (622.08 Mbps)</v>
      </c>
      <c r="V574" s="333">
        <v>0</v>
      </c>
      <c r="W574" s="333">
        <v>0</v>
      </c>
      <c r="X574" s="333">
        <v>5.7087781731909853E-3</v>
      </c>
      <c r="Y574" s="333">
        <v>7.372400756143668E-3</v>
      </c>
      <c r="Z574" s="333">
        <v>1.0973641742872514E-2</v>
      </c>
      <c r="AA574" s="333">
        <v>1.297229219143577E-2</v>
      </c>
      <c r="AB574" s="474"/>
      <c r="AC574" s="474"/>
      <c r="AD574" s="474"/>
      <c r="AE574" s="474"/>
      <c r="AF574" s="474"/>
      <c r="AH574"/>
      <c r="AI574"/>
      <c r="AK574" s="310" t="str">
        <v>STM-4 (622.08 Mbps)</v>
      </c>
      <c r="AM574" s="333">
        <v>0</v>
      </c>
      <c r="AN574" s="333">
        <v>0</v>
      </c>
      <c r="AO574" s="333">
        <v>3.0611433569213641E-3</v>
      </c>
      <c r="AP574" s="333">
        <v>3.9636160374002744E-3</v>
      </c>
      <c r="AQ574" s="333">
        <v>5.8219178082191776E-3</v>
      </c>
      <c r="AR574" s="333">
        <v>7.0965963896927097E-3</v>
      </c>
      <c r="AS574" s="474"/>
      <c r="AT574" s="474"/>
      <c r="AU574" s="474"/>
      <c r="AV574" s="474"/>
      <c r="AW574" s="474"/>
      <c r="AY574"/>
      <c r="AZ574"/>
    </row>
    <row r="575" spans="3:52" s="299" customFormat="1">
      <c r="C575" s="310" t="str">
        <v>STM-16 (2488.32Mbps)</v>
      </c>
      <c r="E575" s="333">
        <v>0</v>
      </c>
      <c r="F575" s="333">
        <v>0</v>
      </c>
      <c r="G575" s="333">
        <v>0</v>
      </c>
      <c r="H575" s="333">
        <v>0</v>
      </c>
      <c r="I575" s="333">
        <v>0</v>
      </c>
      <c r="J575" s="333">
        <v>0</v>
      </c>
      <c r="K575" s="473"/>
      <c r="L575" s="473"/>
      <c r="M575" s="473"/>
      <c r="N575" s="473"/>
      <c r="O575" s="473"/>
      <c r="T575" s="310" t="str">
        <v>STM-16 (2488.32Mbps)</v>
      </c>
      <c r="V575" s="333">
        <v>3.045027534823453E-2</v>
      </c>
      <c r="W575" s="333">
        <v>3.6155360658671913E-2</v>
      </c>
      <c r="X575" s="333">
        <v>3.5290628706998811E-2</v>
      </c>
      <c r="Y575" s="333">
        <v>2.7599243856332702E-2</v>
      </c>
      <c r="Z575" s="333">
        <v>3.7009144701452397E-2</v>
      </c>
      <c r="AA575" s="333">
        <v>5.6926952141057932E-2</v>
      </c>
      <c r="AB575" s="474"/>
      <c r="AC575" s="474"/>
      <c r="AD575" s="474"/>
      <c r="AE575" s="474"/>
      <c r="AF575" s="474"/>
      <c r="AH575"/>
      <c r="AI575"/>
      <c r="AK575" s="310" t="str">
        <v>STM-16 (2488.32Mbps)</v>
      </c>
      <c r="AM575" s="333">
        <v>1.6362766003742549E-2</v>
      </c>
      <c r="AN575" s="333">
        <v>1.9503717292652316E-2</v>
      </c>
      <c r="AO575" s="333">
        <v>1.8923431660968434E-2</v>
      </c>
      <c r="AP575" s="333">
        <v>1.4838152345139488E-2</v>
      </c>
      <c r="AQ575" s="333">
        <v>1.9634703196347029E-2</v>
      </c>
      <c r="AR575" s="333">
        <v>3.1142345321758295E-2</v>
      </c>
      <c r="AS575" s="474"/>
      <c r="AT575" s="474"/>
      <c r="AU575" s="474"/>
      <c r="AV575" s="474"/>
      <c r="AW575" s="474"/>
      <c r="AY575"/>
      <c r="AZ575"/>
    </row>
    <row r="576" spans="3:52" s="299" customFormat="1">
      <c r="C576" s="310" t="str">
        <v>STM-64 (9953.28Mbps)</v>
      </c>
      <c r="E576" s="333">
        <v>0</v>
      </c>
      <c r="F576" s="333">
        <v>0</v>
      </c>
      <c r="G576" s="333">
        <v>0</v>
      </c>
      <c r="H576" s="333">
        <v>0</v>
      </c>
      <c r="I576" s="333">
        <v>0</v>
      </c>
      <c r="J576" s="333">
        <v>0</v>
      </c>
      <c r="K576" s="473"/>
      <c r="L576" s="473"/>
      <c r="M576" s="473"/>
      <c r="N576" s="473"/>
      <c r="O576" s="473"/>
      <c r="T576" s="310" t="str">
        <v>STM-64 (9953.28Mbps)</v>
      </c>
      <c r="V576" s="333">
        <v>0</v>
      </c>
      <c r="W576" s="333">
        <v>0</v>
      </c>
      <c r="X576" s="333">
        <v>0</v>
      </c>
      <c r="Y576" s="333">
        <v>0</v>
      </c>
      <c r="Z576" s="333">
        <v>0</v>
      </c>
      <c r="AA576" s="333">
        <v>0</v>
      </c>
      <c r="AB576" s="474"/>
      <c r="AC576" s="474"/>
      <c r="AD576" s="474"/>
      <c r="AE576" s="474"/>
      <c r="AF576" s="474"/>
      <c r="AH576"/>
      <c r="AI576"/>
      <c r="AK576" s="310" t="str">
        <v>STM-64 (9953.28Mbps)</v>
      </c>
      <c r="AM576" s="333">
        <v>0</v>
      </c>
      <c r="AN576" s="333">
        <v>0</v>
      </c>
      <c r="AO576" s="333">
        <v>0</v>
      </c>
      <c r="AP576" s="333">
        <v>0</v>
      </c>
      <c r="AQ576" s="333">
        <v>0</v>
      </c>
      <c r="AR576" s="333">
        <v>0</v>
      </c>
      <c r="AS576" s="474"/>
      <c r="AT576" s="474"/>
      <c r="AU576" s="474"/>
      <c r="AV576" s="474"/>
      <c r="AW576" s="474"/>
      <c r="AY576"/>
      <c r="AZ576"/>
    </row>
    <row r="577" spans="3:52" s="299" customFormat="1">
      <c r="C577" s="310" t="str">
        <v>STM-256 (39813.12 Mbps)*</v>
      </c>
      <c r="E577" s="333">
        <v>0</v>
      </c>
      <c r="F577" s="333">
        <v>0</v>
      </c>
      <c r="G577" s="333">
        <v>0</v>
      </c>
      <c r="H577" s="333">
        <v>0</v>
      </c>
      <c r="I577" s="333">
        <v>0</v>
      </c>
      <c r="J577" s="333">
        <v>0</v>
      </c>
      <c r="K577" s="473"/>
      <c r="L577" s="473"/>
      <c r="M577" s="473"/>
      <c r="N577" s="473"/>
      <c r="O577" s="473"/>
      <c r="T577" s="310" t="str">
        <v>STM-256 (39813.12 Mbps)*</v>
      </c>
      <c r="V577" s="333">
        <v>0</v>
      </c>
      <c r="W577" s="333">
        <v>0</v>
      </c>
      <c r="X577" s="333">
        <v>0</v>
      </c>
      <c r="Y577" s="333">
        <v>0</v>
      </c>
      <c r="Z577" s="333">
        <v>0</v>
      </c>
      <c r="AA577" s="333">
        <v>0</v>
      </c>
      <c r="AB577" s="474"/>
      <c r="AC577" s="474"/>
      <c r="AD577" s="474"/>
      <c r="AE577" s="474"/>
      <c r="AF577" s="474"/>
      <c r="AH577"/>
      <c r="AI577"/>
      <c r="AK577" s="310" t="str">
        <v>STM-256 (39813.12 Mbps)*</v>
      </c>
      <c r="AM577" s="333">
        <v>0</v>
      </c>
      <c r="AN577" s="333">
        <v>0</v>
      </c>
      <c r="AO577" s="333">
        <v>0</v>
      </c>
      <c r="AP577" s="333">
        <v>0</v>
      </c>
      <c r="AQ577" s="333">
        <v>0</v>
      </c>
      <c r="AR577" s="333">
        <v>0</v>
      </c>
      <c r="AS577" s="474"/>
      <c r="AT577" s="474"/>
      <c r="AU577" s="474"/>
      <c r="AV577" s="474"/>
      <c r="AW577" s="474"/>
      <c r="AY577"/>
      <c r="AZ577"/>
    </row>
    <row r="578" spans="3:52" s="299" customFormat="1">
      <c r="C578" s="310" t="str">
        <v>Ethernet (10Mbps)</v>
      </c>
      <c r="E578" s="333">
        <v>0</v>
      </c>
      <c r="F578" s="333">
        <v>0</v>
      </c>
      <c r="G578" s="333">
        <v>0</v>
      </c>
      <c r="H578" s="333">
        <v>0</v>
      </c>
      <c r="I578" s="333">
        <v>0</v>
      </c>
      <c r="J578" s="333">
        <v>0</v>
      </c>
      <c r="K578" s="473"/>
      <c r="L578" s="473"/>
      <c r="M578" s="473"/>
      <c r="N578" s="473"/>
      <c r="O578" s="473"/>
      <c r="T578" s="310" t="str">
        <v>Ethernet (10Mbps)</v>
      </c>
      <c r="V578" s="333">
        <v>0</v>
      </c>
      <c r="W578" s="333">
        <v>0</v>
      </c>
      <c r="X578" s="333">
        <v>0</v>
      </c>
      <c r="Y578" s="333">
        <v>0</v>
      </c>
      <c r="Z578" s="333">
        <v>0</v>
      </c>
      <c r="AA578" s="333">
        <v>0</v>
      </c>
      <c r="AB578" s="474"/>
      <c r="AC578" s="474"/>
      <c r="AD578" s="474"/>
      <c r="AE578" s="474"/>
      <c r="AF578" s="474"/>
      <c r="AH578"/>
      <c r="AI578"/>
      <c r="AK578" s="310" t="str">
        <v>Ethernet (10Mbps)</v>
      </c>
      <c r="AM578" s="333">
        <v>0</v>
      </c>
      <c r="AN578" s="333">
        <v>0</v>
      </c>
      <c r="AO578" s="333">
        <v>0</v>
      </c>
      <c r="AP578" s="333">
        <v>0</v>
      </c>
      <c r="AQ578" s="333">
        <v>0</v>
      </c>
      <c r="AR578" s="333">
        <v>0</v>
      </c>
      <c r="AS578" s="474"/>
      <c r="AT578" s="474"/>
      <c r="AU578" s="474"/>
      <c r="AV578" s="474"/>
      <c r="AW578" s="474"/>
      <c r="AY578"/>
      <c r="AZ578"/>
    </row>
    <row r="579" spans="3:52" s="299" customFormat="1">
      <c r="C579" s="310" t="str">
        <v>Ethernet (20Mbps)</v>
      </c>
      <c r="E579" s="333">
        <v>0</v>
      </c>
      <c r="F579" s="333">
        <v>0</v>
      </c>
      <c r="G579" s="333">
        <v>0</v>
      </c>
      <c r="H579" s="333">
        <v>0</v>
      </c>
      <c r="I579" s="333">
        <v>0</v>
      </c>
      <c r="J579" s="333">
        <v>0</v>
      </c>
      <c r="K579" s="473"/>
      <c r="L579" s="473"/>
      <c r="M579" s="473"/>
      <c r="N579" s="473"/>
      <c r="O579" s="473"/>
      <c r="T579" s="310" t="str">
        <v>Ethernet (20Mbps)</v>
      </c>
      <c r="V579" s="333">
        <v>0</v>
      </c>
      <c r="W579" s="333">
        <v>0</v>
      </c>
      <c r="X579" s="333">
        <v>0</v>
      </c>
      <c r="Y579" s="333">
        <v>0</v>
      </c>
      <c r="Z579" s="333">
        <v>0</v>
      </c>
      <c r="AA579" s="333">
        <v>0</v>
      </c>
      <c r="AB579" s="474"/>
      <c r="AC579" s="474"/>
      <c r="AD579" s="474"/>
      <c r="AE579" s="474"/>
      <c r="AF579" s="474"/>
      <c r="AH579"/>
      <c r="AI579"/>
      <c r="AK579" s="310" t="str">
        <v>Ethernet (20Mbps)</v>
      </c>
      <c r="AM579" s="333">
        <v>0</v>
      </c>
      <c r="AN579" s="333">
        <v>0</v>
      </c>
      <c r="AO579" s="333">
        <v>0</v>
      </c>
      <c r="AP579" s="333">
        <v>0</v>
      </c>
      <c r="AQ579" s="333">
        <v>0</v>
      </c>
      <c r="AR579" s="333">
        <v>0</v>
      </c>
      <c r="AS579" s="474"/>
      <c r="AT579" s="474"/>
      <c r="AU579" s="474"/>
      <c r="AV579" s="474"/>
      <c r="AW579" s="474"/>
      <c r="AY579"/>
      <c r="AZ579"/>
    </row>
    <row r="580" spans="3:52" s="299" customFormat="1">
      <c r="C580" s="310" t="str">
        <v>Ethernet (30Mbps)</v>
      </c>
      <c r="E580" s="333">
        <v>0</v>
      </c>
      <c r="F580" s="333">
        <v>0</v>
      </c>
      <c r="G580" s="333">
        <v>0</v>
      </c>
      <c r="H580" s="333">
        <v>0</v>
      </c>
      <c r="I580" s="333">
        <v>0</v>
      </c>
      <c r="J580" s="333">
        <v>0</v>
      </c>
      <c r="K580" s="473"/>
      <c r="L580" s="473"/>
      <c r="M580" s="473"/>
      <c r="N580" s="473"/>
      <c r="O580" s="473"/>
      <c r="T580" s="310" t="str">
        <v>Ethernet (30Mbps)</v>
      </c>
      <c r="V580" s="333">
        <v>0</v>
      </c>
      <c r="W580" s="333">
        <v>0</v>
      </c>
      <c r="X580" s="333">
        <v>0</v>
      </c>
      <c r="Y580" s="333">
        <v>0</v>
      </c>
      <c r="Z580" s="333">
        <v>0</v>
      </c>
      <c r="AA580" s="333">
        <v>0</v>
      </c>
      <c r="AB580" s="474"/>
      <c r="AC580" s="474"/>
      <c r="AD580" s="474"/>
      <c r="AE580" s="474"/>
      <c r="AF580" s="474"/>
      <c r="AH580"/>
      <c r="AI580"/>
      <c r="AK580" s="310" t="str">
        <v>Ethernet (30Mbps)</v>
      </c>
      <c r="AM580" s="333">
        <v>0</v>
      </c>
      <c r="AN580" s="333">
        <v>0</v>
      </c>
      <c r="AO580" s="333">
        <v>0</v>
      </c>
      <c r="AP580" s="333">
        <v>0</v>
      </c>
      <c r="AQ580" s="333">
        <v>0</v>
      </c>
      <c r="AR580" s="333">
        <v>0</v>
      </c>
      <c r="AS580" s="474"/>
      <c r="AT580" s="474"/>
      <c r="AU580" s="474"/>
      <c r="AV580" s="474"/>
      <c r="AW580" s="474"/>
      <c r="AY580"/>
      <c r="AZ580"/>
    </row>
    <row r="581" spans="3:52" s="299" customFormat="1">
      <c r="C581" s="310" t="str">
        <v>Ethernet (40Mbps)</v>
      </c>
      <c r="E581" s="333">
        <v>0</v>
      </c>
      <c r="F581" s="333">
        <v>0</v>
      </c>
      <c r="G581" s="333">
        <v>0</v>
      </c>
      <c r="H581" s="333">
        <v>0</v>
      </c>
      <c r="I581" s="333">
        <v>0</v>
      </c>
      <c r="J581" s="333">
        <v>0</v>
      </c>
      <c r="K581" s="473"/>
      <c r="L581" s="473"/>
      <c r="M581" s="473"/>
      <c r="N581" s="473"/>
      <c r="O581" s="473"/>
      <c r="T581" s="310" t="str">
        <v>Ethernet (40Mbps)</v>
      </c>
      <c r="V581" s="333">
        <v>0</v>
      </c>
      <c r="W581" s="333">
        <v>0</v>
      </c>
      <c r="X581" s="333">
        <v>0</v>
      </c>
      <c r="Y581" s="333">
        <v>0</v>
      </c>
      <c r="Z581" s="333">
        <v>0</v>
      </c>
      <c r="AA581" s="333">
        <v>0</v>
      </c>
      <c r="AB581" s="474"/>
      <c r="AC581" s="474"/>
      <c r="AD581" s="474"/>
      <c r="AE581" s="474"/>
      <c r="AF581" s="474"/>
      <c r="AH581"/>
      <c r="AI581"/>
      <c r="AK581" s="310" t="str">
        <v>Ethernet (40Mbps)</v>
      </c>
      <c r="AM581" s="333">
        <v>0</v>
      </c>
      <c r="AN581" s="333">
        <v>0</v>
      </c>
      <c r="AO581" s="333">
        <v>0</v>
      </c>
      <c r="AP581" s="333">
        <v>0</v>
      </c>
      <c r="AQ581" s="333">
        <v>0</v>
      </c>
      <c r="AR581" s="333">
        <v>0</v>
      </c>
      <c r="AS581" s="474"/>
      <c r="AT581" s="474"/>
      <c r="AU581" s="474"/>
      <c r="AV581" s="474"/>
      <c r="AW581" s="474"/>
      <c r="AY581"/>
      <c r="AZ581"/>
    </row>
    <row r="582" spans="3:52" s="299" customFormat="1">
      <c r="C582" s="310" t="str">
        <v>Ethernet (50Mbps)</v>
      </c>
      <c r="E582" s="333">
        <v>0</v>
      </c>
      <c r="F582" s="333">
        <v>0</v>
      </c>
      <c r="G582" s="333">
        <v>0</v>
      </c>
      <c r="H582" s="333">
        <v>0</v>
      </c>
      <c r="I582" s="333">
        <v>0</v>
      </c>
      <c r="J582" s="333">
        <v>0</v>
      </c>
      <c r="K582" s="473"/>
      <c r="L582" s="473"/>
      <c r="M582" s="473"/>
      <c r="N582" s="473"/>
      <c r="O582" s="473"/>
      <c r="T582" s="310" t="str">
        <v>Ethernet (50Mbps)</v>
      </c>
      <c r="V582" s="333">
        <v>0</v>
      </c>
      <c r="W582" s="333">
        <v>0</v>
      </c>
      <c r="X582" s="333">
        <v>0</v>
      </c>
      <c r="Y582" s="333">
        <v>0</v>
      </c>
      <c r="Z582" s="333">
        <v>0</v>
      </c>
      <c r="AA582" s="333">
        <v>0</v>
      </c>
      <c r="AB582" s="474"/>
      <c r="AC582" s="474"/>
      <c r="AD582" s="474"/>
      <c r="AE582" s="474"/>
      <c r="AF582" s="474"/>
      <c r="AH582"/>
      <c r="AI582"/>
      <c r="AK582" s="310" t="str">
        <v>Ethernet (50Mbps)</v>
      </c>
      <c r="AM582" s="333">
        <v>0</v>
      </c>
      <c r="AN582" s="333">
        <v>0</v>
      </c>
      <c r="AO582" s="333">
        <v>0</v>
      </c>
      <c r="AP582" s="333">
        <v>0</v>
      </c>
      <c r="AQ582" s="333">
        <v>0</v>
      </c>
      <c r="AR582" s="333">
        <v>0</v>
      </c>
      <c r="AS582" s="474"/>
      <c r="AT582" s="474"/>
      <c r="AU582" s="474"/>
      <c r="AV582" s="474"/>
      <c r="AW582" s="474"/>
      <c r="AY582"/>
      <c r="AZ582"/>
    </row>
    <row r="583" spans="3:52" s="299" customFormat="1">
      <c r="C583" s="310" t="str">
        <v>Ethernet (60Mbps)</v>
      </c>
      <c r="E583" s="333">
        <v>0</v>
      </c>
      <c r="F583" s="333">
        <v>0</v>
      </c>
      <c r="G583" s="333">
        <v>0</v>
      </c>
      <c r="H583" s="333">
        <v>0</v>
      </c>
      <c r="I583" s="333">
        <v>0</v>
      </c>
      <c r="J583" s="333">
        <v>0</v>
      </c>
      <c r="K583" s="473"/>
      <c r="L583" s="473"/>
      <c r="M583" s="473"/>
      <c r="N583" s="473"/>
      <c r="O583" s="473"/>
      <c r="T583" s="310" t="str">
        <v>Ethernet (60Mbps)</v>
      </c>
      <c r="V583" s="333">
        <v>0</v>
      </c>
      <c r="W583" s="333">
        <v>0</v>
      </c>
      <c r="X583" s="333">
        <v>0</v>
      </c>
      <c r="Y583" s="333">
        <v>0</v>
      </c>
      <c r="Z583" s="333">
        <v>0</v>
      </c>
      <c r="AA583" s="333">
        <v>0</v>
      </c>
      <c r="AB583" s="474"/>
      <c r="AC583" s="474"/>
      <c r="AD583" s="474"/>
      <c r="AE583" s="474"/>
      <c r="AF583" s="474"/>
      <c r="AH583"/>
      <c r="AI583"/>
      <c r="AK583" s="310" t="str">
        <v>Ethernet (60Mbps)</v>
      </c>
      <c r="AM583" s="333">
        <v>0</v>
      </c>
      <c r="AN583" s="333">
        <v>0</v>
      </c>
      <c r="AO583" s="333">
        <v>0</v>
      </c>
      <c r="AP583" s="333">
        <v>0</v>
      </c>
      <c r="AQ583" s="333">
        <v>0</v>
      </c>
      <c r="AR583" s="333">
        <v>0</v>
      </c>
      <c r="AS583" s="474"/>
      <c r="AT583" s="474"/>
      <c r="AU583" s="474"/>
      <c r="AV583" s="474"/>
      <c r="AW583" s="474"/>
      <c r="AY583"/>
      <c r="AZ583"/>
    </row>
    <row r="584" spans="3:52" s="299" customFormat="1">
      <c r="C584" s="310" t="str">
        <v>Ethernet (70Mbps)</v>
      </c>
      <c r="E584" s="333">
        <v>0</v>
      </c>
      <c r="F584" s="333">
        <v>0</v>
      </c>
      <c r="G584" s="333">
        <v>0</v>
      </c>
      <c r="H584" s="333">
        <v>0</v>
      </c>
      <c r="I584" s="333">
        <v>0</v>
      </c>
      <c r="J584" s="333">
        <v>0</v>
      </c>
      <c r="K584" s="473"/>
      <c r="L584" s="473"/>
      <c r="M584" s="473"/>
      <c r="N584" s="473"/>
      <c r="O584" s="473"/>
      <c r="T584" s="310" t="str">
        <v>Ethernet (70Mbps)</v>
      </c>
      <c r="V584" s="333">
        <v>0</v>
      </c>
      <c r="W584" s="333">
        <v>0</v>
      </c>
      <c r="X584" s="333">
        <v>0</v>
      </c>
      <c r="Y584" s="333">
        <v>0</v>
      </c>
      <c r="Z584" s="333">
        <v>0</v>
      </c>
      <c r="AA584" s="333">
        <v>0</v>
      </c>
      <c r="AB584" s="474"/>
      <c r="AC584" s="474"/>
      <c r="AD584" s="474"/>
      <c r="AE584" s="474"/>
      <c r="AF584" s="474"/>
      <c r="AH584"/>
      <c r="AI584"/>
      <c r="AK584" s="310" t="str">
        <v>Ethernet (70Mbps)</v>
      </c>
      <c r="AM584" s="333">
        <v>0</v>
      </c>
      <c r="AN584" s="333">
        <v>0</v>
      </c>
      <c r="AO584" s="333">
        <v>0</v>
      </c>
      <c r="AP584" s="333">
        <v>0</v>
      </c>
      <c r="AQ584" s="333">
        <v>0</v>
      </c>
      <c r="AR584" s="333">
        <v>0</v>
      </c>
      <c r="AS584" s="474"/>
      <c r="AT584" s="474"/>
      <c r="AU584" s="474"/>
      <c r="AV584" s="474"/>
      <c r="AW584" s="474"/>
      <c r="AY584"/>
      <c r="AZ584"/>
    </row>
    <row r="585" spans="3:52" s="299" customFormat="1">
      <c r="C585" s="310" t="str">
        <v>Ethernet (80Mbps)</v>
      </c>
      <c r="E585" s="333">
        <v>0</v>
      </c>
      <c r="F585" s="333">
        <v>0</v>
      </c>
      <c r="G585" s="333">
        <v>0</v>
      </c>
      <c r="H585" s="333">
        <v>0</v>
      </c>
      <c r="I585" s="333">
        <v>0</v>
      </c>
      <c r="J585" s="333">
        <v>0</v>
      </c>
      <c r="K585" s="473"/>
      <c r="L585" s="473"/>
      <c r="M585" s="473"/>
      <c r="N585" s="473"/>
      <c r="O585" s="473"/>
      <c r="T585" s="310" t="str">
        <v>Ethernet (80Mbps)</v>
      </c>
      <c r="V585" s="333">
        <v>0</v>
      </c>
      <c r="W585" s="333">
        <v>0</v>
      </c>
      <c r="X585" s="333">
        <v>0</v>
      </c>
      <c r="Y585" s="333">
        <v>0</v>
      </c>
      <c r="Z585" s="333">
        <v>0</v>
      </c>
      <c r="AA585" s="333">
        <v>0</v>
      </c>
      <c r="AB585" s="474"/>
      <c r="AC585" s="474"/>
      <c r="AD585" s="474"/>
      <c r="AE585" s="474"/>
      <c r="AF585" s="474"/>
      <c r="AH585"/>
      <c r="AI585"/>
      <c r="AK585" s="310" t="str">
        <v>Ethernet (80Mbps)</v>
      </c>
      <c r="AM585" s="333">
        <v>0</v>
      </c>
      <c r="AN585" s="333">
        <v>0</v>
      </c>
      <c r="AO585" s="333">
        <v>0</v>
      </c>
      <c r="AP585" s="333">
        <v>0</v>
      </c>
      <c r="AQ585" s="333">
        <v>0</v>
      </c>
      <c r="AR585" s="333">
        <v>0</v>
      </c>
      <c r="AS585" s="474"/>
      <c r="AT585" s="474"/>
      <c r="AU585" s="474"/>
      <c r="AV585" s="474"/>
      <c r="AW585" s="474"/>
      <c r="AY585"/>
      <c r="AZ585"/>
    </row>
    <row r="586" spans="3:52" s="299" customFormat="1">
      <c r="C586" s="310" t="str">
        <v>Ethernet (90Mbps)</v>
      </c>
      <c r="E586" s="333">
        <v>0</v>
      </c>
      <c r="F586" s="333">
        <v>0</v>
      </c>
      <c r="G586" s="333">
        <v>0</v>
      </c>
      <c r="H586" s="333">
        <v>0</v>
      </c>
      <c r="I586" s="333">
        <v>0</v>
      </c>
      <c r="J586" s="333">
        <v>0</v>
      </c>
      <c r="K586" s="473"/>
      <c r="L586" s="473"/>
      <c r="M586" s="473"/>
      <c r="N586" s="473"/>
      <c r="O586" s="473"/>
      <c r="T586" s="310" t="str">
        <v>Ethernet (90Mbps)</v>
      </c>
      <c r="V586" s="333">
        <v>0</v>
      </c>
      <c r="W586" s="333">
        <v>0</v>
      </c>
      <c r="X586" s="333">
        <v>0</v>
      </c>
      <c r="Y586" s="333">
        <v>0</v>
      </c>
      <c r="Z586" s="333">
        <v>0</v>
      </c>
      <c r="AA586" s="333">
        <v>0</v>
      </c>
      <c r="AB586" s="474"/>
      <c r="AC586" s="474"/>
      <c r="AD586" s="474"/>
      <c r="AE586" s="474"/>
      <c r="AF586" s="474"/>
      <c r="AH586"/>
      <c r="AI586"/>
      <c r="AK586" s="310" t="str">
        <v>Ethernet (90Mbps)</v>
      </c>
      <c r="AM586" s="333">
        <v>0</v>
      </c>
      <c r="AN586" s="333">
        <v>0</v>
      </c>
      <c r="AO586" s="333">
        <v>0</v>
      </c>
      <c r="AP586" s="333">
        <v>0</v>
      </c>
      <c r="AQ586" s="333">
        <v>0</v>
      </c>
      <c r="AR586" s="333">
        <v>0</v>
      </c>
      <c r="AS586" s="474"/>
      <c r="AT586" s="474"/>
      <c r="AU586" s="474"/>
      <c r="AV586" s="474"/>
      <c r="AW586" s="474"/>
      <c r="AY586"/>
      <c r="AZ586"/>
    </row>
    <row r="587" spans="3:52" s="299" customFormat="1">
      <c r="C587" s="310" t="str">
        <v>GigaEthernet (100Mbps)</v>
      </c>
      <c r="E587" s="333">
        <v>0</v>
      </c>
      <c r="F587" s="333">
        <v>0</v>
      </c>
      <c r="G587" s="333">
        <v>0</v>
      </c>
      <c r="H587" s="333">
        <v>0</v>
      </c>
      <c r="I587" s="333">
        <v>0</v>
      </c>
      <c r="J587" s="333">
        <v>0</v>
      </c>
      <c r="K587" s="473"/>
      <c r="L587" s="473"/>
      <c r="M587" s="473"/>
      <c r="N587" s="473"/>
      <c r="O587" s="473"/>
      <c r="T587" s="310" t="str">
        <v>GigaEthernet (100Mbps)</v>
      </c>
      <c r="V587" s="333">
        <v>0</v>
      </c>
      <c r="W587" s="333">
        <v>0</v>
      </c>
      <c r="X587" s="333">
        <v>0</v>
      </c>
      <c r="Y587" s="333">
        <v>0</v>
      </c>
      <c r="Z587" s="333">
        <v>0</v>
      </c>
      <c r="AA587" s="333">
        <v>0</v>
      </c>
      <c r="AB587" s="474"/>
      <c r="AC587" s="474"/>
      <c r="AD587" s="474"/>
      <c r="AE587" s="474"/>
      <c r="AF587" s="474"/>
      <c r="AH587"/>
      <c r="AI587"/>
      <c r="AK587" s="310" t="str">
        <v>GigaEthernet (100Mbps)</v>
      </c>
      <c r="AM587" s="333">
        <v>0</v>
      </c>
      <c r="AN587" s="333">
        <v>0</v>
      </c>
      <c r="AO587" s="333">
        <v>0</v>
      </c>
      <c r="AP587" s="333">
        <v>0</v>
      </c>
      <c r="AQ587" s="333">
        <v>0</v>
      </c>
      <c r="AR587" s="333">
        <v>0</v>
      </c>
      <c r="AS587" s="474"/>
      <c r="AT587" s="474"/>
      <c r="AU587" s="474"/>
      <c r="AV587" s="474"/>
      <c r="AW587" s="474"/>
      <c r="AY587"/>
      <c r="AZ587"/>
    </row>
    <row r="588" spans="3:52" s="299" customFormat="1">
      <c r="C588" s="310" t="str">
        <v>GigaEthernet (150Mbps)</v>
      </c>
      <c r="E588" s="333">
        <v>0</v>
      </c>
      <c r="F588" s="333">
        <v>0</v>
      </c>
      <c r="G588" s="333">
        <v>0</v>
      </c>
      <c r="H588" s="333">
        <v>0</v>
      </c>
      <c r="I588" s="333">
        <v>0</v>
      </c>
      <c r="J588" s="333">
        <v>0</v>
      </c>
      <c r="K588" s="473"/>
      <c r="L588" s="473"/>
      <c r="M588" s="473"/>
      <c r="N588" s="473"/>
      <c r="O588" s="473"/>
      <c r="T588" s="310" t="str">
        <v>GigaEthernet (150Mbps)</v>
      </c>
      <c r="V588" s="333">
        <v>0</v>
      </c>
      <c r="W588" s="333">
        <v>0</v>
      </c>
      <c r="X588" s="333">
        <v>0</v>
      </c>
      <c r="Y588" s="333">
        <v>0</v>
      </c>
      <c r="Z588" s="333">
        <v>0</v>
      </c>
      <c r="AA588" s="333">
        <v>0</v>
      </c>
      <c r="AB588" s="474"/>
      <c r="AC588" s="474"/>
      <c r="AD588" s="474"/>
      <c r="AE588" s="474"/>
      <c r="AF588" s="474"/>
      <c r="AH588"/>
      <c r="AI588"/>
      <c r="AK588" s="310" t="str">
        <v>GigaEthernet (150Mbps)</v>
      </c>
      <c r="AM588" s="333">
        <v>0</v>
      </c>
      <c r="AN588" s="333">
        <v>0</v>
      </c>
      <c r="AO588" s="333">
        <v>0</v>
      </c>
      <c r="AP588" s="333">
        <v>0</v>
      </c>
      <c r="AQ588" s="333">
        <v>0</v>
      </c>
      <c r="AR588" s="333">
        <v>0</v>
      </c>
      <c r="AS588" s="474"/>
      <c r="AT588" s="474"/>
      <c r="AU588" s="474"/>
      <c r="AV588" s="474"/>
      <c r="AW588" s="474"/>
      <c r="AY588"/>
      <c r="AZ588"/>
    </row>
    <row r="589" spans="3:52" s="299" customFormat="1">
      <c r="C589" s="310" t="str">
        <v>GigaEthernet (200Mbps)</v>
      </c>
      <c r="E589" s="333">
        <v>0</v>
      </c>
      <c r="F589" s="333">
        <v>0</v>
      </c>
      <c r="G589" s="333">
        <v>0</v>
      </c>
      <c r="H589" s="333">
        <v>0</v>
      </c>
      <c r="I589" s="333">
        <v>0</v>
      </c>
      <c r="J589" s="333">
        <v>0</v>
      </c>
      <c r="K589" s="473"/>
      <c r="L589" s="473"/>
      <c r="M589" s="473"/>
      <c r="N589" s="473"/>
      <c r="O589" s="473"/>
      <c r="T589" s="310" t="str">
        <v>GigaEthernet (200Mbps)</v>
      </c>
      <c r="V589" s="333">
        <v>0</v>
      </c>
      <c r="W589" s="333">
        <v>0</v>
      </c>
      <c r="X589" s="333">
        <v>0</v>
      </c>
      <c r="Y589" s="333">
        <v>0</v>
      </c>
      <c r="Z589" s="333">
        <v>0</v>
      </c>
      <c r="AA589" s="333">
        <v>0</v>
      </c>
      <c r="AB589" s="474"/>
      <c r="AC589" s="474"/>
      <c r="AD589" s="474"/>
      <c r="AE589" s="474"/>
      <c r="AF589" s="474"/>
      <c r="AH589"/>
      <c r="AI589"/>
      <c r="AK589" s="310" t="str">
        <v>GigaEthernet (200Mbps)</v>
      </c>
      <c r="AM589" s="333">
        <v>0</v>
      </c>
      <c r="AN589" s="333">
        <v>0</v>
      </c>
      <c r="AO589" s="333">
        <v>0</v>
      </c>
      <c r="AP589" s="333">
        <v>0</v>
      </c>
      <c r="AQ589" s="333">
        <v>0</v>
      </c>
      <c r="AR589" s="333">
        <v>0</v>
      </c>
      <c r="AS589" s="474"/>
      <c r="AT589" s="474"/>
      <c r="AU589" s="474"/>
      <c r="AV589" s="474"/>
      <c r="AW589" s="474"/>
      <c r="AY589"/>
      <c r="AZ589"/>
    </row>
    <row r="590" spans="3:52" s="299" customFormat="1">
      <c r="C590" s="310" t="str">
        <v>GigaEthernet (250Mbps)</v>
      </c>
      <c r="E590" s="333">
        <v>0</v>
      </c>
      <c r="F590" s="333">
        <v>0</v>
      </c>
      <c r="G590" s="333">
        <v>0</v>
      </c>
      <c r="H590" s="333">
        <v>0</v>
      </c>
      <c r="I590" s="333">
        <v>0</v>
      </c>
      <c r="J590" s="333">
        <v>0</v>
      </c>
      <c r="K590" s="473"/>
      <c r="L590" s="473"/>
      <c r="M590" s="473"/>
      <c r="N590" s="473"/>
      <c r="O590" s="473"/>
      <c r="T590" s="310" t="str">
        <v>GigaEthernet (250Mbps)</v>
      </c>
      <c r="V590" s="333">
        <v>0</v>
      </c>
      <c r="W590" s="333">
        <v>0</v>
      </c>
      <c r="X590" s="333">
        <v>0</v>
      </c>
      <c r="Y590" s="333">
        <v>0</v>
      </c>
      <c r="Z590" s="333">
        <v>0</v>
      </c>
      <c r="AA590" s="333">
        <v>0</v>
      </c>
      <c r="AB590" s="474"/>
      <c r="AC590" s="474"/>
      <c r="AD590" s="474"/>
      <c r="AE590" s="474"/>
      <c r="AF590" s="474"/>
      <c r="AH590"/>
      <c r="AI590"/>
      <c r="AK590" s="310" t="str">
        <v>GigaEthernet (250Mbps)</v>
      </c>
      <c r="AM590" s="333">
        <v>0</v>
      </c>
      <c r="AN590" s="333">
        <v>0</v>
      </c>
      <c r="AO590" s="333">
        <v>0</v>
      </c>
      <c r="AP590" s="333">
        <v>0</v>
      </c>
      <c r="AQ590" s="333">
        <v>0</v>
      </c>
      <c r="AR590" s="333">
        <v>0</v>
      </c>
      <c r="AS590" s="474"/>
      <c r="AT590" s="474"/>
      <c r="AU590" s="474"/>
      <c r="AV590" s="474"/>
      <c r="AW590" s="474"/>
      <c r="AY590"/>
      <c r="AZ590"/>
    </row>
    <row r="591" spans="3:52" s="299" customFormat="1">
      <c r="C591" s="310" t="str">
        <v>GigaEthernet (300Mbps)</v>
      </c>
      <c r="E591" s="333">
        <v>0</v>
      </c>
      <c r="F591" s="333">
        <v>0</v>
      </c>
      <c r="G591" s="333">
        <v>0</v>
      </c>
      <c r="H591" s="333">
        <v>0</v>
      </c>
      <c r="I591" s="333">
        <v>0</v>
      </c>
      <c r="J591" s="333">
        <v>0</v>
      </c>
      <c r="K591" s="473"/>
      <c r="L591" s="473"/>
      <c r="M591" s="473"/>
      <c r="N591" s="473"/>
      <c r="O591" s="473"/>
      <c r="T591" s="310" t="str">
        <v>GigaEthernet (300Mbps)</v>
      </c>
      <c r="V591" s="333">
        <v>0</v>
      </c>
      <c r="W591" s="333">
        <v>0</v>
      </c>
      <c r="X591" s="333">
        <v>0</v>
      </c>
      <c r="Y591" s="333">
        <v>0</v>
      </c>
      <c r="Z591" s="333">
        <v>0</v>
      </c>
      <c r="AA591" s="333">
        <v>0</v>
      </c>
      <c r="AB591" s="474"/>
      <c r="AC591" s="474"/>
      <c r="AD591" s="474"/>
      <c r="AE591" s="474"/>
      <c r="AF591" s="474"/>
      <c r="AH591"/>
      <c r="AI591"/>
      <c r="AK591" s="310" t="str">
        <v>GigaEthernet (300Mbps)</v>
      </c>
      <c r="AM591" s="333">
        <v>0</v>
      </c>
      <c r="AN591" s="333">
        <v>0</v>
      </c>
      <c r="AO591" s="333">
        <v>0</v>
      </c>
      <c r="AP591" s="333">
        <v>0</v>
      </c>
      <c r="AQ591" s="333">
        <v>0</v>
      </c>
      <c r="AR591" s="333">
        <v>0</v>
      </c>
      <c r="AS591" s="474"/>
      <c r="AT591" s="474"/>
      <c r="AU591" s="474"/>
      <c r="AV591" s="474"/>
      <c r="AW591" s="474"/>
      <c r="AY591"/>
      <c r="AZ591"/>
    </row>
    <row r="592" spans="3:52" s="299" customFormat="1">
      <c r="C592" s="310" t="str">
        <v>GigaEthernet (350Mbps)</v>
      </c>
      <c r="E592" s="333">
        <v>0</v>
      </c>
      <c r="F592" s="333">
        <v>0</v>
      </c>
      <c r="G592" s="333">
        <v>0</v>
      </c>
      <c r="H592" s="333">
        <v>0</v>
      </c>
      <c r="I592" s="333">
        <v>0</v>
      </c>
      <c r="J592" s="333">
        <v>0</v>
      </c>
      <c r="K592" s="473"/>
      <c r="L592" s="473"/>
      <c r="M592" s="473"/>
      <c r="N592" s="473"/>
      <c r="O592" s="473"/>
      <c r="T592" s="310" t="str">
        <v>GigaEthernet (350Mbps)</v>
      </c>
      <c r="V592" s="333">
        <v>0</v>
      </c>
      <c r="W592" s="333">
        <v>0</v>
      </c>
      <c r="X592" s="333">
        <v>0</v>
      </c>
      <c r="Y592" s="333">
        <v>0</v>
      </c>
      <c r="Z592" s="333">
        <v>0</v>
      </c>
      <c r="AA592" s="333">
        <v>0</v>
      </c>
      <c r="AB592" s="474"/>
      <c r="AC592" s="474"/>
      <c r="AD592" s="474"/>
      <c r="AE592" s="474"/>
      <c r="AF592" s="474"/>
      <c r="AH592"/>
      <c r="AI592"/>
      <c r="AK592" s="310" t="str">
        <v>GigaEthernet (350Mbps)</v>
      </c>
      <c r="AM592" s="333">
        <v>0</v>
      </c>
      <c r="AN592" s="333">
        <v>0</v>
      </c>
      <c r="AO592" s="333">
        <v>0</v>
      </c>
      <c r="AP592" s="333">
        <v>0</v>
      </c>
      <c r="AQ592" s="333">
        <v>0</v>
      </c>
      <c r="AR592" s="333">
        <v>0</v>
      </c>
      <c r="AS592" s="474"/>
      <c r="AT592" s="474"/>
      <c r="AU592" s="474"/>
      <c r="AV592" s="474"/>
      <c r="AW592" s="474"/>
      <c r="AY592"/>
      <c r="AZ592"/>
    </row>
    <row r="593" spans="3:52" s="299" customFormat="1">
      <c r="C593" s="310" t="str">
        <v>GigaEthernet (400Mbps)</v>
      </c>
      <c r="E593" s="333">
        <v>0</v>
      </c>
      <c r="F593" s="333">
        <v>0</v>
      </c>
      <c r="G593" s="333">
        <v>0</v>
      </c>
      <c r="H593" s="333">
        <v>0</v>
      </c>
      <c r="I593" s="333">
        <v>0</v>
      </c>
      <c r="J593" s="333">
        <v>0</v>
      </c>
      <c r="K593" s="473"/>
      <c r="L593" s="473"/>
      <c r="M593" s="473"/>
      <c r="N593" s="473"/>
      <c r="O593" s="473"/>
      <c r="T593" s="310" t="str">
        <v>GigaEthernet (400Mbps)</v>
      </c>
      <c r="V593" s="333">
        <v>0</v>
      </c>
      <c r="W593" s="333">
        <v>0</v>
      </c>
      <c r="X593" s="333">
        <v>0</v>
      </c>
      <c r="Y593" s="333">
        <v>0</v>
      </c>
      <c r="Z593" s="333">
        <v>0</v>
      </c>
      <c r="AA593" s="333">
        <v>0</v>
      </c>
      <c r="AB593" s="474"/>
      <c r="AC593" s="474"/>
      <c r="AD593" s="474"/>
      <c r="AE593" s="474"/>
      <c r="AF593" s="474"/>
      <c r="AH593"/>
      <c r="AI593"/>
      <c r="AK593" s="310" t="str">
        <v>GigaEthernet (400Mbps)</v>
      </c>
      <c r="AM593" s="333">
        <v>0</v>
      </c>
      <c r="AN593" s="333">
        <v>0</v>
      </c>
      <c r="AO593" s="333">
        <v>0</v>
      </c>
      <c r="AP593" s="333">
        <v>0</v>
      </c>
      <c r="AQ593" s="333">
        <v>0</v>
      </c>
      <c r="AR593" s="333">
        <v>0</v>
      </c>
      <c r="AS593" s="474"/>
      <c r="AT593" s="474"/>
      <c r="AU593" s="474"/>
      <c r="AV593" s="474"/>
      <c r="AW593" s="474"/>
      <c r="AY593"/>
      <c r="AZ593"/>
    </row>
    <row r="594" spans="3:52" s="299" customFormat="1">
      <c r="C594" s="310" t="str">
        <v>GigaEthernet (450Mbps)</v>
      </c>
      <c r="E594" s="333">
        <v>0</v>
      </c>
      <c r="F594" s="333">
        <v>0</v>
      </c>
      <c r="G594" s="333">
        <v>0</v>
      </c>
      <c r="H594" s="333">
        <v>0</v>
      </c>
      <c r="I594" s="333">
        <v>0</v>
      </c>
      <c r="J594" s="333">
        <v>0</v>
      </c>
      <c r="K594" s="473"/>
      <c r="L594" s="473"/>
      <c r="M594" s="473"/>
      <c r="N594" s="473"/>
      <c r="O594" s="473"/>
      <c r="T594" s="310" t="str">
        <v>GigaEthernet (450Mbps)</v>
      </c>
      <c r="V594" s="333">
        <v>0</v>
      </c>
      <c r="W594" s="333">
        <v>0</v>
      </c>
      <c r="X594" s="333">
        <v>0</v>
      </c>
      <c r="Y594" s="333">
        <v>0</v>
      </c>
      <c r="Z594" s="333">
        <v>0</v>
      </c>
      <c r="AA594" s="333">
        <v>0</v>
      </c>
      <c r="AB594" s="474"/>
      <c r="AC594" s="474"/>
      <c r="AD594" s="474"/>
      <c r="AE594" s="474"/>
      <c r="AF594" s="474"/>
      <c r="AH594"/>
      <c r="AI594"/>
      <c r="AK594" s="310" t="str">
        <v>GigaEthernet (450Mbps)</v>
      </c>
      <c r="AM594" s="333">
        <v>0</v>
      </c>
      <c r="AN594" s="333">
        <v>0</v>
      </c>
      <c r="AO594" s="333">
        <v>0</v>
      </c>
      <c r="AP594" s="333">
        <v>0</v>
      </c>
      <c r="AQ594" s="333">
        <v>0</v>
      </c>
      <c r="AR594" s="333">
        <v>0</v>
      </c>
      <c r="AS594" s="474"/>
      <c r="AT594" s="474"/>
      <c r="AU594" s="474"/>
      <c r="AV594" s="474"/>
      <c r="AW594" s="474"/>
      <c r="AY594"/>
      <c r="AZ594"/>
    </row>
    <row r="595" spans="3:52" s="299" customFormat="1">
      <c r="C595" s="310" t="str">
        <v>GigaEthernet (500Mbps)</v>
      </c>
      <c r="E595" s="333">
        <v>0</v>
      </c>
      <c r="F595" s="333">
        <v>0</v>
      </c>
      <c r="G595" s="333">
        <v>0</v>
      </c>
      <c r="H595" s="333">
        <v>0</v>
      </c>
      <c r="I595" s="333">
        <v>0</v>
      </c>
      <c r="J595" s="333">
        <v>0</v>
      </c>
      <c r="K595" s="473"/>
      <c r="L595" s="473"/>
      <c r="M595" s="473"/>
      <c r="N595" s="473"/>
      <c r="O595" s="473"/>
      <c r="T595" s="310" t="str">
        <v>GigaEthernet (500Mbps)</v>
      </c>
      <c r="V595" s="333">
        <v>0</v>
      </c>
      <c r="W595" s="333">
        <v>0</v>
      </c>
      <c r="X595" s="333">
        <v>0</v>
      </c>
      <c r="Y595" s="333">
        <v>0</v>
      </c>
      <c r="Z595" s="333">
        <v>0</v>
      </c>
      <c r="AA595" s="333">
        <v>0</v>
      </c>
      <c r="AB595" s="474"/>
      <c r="AC595" s="474"/>
      <c r="AD595" s="474"/>
      <c r="AE595" s="474"/>
      <c r="AF595" s="474"/>
      <c r="AH595"/>
      <c r="AI595"/>
      <c r="AK595" s="310" t="str">
        <v>GigaEthernet (500Mbps)</v>
      </c>
      <c r="AM595" s="333">
        <v>0</v>
      </c>
      <c r="AN595" s="333">
        <v>0</v>
      </c>
      <c r="AO595" s="333">
        <v>0</v>
      </c>
      <c r="AP595" s="333">
        <v>0</v>
      </c>
      <c r="AQ595" s="333">
        <v>0</v>
      </c>
      <c r="AR595" s="333">
        <v>0</v>
      </c>
      <c r="AS595" s="474"/>
      <c r="AT595" s="474"/>
      <c r="AU595" s="474"/>
      <c r="AV595" s="474"/>
      <c r="AW595" s="474"/>
      <c r="AY595"/>
      <c r="AZ595"/>
    </row>
    <row r="596" spans="3:52" s="299" customFormat="1">
      <c r="C596" s="310" t="str">
        <v>GigaEthernet (550Mbps)</v>
      </c>
      <c r="E596" s="333">
        <v>0</v>
      </c>
      <c r="F596" s="333">
        <v>0</v>
      </c>
      <c r="G596" s="333">
        <v>0</v>
      </c>
      <c r="H596" s="333">
        <v>0</v>
      </c>
      <c r="I596" s="333">
        <v>0</v>
      </c>
      <c r="J596" s="333">
        <v>0</v>
      </c>
      <c r="K596" s="473"/>
      <c r="L596" s="473"/>
      <c r="M596" s="473"/>
      <c r="N596" s="473"/>
      <c r="O596" s="473"/>
      <c r="T596" s="310" t="str">
        <v>GigaEthernet (550Mbps)</v>
      </c>
      <c r="V596" s="333">
        <v>0</v>
      </c>
      <c r="W596" s="333">
        <v>0</v>
      </c>
      <c r="X596" s="333">
        <v>0</v>
      </c>
      <c r="Y596" s="333">
        <v>0</v>
      </c>
      <c r="Z596" s="333">
        <v>0</v>
      </c>
      <c r="AA596" s="333">
        <v>0</v>
      </c>
      <c r="AB596" s="474"/>
      <c r="AC596" s="474"/>
      <c r="AD596" s="474"/>
      <c r="AE596" s="474"/>
      <c r="AF596" s="474"/>
      <c r="AH596"/>
      <c r="AI596"/>
      <c r="AK596" s="310" t="str">
        <v>GigaEthernet (550Mbps)</v>
      </c>
      <c r="AM596" s="333">
        <v>0</v>
      </c>
      <c r="AN596" s="333">
        <v>0</v>
      </c>
      <c r="AO596" s="333">
        <v>0</v>
      </c>
      <c r="AP596" s="333">
        <v>0</v>
      </c>
      <c r="AQ596" s="333">
        <v>0</v>
      </c>
      <c r="AR596" s="333">
        <v>0</v>
      </c>
      <c r="AS596" s="474"/>
      <c r="AT596" s="474"/>
      <c r="AU596" s="474"/>
      <c r="AV596" s="474"/>
      <c r="AW596" s="474"/>
      <c r="AY596"/>
      <c r="AZ596"/>
    </row>
    <row r="597" spans="3:52" s="299" customFormat="1">
      <c r="C597" s="310" t="str">
        <v>GigaEthernet (600Mbps)</v>
      </c>
      <c r="E597" s="333">
        <v>0</v>
      </c>
      <c r="F597" s="333">
        <v>0</v>
      </c>
      <c r="G597" s="333">
        <v>0</v>
      </c>
      <c r="H597" s="333">
        <v>0</v>
      </c>
      <c r="I597" s="333">
        <v>0</v>
      </c>
      <c r="J597" s="333">
        <v>0</v>
      </c>
      <c r="K597" s="473"/>
      <c r="L597" s="473"/>
      <c r="M597" s="473"/>
      <c r="N597" s="473"/>
      <c r="O597" s="473"/>
      <c r="T597" s="310" t="str">
        <v>GigaEthernet (600Mbps)</v>
      </c>
      <c r="V597" s="333">
        <v>0</v>
      </c>
      <c r="W597" s="333">
        <v>0</v>
      </c>
      <c r="X597" s="333">
        <v>0</v>
      </c>
      <c r="Y597" s="333">
        <v>0</v>
      </c>
      <c r="Z597" s="333">
        <v>0</v>
      </c>
      <c r="AA597" s="333">
        <v>0</v>
      </c>
      <c r="AB597" s="474"/>
      <c r="AC597" s="474"/>
      <c r="AD597" s="474"/>
      <c r="AE597" s="474"/>
      <c r="AF597" s="474"/>
      <c r="AH597"/>
      <c r="AI597"/>
      <c r="AK597" s="310" t="str">
        <v>GigaEthernet (600Mbps)</v>
      </c>
      <c r="AM597" s="333">
        <v>0</v>
      </c>
      <c r="AN597" s="333">
        <v>0</v>
      </c>
      <c r="AO597" s="333">
        <v>0</v>
      </c>
      <c r="AP597" s="333">
        <v>0</v>
      </c>
      <c r="AQ597" s="333">
        <v>0</v>
      </c>
      <c r="AR597" s="333">
        <v>0</v>
      </c>
      <c r="AS597" s="474"/>
      <c r="AT597" s="474"/>
      <c r="AU597" s="474"/>
      <c r="AV597" s="474"/>
      <c r="AW597" s="474"/>
      <c r="AY597"/>
      <c r="AZ597"/>
    </row>
    <row r="598" spans="3:52" s="299" customFormat="1">
      <c r="C598" s="310" t="str">
        <v>GigaEthernet (750Mbps)</v>
      </c>
      <c r="E598" s="333">
        <v>0</v>
      </c>
      <c r="F598" s="333">
        <v>0</v>
      </c>
      <c r="G598" s="333">
        <v>0</v>
      </c>
      <c r="H598" s="333">
        <v>0</v>
      </c>
      <c r="I598" s="333">
        <v>0</v>
      </c>
      <c r="J598" s="333">
        <v>0</v>
      </c>
      <c r="K598" s="473"/>
      <c r="L598" s="473"/>
      <c r="M598" s="473"/>
      <c r="N598" s="473"/>
      <c r="O598" s="473"/>
      <c r="T598" s="310" t="str">
        <v>GigaEthernet (750Mbps)</v>
      </c>
      <c r="V598" s="333">
        <v>0</v>
      </c>
      <c r="W598" s="333">
        <v>0</v>
      </c>
      <c r="X598" s="333">
        <v>0</v>
      </c>
      <c r="Y598" s="333">
        <v>0</v>
      </c>
      <c r="Z598" s="333">
        <v>0</v>
      </c>
      <c r="AA598" s="333">
        <v>0</v>
      </c>
      <c r="AB598" s="474"/>
      <c r="AC598" s="474"/>
      <c r="AD598" s="474"/>
      <c r="AE598" s="474"/>
      <c r="AF598" s="474"/>
      <c r="AH598"/>
      <c r="AI598"/>
      <c r="AK598" s="310" t="str">
        <v>GigaEthernet (750Mbps)</v>
      </c>
      <c r="AM598" s="333">
        <v>0</v>
      </c>
      <c r="AN598" s="333">
        <v>0</v>
      </c>
      <c r="AO598" s="333">
        <v>0</v>
      </c>
      <c r="AP598" s="333">
        <v>0</v>
      </c>
      <c r="AQ598" s="333">
        <v>0</v>
      </c>
      <c r="AR598" s="333">
        <v>0</v>
      </c>
      <c r="AS598" s="474"/>
      <c r="AT598" s="474"/>
      <c r="AU598" s="474"/>
      <c r="AV598" s="474"/>
      <c r="AW598" s="474"/>
      <c r="AY598"/>
      <c r="AZ598"/>
    </row>
    <row r="599" spans="3:52" s="299" customFormat="1">
      <c r="C599" s="310" t="str">
        <v>GigaEthernet (1 Gbps)</v>
      </c>
      <c r="E599" s="333">
        <v>0</v>
      </c>
      <c r="F599" s="333">
        <v>0</v>
      </c>
      <c r="G599" s="333">
        <v>0</v>
      </c>
      <c r="H599" s="333">
        <v>0</v>
      </c>
      <c r="I599" s="333">
        <v>0</v>
      </c>
      <c r="J599" s="333">
        <v>0</v>
      </c>
      <c r="K599" s="473"/>
      <c r="L599" s="473"/>
      <c r="M599" s="473"/>
      <c r="N599" s="473"/>
      <c r="O599" s="473"/>
      <c r="T599" s="310" t="str">
        <v>GigaEthernet (1 Gbps)</v>
      </c>
      <c r="V599" s="333">
        <v>0</v>
      </c>
      <c r="W599" s="333">
        <v>0</v>
      </c>
      <c r="X599" s="333">
        <v>0</v>
      </c>
      <c r="Y599" s="333">
        <v>0</v>
      </c>
      <c r="Z599" s="333">
        <v>0</v>
      </c>
      <c r="AA599" s="333">
        <v>0</v>
      </c>
      <c r="AB599" s="474"/>
      <c r="AC599" s="474"/>
      <c r="AD599" s="474"/>
      <c r="AE599" s="474"/>
      <c r="AF599" s="474"/>
      <c r="AH599"/>
      <c r="AI599"/>
      <c r="AK599" s="310" t="str">
        <v>GigaEthernet (1 Gbps)</v>
      </c>
      <c r="AM599" s="333">
        <v>0</v>
      </c>
      <c r="AN599" s="333">
        <v>0</v>
      </c>
      <c r="AO599" s="333">
        <v>0</v>
      </c>
      <c r="AP599" s="333">
        <v>0</v>
      </c>
      <c r="AQ599" s="333">
        <v>0</v>
      </c>
      <c r="AR599" s="333">
        <v>0</v>
      </c>
      <c r="AS599" s="474"/>
      <c r="AT599" s="474"/>
      <c r="AU599" s="474"/>
      <c r="AV599" s="474"/>
      <c r="AW599" s="474"/>
      <c r="AY599"/>
      <c r="AZ599"/>
    </row>
    <row r="600" spans="3:52" s="299" customFormat="1">
      <c r="K600" s="337">
        <f t="shared" ref="K600:O600" si="62">SUM(K562:K599)</f>
        <v>0</v>
      </c>
      <c r="L600" s="337">
        <f t="shared" si="62"/>
        <v>0</v>
      </c>
      <c r="M600" s="337">
        <f t="shared" si="62"/>
        <v>0</v>
      </c>
      <c r="N600" s="337">
        <f t="shared" si="62"/>
        <v>0</v>
      </c>
      <c r="O600" s="337">
        <f t="shared" si="62"/>
        <v>0</v>
      </c>
      <c r="AH600"/>
      <c r="AI600"/>
      <c r="AY600"/>
      <c r="AZ600"/>
    </row>
    <row r="601" spans="3:52" s="299" customFormat="1">
      <c r="AH601"/>
      <c r="AI601"/>
      <c r="AY601"/>
      <c r="AZ601"/>
    </row>
    <row r="602" spans="3:52" s="299" customFormat="1" ht="15">
      <c r="C602" s="332" t="s">
        <v>538</v>
      </c>
      <c r="T602" s="332" t="s">
        <v>538</v>
      </c>
      <c r="AK602" s="332" t="s">
        <v>538</v>
      </c>
      <c r="AY602"/>
      <c r="AZ602"/>
    </row>
    <row r="603" spans="3:52" s="299" customFormat="1" ht="15">
      <c r="C603" s="332" t="s">
        <v>539</v>
      </c>
      <c r="J603" s="299" t="s">
        <v>545</v>
      </c>
      <c r="T603" s="332" t="s">
        <v>539</v>
      </c>
      <c r="AA603" s="299" t="s">
        <v>545</v>
      </c>
      <c r="AK603" s="332" t="s">
        <v>539</v>
      </c>
      <c r="AR603" s="299" t="s">
        <v>545</v>
      </c>
      <c r="AY603"/>
      <c r="AZ603"/>
    </row>
    <row r="604" spans="3:52" s="299" customFormat="1">
      <c r="E604"/>
      <c r="J604" s="299" t="s">
        <v>544</v>
      </c>
      <c r="V604"/>
      <c r="AA604" s="299" t="s">
        <v>544</v>
      </c>
      <c r="AM604"/>
      <c r="AR604" s="299" t="s">
        <v>544</v>
      </c>
      <c r="AY604"/>
      <c r="AZ604"/>
    </row>
    <row r="605" spans="3:52" s="299" customFormat="1">
      <c r="C605" s="338" t="s">
        <v>442</v>
      </c>
      <c r="D605"/>
      <c r="E605" s="338" t="s">
        <v>540</v>
      </c>
      <c r="F605" s="338" t="s">
        <v>541</v>
      </c>
      <c r="G605" s="338" t="s">
        <v>542</v>
      </c>
      <c r="H605" s="338" t="s">
        <v>543</v>
      </c>
      <c r="I605"/>
      <c r="J605" s="338" t="s">
        <v>540</v>
      </c>
      <c r="K605" s="338" t="s">
        <v>541</v>
      </c>
      <c r="L605" s="338" t="s">
        <v>542</v>
      </c>
      <c r="M605" s="338" t="s">
        <v>543</v>
      </c>
      <c r="N605"/>
      <c r="O605"/>
      <c r="T605" s="338" t="s">
        <v>442</v>
      </c>
      <c r="V605" s="338" t="s">
        <v>540</v>
      </c>
      <c r="W605" s="338" t="s">
        <v>541</v>
      </c>
      <c r="X605" s="338" t="s">
        <v>542</v>
      </c>
      <c r="Y605" s="338" t="s">
        <v>543</v>
      </c>
      <c r="AA605" s="338" t="s">
        <v>540</v>
      </c>
      <c r="AB605" s="338" t="s">
        <v>541</v>
      </c>
      <c r="AC605" s="338" t="s">
        <v>542</v>
      </c>
      <c r="AD605" s="338" t="s">
        <v>543</v>
      </c>
      <c r="AK605" s="338" t="s">
        <v>442</v>
      </c>
      <c r="AM605" s="338" t="s">
        <v>540</v>
      </c>
      <c r="AN605" s="338" t="s">
        <v>541</v>
      </c>
      <c r="AO605" s="338" t="s">
        <v>542</v>
      </c>
      <c r="AP605" s="338" t="s">
        <v>543</v>
      </c>
      <c r="AR605" s="338" t="s">
        <v>540</v>
      </c>
      <c r="AS605" s="338" t="s">
        <v>541</v>
      </c>
      <c r="AT605" s="338" t="s">
        <v>542</v>
      </c>
      <c r="AU605" s="338" t="s">
        <v>543</v>
      </c>
      <c r="AY605"/>
      <c r="AZ605"/>
    </row>
    <row r="606" spans="3:52" s="299" customFormat="1">
      <c r="C606" s="310" t="str">
        <f t="array" ref="C606:C643">LL.list</f>
        <v>64 kbps</v>
      </c>
      <c r="E606" s="315">
        <f t="array" ref="E606:H643">$AM606:$AP643</f>
        <v>0.05</v>
      </c>
      <c r="F606" s="315">
        <v>0.2</v>
      </c>
      <c r="G606" s="315">
        <v>0.25</v>
      </c>
      <c r="H606" s="315">
        <v>0.5</v>
      </c>
      <c r="I606"/>
      <c r="J606" s="475">
        <f t="array" ref="J606:J643">IF($J$470:$J$507=0,0,$J109:$J146/$J$470:$J$507)</f>
        <v>0.56928517843746662</v>
      </c>
      <c r="K606" s="475">
        <f t="array" ref="K606:K643">IF($J$470:$J$507=0,0,$J200:$J237/$J$470:$J$507)</f>
        <v>0.27049619547744086</v>
      </c>
      <c r="L606" s="475">
        <f t="array" ref="L606:L643">IF($J$470:$J$507=0,0,$J291:$J328/$J$470:$J$507)</f>
        <v>0.15187588105817668</v>
      </c>
      <c r="M606" s="475">
        <f t="array" ref="M606:M643">IF($J$470:$J$507=0,0,$J382:$J419/$J$470:$J$507)</f>
        <v>8.3427450269160722E-3</v>
      </c>
      <c r="N606" s="339" t="str">
        <f>IF(OR(AND(J470&gt;0,SUM(J606:M606)=1),AND(J470=0,SUM(J606:M606)=0)),"OK","Error")</f>
        <v>OK</v>
      </c>
      <c r="O606"/>
      <c r="T606" s="310" t="str">
        <f t="array" ref="T606:T643">LL.list</f>
        <v>64 kbps</v>
      </c>
      <c r="V606" s="315">
        <f t="array" ref="V606:Y643">$AM606:$AP643</f>
        <v>0.05</v>
      </c>
      <c r="W606" s="315">
        <v>0.2</v>
      </c>
      <c r="X606" s="315">
        <v>0.25</v>
      </c>
      <c r="Y606" s="315">
        <v>0.5</v>
      </c>
      <c r="AA606" s="475">
        <f t="array" ref="AA606:AA643">IF($AA$470:$AA$507=0,0,$AA109:$AA146/$AA$470:$AA$507)</f>
        <v>0.56866776315789469</v>
      </c>
      <c r="AB606" s="475">
        <f t="array" ref="AB606:AB643">IF($AA$470:$AA$507=0,0,$AA200:$AA237/$AA$470:$AA$507)</f>
        <v>0.27055921052631576</v>
      </c>
      <c r="AC606" s="475">
        <f t="array" ref="AC606:AC643">IF($AA$470:$AA$507=0,0,$AA291:$AA328/$AA$470:$AA$507)</f>
        <v>0.15172697368421054</v>
      </c>
      <c r="AD606" s="475">
        <f t="array" ref="AD606:AD643">IF($AA$470:$AA$507=0,0,$AA382:$AA419/$AA$470:$AA$507)</f>
        <v>9.0460526315789477E-3</v>
      </c>
      <c r="AE606" s="339" t="str">
        <f>IF(OR(AND(AA470&gt;0,SUM(AA606:AD606)=1),AND(AA470=0,SUM(AA606:AD606)=0)),"OK","Error")</f>
        <v>OK</v>
      </c>
      <c r="AK606" s="310" t="str">
        <f t="array" ref="AK606:AK643">LL.list</f>
        <v>64 kbps</v>
      </c>
      <c r="AM606" s="340">
        <v>0.05</v>
      </c>
      <c r="AN606" s="340">
        <v>0.2</v>
      </c>
      <c r="AO606" s="340">
        <v>0.25</v>
      </c>
      <c r="AP606" s="340">
        <v>0.5</v>
      </c>
      <c r="AR606" s="475">
        <f t="array" ref="AR606:AR643">IF($AR$470:$AR$507=0,0,$AR109:$AR146/$AR$470:$AR$507)</f>
        <v>0.56897609333766985</v>
      </c>
      <c r="AS606" s="475">
        <f t="array" ref="AS606:AS643">IF($AR$470:$AR$507=0,0,$AR200:$AR237/$AR$470:$AR$507)</f>
        <v>0.27052774152645298</v>
      </c>
      <c r="AT606" s="475">
        <f t="array" ref="AT606:AT643">IF($AR$470:$AR$507=0,0,$AR291:$AR328/$AR$470:$AR$507)</f>
        <v>0.15180133633590365</v>
      </c>
      <c r="AU606" s="475">
        <f t="array" ref="AU606:AU643">IF($AR$470:$AR$507=0,0,$AR382:$AR419/$AR$470:$AR$507)</f>
        <v>8.6948287999736532E-3</v>
      </c>
      <c r="AV606" s="339" t="str">
        <f>IF(OR(AND(AR470&gt;0,SUM(AR606:AU606)=1),AND(AR470=0,SUM(AR606:AU606)=0)),"OK","Error")</f>
        <v>OK</v>
      </c>
    </row>
    <row r="607" spans="3:52" s="299" customFormat="1">
      <c r="C607" s="310" t="str">
        <v>128 kbps</v>
      </c>
      <c r="E607" s="315">
        <v>0.05</v>
      </c>
      <c r="F607" s="315">
        <v>0.2</v>
      </c>
      <c r="G607" s="315">
        <v>0.25</v>
      </c>
      <c r="H607" s="315">
        <v>0.5</v>
      </c>
      <c r="I607"/>
      <c r="J607" s="475">
        <v>0.57422710915083497</v>
      </c>
      <c r="K607" s="475">
        <v>0.30257825240313491</v>
      </c>
      <c r="L607" s="475">
        <v>0.11270135070975912</v>
      </c>
      <c r="M607" s="475">
        <v>1.0493287736270996E-2</v>
      </c>
      <c r="N607" s="339" t="str">
        <f t="shared" ref="N607:N643" si="63">IF(OR(AND(J471&gt;0,SUM(J607:M607)=1),AND(J471=0,SUM(J607:M607)=0)),"OK","Error")</f>
        <v>OK</v>
      </c>
      <c r="O607"/>
      <c r="T607" s="310" t="str">
        <v>128 kbps</v>
      </c>
      <c r="V607" s="315">
        <v>0.05</v>
      </c>
      <c r="W607" s="315">
        <v>0.2</v>
      </c>
      <c r="X607" s="315">
        <v>0.25</v>
      </c>
      <c r="Y607" s="315">
        <v>0.5</v>
      </c>
      <c r="AA607" s="475">
        <v>0.57270233196159126</v>
      </c>
      <c r="AB607" s="475">
        <v>0.30246913580246915</v>
      </c>
      <c r="AC607" s="475">
        <v>0.11316872427983539</v>
      </c>
      <c r="AD607" s="475">
        <v>1.1659807956104253E-2</v>
      </c>
      <c r="AE607" s="339" t="str">
        <f t="shared" ref="AE607:AE643" si="64">IF(OR(AND(AA471&gt;0,SUM(AA607:AD607)=1),AND(AA471=0,SUM(AA607:AD607)=0)),"OK","Error")</f>
        <v>OK</v>
      </c>
      <c r="AK607" s="310" t="str">
        <v>128 kbps</v>
      </c>
      <c r="AM607" s="340">
        <v>0.05</v>
      </c>
      <c r="AN607" s="340">
        <v>0.2</v>
      </c>
      <c r="AO607" s="340">
        <v>0.25</v>
      </c>
      <c r="AP607" s="340">
        <v>0.5</v>
      </c>
      <c r="AR607" s="475">
        <v>0.57346349237971905</v>
      </c>
      <c r="AS607" s="475">
        <v>0.30252360621163671</v>
      </c>
      <c r="AT607" s="475">
        <v>0.1129354139545428</v>
      </c>
      <c r="AU607" s="475">
        <v>1.1077487454101418E-2</v>
      </c>
      <c r="AV607" s="339" t="str">
        <f t="shared" ref="AV607:AV643" si="65">IF(OR(AND(AR471&gt;0,SUM(AR607:AU607)=1),AND(AR471=0,SUM(AR607:AU607)=0)),"OK","Error")</f>
        <v>OK</v>
      </c>
    </row>
    <row r="608" spans="3:52" s="299" customFormat="1">
      <c r="C608" s="310" t="str">
        <v>192 kbps</v>
      </c>
      <c r="E608" s="315">
        <v>0.05</v>
      </c>
      <c r="F608" s="315">
        <v>0.2</v>
      </c>
      <c r="G608" s="315">
        <v>0.25</v>
      </c>
      <c r="H608" s="315">
        <v>0.5</v>
      </c>
      <c r="I608"/>
      <c r="J608" s="475">
        <v>0.570092881167649</v>
      </c>
      <c r="K608" s="475">
        <v>0.20563458512049862</v>
      </c>
      <c r="L608" s="475">
        <v>0.17588792544820564</v>
      </c>
      <c r="M608" s="475">
        <v>4.8384608263646746E-2</v>
      </c>
      <c r="N608" s="339" t="str">
        <f t="shared" si="63"/>
        <v>OK</v>
      </c>
      <c r="O608"/>
      <c r="T608" s="310" t="str">
        <v>192 kbps</v>
      </c>
      <c r="V608" s="315">
        <v>0.05</v>
      </c>
      <c r="W608" s="315">
        <v>0.2</v>
      </c>
      <c r="X608" s="315">
        <v>0.25</v>
      </c>
      <c r="Y608" s="315">
        <v>0.5</v>
      </c>
      <c r="AA608" s="475">
        <v>0.56748466257668717</v>
      </c>
      <c r="AB608" s="475">
        <v>0.20858895705521471</v>
      </c>
      <c r="AC608" s="475">
        <v>0.17484662576687116</v>
      </c>
      <c r="AD608" s="475">
        <v>4.9079754601226995E-2</v>
      </c>
      <c r="AE608" s="339" t="str">
        <f t="shared" si="64"/>
        <v>OK</v>
      </c>
      <c r="AK608" s="310" t="str">
        <v>192 kbps</v>
      </c>
      <c r="AM608" s="340">
        <v>0.05</v>
      </c>
      <c r="AN608" s="340">
        <v>0.2</v>
      </c>
      <c r="AO608" s="340">
        <v>0.25</v>
      </c>
      <c r="AP608" s="340">
        <v>0.5</v>
      </c>
      <c r="AR608" s="475">
        <v>0.5687849000876829</v>
      </c>
      <c r="AS608" s="475">
        <v>0.20711615672158382</v>
      </c>
      <c r="AT608" s="475">
        <v>0.17536572984447829</v>
      </c>
      <c r="AU608" s="475">
        <v>4.8733213346255022E-2</v>
      </c>
      <c r="AV608" s="339" t="str">
        <f t="shared" si="65"/>
        <v>OK</v>
      </c>
    </row>
    <row r="609" spans="3:48" s="299" customFormat="1">
      <c r="C609" s="310" t="str">
        <v>256 kbps</v>
      </c>
      <c r="E609" s="315">
        <v>0.05</v>
      </c>
      <c r="F609" s="315">
        <v>0.2</v>
      </c>
      <c r="G609" s="315">
        <v>0.25</v>
      </c>
      <c r="H609" s="315">
        <v>0.5</v>
      </c>
      <c r="I609"/>
      <c r="J609" s="475">
        <v>0.59610179782449857</v>
      </c>
      <c r="K609" s="475">
        <v>0.25726281991911326</v>
      </c>
      <c r="L609" s="475">
        <v>0.14150021096395088</v>
      </c>
      <c r="M609" s="475">
        <v>5.1351712924371995E-3</v>
      </c>
      <c r="N609" s="339" t="str">
        <f t="shared" si="63"/>
        <v>OK</v>
      </c>
      <c r="O609"/>
      <c r="T609" s="310" t="str">
        <v>256 kbps</v>
      </c>
      <c r="V609" s="315">
        <v>0.05</v>
      </c>
      <c r="W609" s="315">
        <v>0.2</v>
      </c>
      <c r="X609" s="315">
        <v>0.25</v>
      </c>
      <c r="Y609" s="315">
        <v>0.5</v>
      </c>
      <c r="AA609" s="475">
        <v>0.59589743589743593</v>
      </c>
      <c r="AB609" s="475">
        <v>0.25743589743589745</v>
      </c>
      <c r="AC609" s="475">
        <v>0.14153846153846153</v>
      </c>
      <c r="AD609" s="475">
        <v>5.1282051282051282E-3</v>
      </c>
      <c r="AE609" s="339" t="str">
        <f t="shared" si="64"/>
        <v>OK</v>
      </c>
      <c r="AK609" s="310" t="str">
        <v>256 kbps</v>
      </c>
      <c r="AM609" s="340">
        <v>0.05</v>
      </c>
      <c r="AN609" s="340">
        <v>0.2</v>
      </c>
      <c r="AO609" s="340">
        <v>0.25</v>
      </c>
      <c r="AP609" s="340">
        <v>0.5</v>
      </c>
      <c r="AR609" s="475">
        <v>0.59599944522352866</v>
      </c>
      <c r="AS609" s="475">
        <v>0.25734950404010826</v>
      </c>
      <c r="AT609" s="475">
        <v>0.14151936837671378</v>
      </c>
      <c r="AU609" s="475">
        <v>5.1316823596492577E-3</v>
      </c>
      <c r="AV609" s="339" t="str">
        <f t="shared" si="65"/>
        <v>OK</v>
      </c>
    </row>
    <row r="610" spans="3:48" s="299" customFormat="1">
      <c r="C610" s="310" t="str">
        <v>384 kbps</v>
      </c>
      <c r="E610" s="315">
        <v>0.05</v>
      </c>
      <c r="F610" s="315">
        <v>0.2</v>
      </c>
      <c r="G610" s="315">
        <v>0.25</v>
      </c>
      <c r="H610" s="315">
        <v>0.5</v>
      </c>
      <c r="I610"/>
      <c r="J610" s="475">
        <v>0.65880594322238117</v>
      </c>
      <c r="K610" s="475">
        <v>0.20734268888287519</v>
      </c>
      <c r="L610" s="475">
        <v>0.13370961714410901</v>
      </c>
      <c r="M610" s="475">
        <v>1.4175075063465689E-4</v>
      </c>
      <c r="N610" s="339" t="str">
        <f t="shared" si="63"/>
        <v>OK</v>
      </c>
      <c r="O610"/>
      <c r="T610" s="310" t="str">
        <v>384 kbps</v>
      </c>
      <c r="V610" s="315">
        <v>0.05</v>
      </c>
      <c r="W610" s="315">
        <v>0.2</v>
      </c>
      <c r="X610" s="315">
        <v>0.25</v>
      </c>
      <c r="Y610" s="315">
        <v>0.5</v>
      </c>
      <c r="AA610" s="475">
        <v>0.65853658536585369</v>
      </c>
      <c r="AB610" s="475">
        <v>0.20667522464698332</v>
      </c>
      <c r="AC610" s="475">
        <v>0.13350449293966624</v>
      </c>
      <c r="AD610" s="475">
        <v>1.2836970474967907E-3</v>
      </c>
      <c r="AE610" s="339" t="str">
        <f t="shared" si="64"/>
        <v>OK</v>
      </c>
      <c r="AK610" s="310" t="str">
        <v>384 kbps</v>
      </c>
      <c r="AM610" s="340">
        <v>0.05</v>
      </c>
      <c r="AN610" s="340">
        <v>0.2</v>
      </c>
      <c r="AO610" s="340">
        <v>0.25</v>
      </c>
      <c r="AP610" s="340">
        <v>0.5</v>
      </c>
      <c r="AR610" s="475">
        <v>0.65867100533115552</v>
      </c>
      <c r="AS610" s="475">
        <v>0.20700831505906717</v>
      </c>
      <c r="AT610" s="475">
        <v>0.13360685783371171</v>
      </c>
      <c r="AU610" s="475">
        <v>7.1382177606574889E-4</v>
      </c>
      <c r="AV610" s="339" t="str">
        <f t="shared" si="65"/>
        <v>OK</v>
      </c>
    </row>
    <row r="611" spans="3:48" s="299" customFormat="1">
      <c r="C611" s="310" t="str">
        <v>512 kbps</v>
      </c>
      <c r="E611" s="315">
        <v>0.05</v>
      </c>
      <c r="F611" s="315">
        <v>0.2</v>
      </c>
      <c r="G611" s="315">
        <v>0.25</v>
      </c>
      <c r="H611" s="315">
        <v>0.5</v>
      </c>
      <c r="I611"/>
      <c r="J611" s="475">
        <v>0.47593220338983055</v>
      </c>
      <c r="K611" s="475">
        <v>0.36171105730427761</v>
      </c>
      <c r="L611" s="475">
        <v>0.16145278450363199</v>
      </c>
      <c r="M611" s="475">
        <v>9.039548022598871E-4</v>
      </c>
      <c r="N611" s="339" t="str">
        <f t="shared" si="63"/>
        <v>OK</v>
      </c>
      <c r="O611"/>
      <c r="T611" s="310" t="str">
        <v>512 kbps</v>
      </c>
      <c r="V611" s="315">
        <v>0.05</v>
      </c>
      <c r="W611" s="315">
        <v>0.2</v>
      </c>
      <c r="X611" s="315">
        <v>0.25</v>
      </c>
      <c r="Y611" s="315">
        <v>0.5</v>
      </c>
      <c r="AA611" s="475">
        <v>0.47275641025641024</v>
      </c>
      <c r="AB611" s="475">
        <v>0.36217948717948717</v>
      </c>
      <c r="AC611" s="475">
        <v>0.16346153846153846</v>
      </c>
      <c r="AD611" s="475">
        <v>1.6025641025641025E-3</v>
      </c>
      <c r="AE611" s="339" t="str">
        <f t="shared" si="64"/>
        <v>OK</v>
      </c>
      <c r="AK611" s="310" t="str">
        <v>512 kbps</v>
      </c>
      <c r="AM611" s="340">
        <v>0.05</v>
      </c>
      <c r="AN611" s="340">
        <v>0.2</v>
      </c>
      <c r="AO611" s="340">
        <v>0.25</v>
      </c>
      <c r="AP611" s="340">
        <v>0.5</v>
      </c>
      <c r="AR611" s="475">
        <v>0.47433856051467632</v>
      </c>
      <c r="AS611" s="475">
        <v>0.36194611982308</v>
      </c>
      <c r="AT611" s="475">
        <v>0.16246079613992764</v>
      </c>
      <c r="AU611" s="475">
        <v>1.2545235223160435E-3</v>
      </c>
      <c r="AV611" s="339" t="str">
        <f t="shared" si="65"/>
        <v>OK</v>
      </c>
    </row>
    <row r="612" spans="3:48" s="299" customFormat="1">
      <c r="C612" s="310" t="str">
        <v>768 kbps</v>
      </c>
      <c r="E612" s="315">
        <v>0.05</v>
      </c>
      <c r="F612" s="315">
        <v>0.2</v>
      </c>
      <c r="G612" s="315">
        <v>0.25</v>
      </c>
      <c r="H612" s="315">
        <v>0.5</v>
      </c>
      <c r="I612"/>
      <c r="J612" s="475">
        <v>0.5101696345683181</v>
      </c>
      <c r="K612" s="475">
        <v>0.27462233099839645</v>
      </c>
      <c r="L612" s="475">
        <v>0.21503924381804371</v>
      </c>
      <c r="M612" s="475">
        <v>1.6879061524179272E-4</v>
      </c>
      <c r="N612" s="339" t="str">
        <f t="shared" si="63"/>
        <v>OK</v>
      </c>
      <c r="O612"/>
      <c r="T612" s="310" t="str">
        <v>768 kbps</v>
      </c>
      <c r="V612" s="315">
        <v>0.05</v>
      </c>
      <c r="W612" s="315">
        <v>0.2</v>
      </c>
      <c r="X612" s="315">
        <v>0.25</v>
      </c>
      <c r="Y612" s="315">
        <v>0.5</v>
      </c>
      <c r="AA612" s="475">
        <v>0.50819672131147542</v>
      </c>
      <c r="AB612" s="475">
        <v>0.27049180327868855</v>
      </c>
      <c r="AC612" s="475">
        <v>0.21311475409836064</v>
      </c>
      <c r="AD612" s="475">
        <v>8.1967213114754103E-3</v>
      </c>
      <c r="AE612" s="339" t="str">
        <f t="shared" si="64"/>
        <v>OK</v>
      </c>
      <c r="AK612" s="310" t="str">
        <v>768 kbps</v>
      </c>
      <c r="AM612" s="340">
        <v>0.05</v>
      </c>
      <c r="AN612" s="340">
        <v>0.2</v>
      </c>
      <c r="AO612" s="340">
        <v>0.25</v>
      </c>
      <c r="AP612" s="340">
        <v>0.5</v>
      </c>
      <c r="AR612" s="475">
        <v>0.50916878040666969</v>
      </c>
      <c r="AS612" s="475">
        <v>0.27252692419643226</v>
      </c>
      <c r="AT612" s="475">
        <v>0.21406295480061538</v>
      </c>
      <c r="AU612" s="475">
        <v>4.2413405962825898E-3</v>
      </c>
      <c r="AV612" s="339" t="str">
        <f t="shared" si="65"/>
        <v>OK</v>
      </c>
    </row>
    <row r="613" spans="3:48" s="299" customFormat="1">
      <c r="C613" s="310" t="str">
        <v>1024 kbps</v>
      </c>
      <c r="E613" s="315">
        <v>0.05</v>
      </c>
      <c r="F613" s="315">
        <v>0.2</v>
      </c>
      <c r="G613" s="315">
        <v>0.25</v>
      </c>
      <c r="H613" s="315">
        <v>0.5</v>
      </c>
      <c r="I613"/>
      <c r="J613" s="475">
        <v>0.35878363596587176</v>
      </c>
      <c r="K613" s="475">
        <v>0.31349814045066726</v>
      </c>
      <c r="L613" s="475">
        <v>0.3281557646029315</v>
      </c>
      <c r="M613" s="475">
        <v>-4.3754101947057576E-4</v>
      </c>
      <c r="N613" s="339" t="str">
        <f t="shared" si="63"/>
        <v>OK</v>
      </c>
      <c r="O613"/>
      <c r="T613" s="310" t="str">
        <v>1024 kbps</v>
      </c>
      <c r="V613" s="315">
        <v>0.05</v>
      </c>
      <c r="W613" s="315">
        <v>0.2</v>
      </c>
      <c r="X613" s="315">
        <v>0.25</v>
      </c>
      <c r="Y613" s="315">
        <v>0.5</v>
      </c>
      <c r="AA613" s="475">
        <v>0.35483870967741937</v>
      </c>
      <c r="AB613" s="475">
        <v>0.31182795698924731</v>
      </c>
      <c r="AC613" s="475">
        <v>0.32258064516129031</v>
      </c>
      <c r="AD613" s="475">
        <v>1.0752688172043012E-2</v>
      </c>
      <c r="AE613" s="339" t="str">
        <f t="shared" si="64"/>
        <v>OK</v>
      </c>
      <c r="AK613" s="310" t="str">
        <v>1024 kbps</v>
      </c>
      <c r="AM613" s="340">
        <v>0.05</v>
      </c>
      <c r="AN613" s="340">
        <v>0.2</v>
      </c>
      <c r="AO613" s="340">
        <v>0.25</v>
      </c>
      <c r="AP613" s="340">
        <v>0.5</v>
      </c>
      <c r="AR613" s="475">
        <v>0.35679427393991969</v>
      </c>
      <c r="AS613" s="475">
        <v>0.31265589415464701</v>
      </c>
      <c r="AT613" s="475">
        <v>0.3253443227415681</v>
      </c>
      <c r="AU613" s="475">
        <v>5.2055091638650896E-3</v>
      </c>
      <c r="AV613" s="339" t="str">
        <f t="shared" si="65"/>
        <v>OK</v>
      </c>
    </row>
    <row r="614" spans="3:48" s="299" customFormat="1">
      <c r="C614" s="331" t="str">
        <v>E1 (2.04 Mbps)</v>
      </c>
      <c r="E614" s="315">
        <v>0.05</v>
      </c>
      <c r="F614" s="315">
        <v>0.2</v>
      </c>
      <c r="G614" s="315">
        <v>0.25</v>
      </c>
      <c r="H614" s="315">
        <v>0.5</v>
      </c>
      <c r="I614"/>
      <c r="J614" s="475">
        <v>0.43600192804872706</v>
      </c>
      <c r="K614" s="475">
        <v>0.33118618816002826</v>
      </c>
      <c r="L614" s="475">
        <v>0.2249244117260415</v>
      </c>
      <c r="M614" s="475">
        <v>7.8874720652031029E-3</v>
      </c>
      <c r="N614" s="339" t="str">
        <f t="shared" si="63"/>
        <v>OK</v>
      </c>
      <c r="O614"/>
      <c r="T614" s="331" t="str">
        <v>E1 (2.04 Mbps)</v>
      </c>
      <c r="V614" s="315">
        <v>0.05</v>
      </c>
      <c r="W614" s="315">
        <v>0.2</v>
      </c>
      <c r="X614" s="315">
        <v>0.25</v>
      </c>
      <c r="Y614" s="315">
        <v>0.5</v>
      </c>
      <c r="AA614" s="475">
        <v>0.62223501356796318</v>
      </c>
      <c r="AB614" s="475">
        <v>0.22448811775347421</v>
      </c>
      <c r="AC614" s="475">
        <v>0.15261902804045721</v>
      </c>
      <c r="AD614" s="475">
        <v>6.5784063810541901E-4</v>
      </c>
      <c r="AE614" s="339" t="str">
        <f t="shared" si="64"/>
        <v>OK</v>
      </c>
      <c r="AK614" s="331" t="str">
        <v>E1 (2.04 Mbps)</v>
      </c>
      <c r="AM614" s="340">
        <v>0.05</v>
      </c>
      <c r="AN614" s="340">
        <v>0.2</v>
      </c>
      <c r="AO614" s="340">
        <v>0.25</v>
      </c>
      <c r="AP614" s="340">
        <v>0.5</v>
      </c>
      <c r="AR614" s="475">
        <v>0.60923187066691953</v>
      </c>
      <c r="AS614" s="475">
        <v>0.2319379769065554</v>
      </c>
      <c r="AT614" s="475">
        <v>0.15766752537892462</v>
      </c>
      <c r="AU614" s="475">
        <v>1.1626270476003989E-3</v>
      </c>
      <c r="AV614" s="339" t="str">
        <f t="shared" si="65"/>
        <v>OK</v>
      </c>
    </row>
    <row r="615" spans="3:48" s="299" customFormat="1">
      <c r="C615" s="331" t="str">
        <v>E2 *</v>
      </c>
      <c r="E615" s="315">
        <v>0.05</v>
      </c>
      <c r="F615" s="315">
        <v>0.2</v>
      </c>
      <c r="G615" s="315">
        <v>0.25</v>
      </c>
      <c r="H615" s="315">
        <v>0.5</v>
      </c>
      <c r="I615"/>
      <c r="J615" s="475">
        <v>0</v>
      </c>
      <c r="K615" s="475">
        <v>0</v>
      </c>
      <c r="L615" s="475">
        <v>0</v>
      </c>
      <c r="M615" s="475">
        <v>0</v>
      </c>
      <c r="N615" s="339" t="str">
        <f t="shared" si="63"/>
        <v>OK</v>
      </c>
      <c r="O615"/>
      <c r="T615" s="331" t="str">
        <v>E2 *</v>
      </c>
      <c r="V615" s="315">
        <v>0.05</v>
      </c>
      <c r="W615" s="315">
        <v>0.2</v>
      </c>
      <c r="X615" s="315">
        <v>0.25</v>
      </c>
      <c r="Y615" s="315">
        <v>0.5</v>
      </c>
      <c r="AA615" s="475">
        <v>0</v>
      </c>
      <c r="AB615" s="475">
        <v>0</v>
      </c>
      <c r="AC615" s="475">
        <v>0</v>
      </c>
      <c r="AD615" s="475">
        <v>0</v>
      </c>
      <c r="AE615" s="339" t="str">
        <f t="shared" si="64"/>
        <v>OK</v>
      </c>
      <c r="AK615" s="331" t="str">
        <v>E2 *</v>
      </c>
      <c r="AM615" s="340">
        <v>0.05</v>
      </c>
      <c r="AN615" s="340">
        <v>0.2</v>
      </c>
      <c r="AO615" s="340">
        <v>0.25</v>
      </c>
      <c r="AP615" s="340">
        <v>0.5</v>
      </c>
      <c r="AR615" s="475">
        <v>0</v>
      </c>
      <c r="AS615" s="475">
        <v>0</v>
      </c>
      <c r="AT615" s="475">
        <v>0</v>
      </c>
      <c r="AU615" s="475">
        <v>0</v>
      </c>
      <c r="AV615" s="339" t="str">
        <f t="shared" si="65"/>
        <v>OK</v>
      </c>
    </row>
    <row r="616" spans="3:48" s="299" customFormat="1">
      <c r="C616" s="331" t="str">
        <v>E3 (34 Mbps)</v>
      </c>
      <c r="E616" s="315">
        <v>0.05</v>
      </c>
      <c r="F616" s="315">
        <v>0.2</v>
      </c>
      <c r="G616" s="315">
        <v>0.25</v>
      </c>
      <c r="H616" s="315">
        <v>0.5</v>
      </c>
      <c r="I616"/>
      <c r="J616" s="475">
        <v>0.59179070816418589</v>
      </c>
      <c r="K616" s="475">
        <v>0.24898511502029774</v>
      </c>
      <c r="L616" s="475">
        <v>0.16689219666215616</v>
      </c>
      <c r="M616" s="475">
        <v>-7.6680198466396064E-3</v>
      </c>
      <c r="N616" s="339" t="str">
        <f t="shared" si="63"/>
        <v>OK</v>
      </c>
      <c r="O616"/>
      <c r="T616" s="331" t="str">
        <v>E3 (34 Mbps)</v>
      </c>
      <c r="V616" s="315">
        <v>0.05</v>
      </c>
      <c r="W616" s="315">
        <v>0.2</v>
      </c>
      <c r="X616" s="315">
        <v>0.25</v>
      </c>
      <c r="Y616" s="315">
        <v>0.5</v>
      </c>
      <c r="AA616" s="475">
        <v>0.56000000000000005</v>
      </c>
      <c r="AB616" s="475">
        <v>0.24</v>
      </c>
      <c r="AC616" s="475">
        <v>0.16</v>
      </c>
      <c r="AD616" s="475">
        <v>0.04</v>
      </c>
      <c r="AE616" s="339" t="str">
        <f t="shared" si="64"/>
        <v>OK</v>
      </c>
      <c r="AK616" s="331" t="str">
        <v>E3 (34 Mbps)</v>
      </c>
      <c r="AM616" s="340">
        <v>0.05</v>
      </c>
      <c r="AN616" s="340">
        <v>0.2</v>
      </c>
      <c r="AO616" s="340">
        <v>0.25</v>
      </c>
      <c r="AP616" s="340">
        <v>0.5</v>
      </c>
      <c r="AR616" s="475">
        <v>0.57494170023319902</v>
      </c>
      <c r="AS616" s="475">
        <v>0.24422302310790756</v>
      </c>
      <c r="AT616" s="475">
        <v>0.16323934704261184</v>
      </c>
      <c r="AU616" s="475">
        <v>1.7595929616281532E-2</v>
      </c>
      <c r="AV616" s="339" t="str">
        <f t="shared" si="65"/>
        <v>OK</v>
      </c>
    </row>
    <row r="617" spans="3:48" s="299" customFormat="1">
      <c r="C617" s="331" t="str">
        <v>STM-1 (155 Mbps)</v>
      </c>
      <c r="E617" s="315">
        <v>0.05</v>
      </c>
      <c r="F617" s="315">
        <v>0.2</v>
      </c>
      <c r="G617" s="315">
        <v>0.25</v>
      </c>
      <c r="H617" s="315">
        <v>0.5</v>
      </c>
      <c r="I617"/>
      <c r="J617" s="475">
        <v>0</v>
      </c>
      <c r="K617" s="475">
        <v>0</v>
      </c>
      <c r="L617" s="475">
        <v>0</v>
      </c>
      <c r="M617" s="475">
        <v>0</v>
      </c>
      <c r="N617" s="339" t="str">
        <f t="shared" si="63"/>
        <v>OK</v>
      </c>
      <c r="O617"/>
      <c r="T617" s="331" t="str">
        <v>STM-1 (155 Mbps)</v>
      </c>
      <c r="V617" s="315">
        <v>0.05</v>
      </c>
      <c r="W617" s="315">
        <v>0.2</v>
      </c>
      <c r="X617" s="315">
        <v>0.25</v>
      </c>
      <c r="Y617" s="315">
        <v>0.5</v>
      </c>
      <c r="AA617" s="475">
        <v>0.13333333333333333</v>
      </c>
      <c r="AB617" s="475">
        <v>0.20947176684881602</v>
      </c>
      <c r="AC617" s="475">
        <v>0.65719489981785062</v>
      </c>
      <c r="AD617" s="475">
        <v>0</v>
      </c>
      <c r="AE617" s="339" t="str">
        <f t="shared" si="64"/>
        <v>OK</v>
      </c>
      <c r="AK617" s="331" t="str">
        <v>STM-1 (155 Mbps)</v>
      </c>
      <c r="AM617" s="340">
        <v>0.05</v>
      </c>
      <c r="AN617" s="340">
        <v>0.2</v>
      </c>
      <c r="AO617" s="340">
        <v>0.25</v>
      </c>
      <c r="AP617" s="340">
        <v>0.5</v>
      </c>
      <c r="AR617" s="475">
        <v>0.13333333333333333</v>
      </c>
      <c r="AS617" s="475">
        <v>0.20947176684881602</v>
      </c>
      <c r="AT617" s="475">
        <v>0.65719489981785062</v>
      </c>
      <c r="AU617" s="475">
        <v>0</v>
      </c>
      <c r="AV617" s="339" t="str">
        <f t="shared" si="65"/>
        <v>OK</v>
      </c>
    </row>
    <row r="618" spans="3:48" s="299" customFormat="1">
      <c r="C618" s="310" t="str">
        <v>STM-4 (622.08 Mbps)</v>
      </c>
      <c r="E618" s="315">
        <v>0.05</v>
      </c>
      <c r="F618" s="315">
        <v>0.2</v>
      </c>
      <c r="G618" s="315">
        <v>0.25</v>
      </c>
      <c r="H618" s="315">
        <v>0.5</v>
      </c>
      <c r="I618"/>
      <c r="J618" s="475">
        <v>0</v>
      </c>
      <c r="K618" s="475">
        <v>0</v>
      </c>
      <c r="L618" s="475">
        <v>0</v>
      </c>
      <c r="M618" s="475">
        <v>0</v>
      </c>
      <c r="N618" s="339" t="str">
        <f t="shared" si="63"/>
        <v>OK</v>
      </c>
      <c r="O618"/>
      <c r="T618" s="310" t="str">
        <v>STM-4 (622.08 Mbps)</v>
      </c>
      <c r="V618" s="315">
        <v>0.05</v>
      </c>
      <c r="W618" s="315">
        <v>0.2</v>
      </c>
      <c r="X618" s="315">
        <v>0.25</v>
      </c>
      <c r="Y618" s="315">
        <v>0.5</v>
      </c>
      <c r="AA618" s="475">
        <v>1</v>
      </c>
      <c r="AB618" s="475">
        <v>0</v>
      </c>
      <c r="AC618" s="475">
        <v>0</v>
      </c>
      <c r="AD618" s="475">
        <v>0</v>
      </c>
      <c r="AE618" s="339" t="str">
        <f t="shared" si="64"/>
        <v>OK</v>
      </c>
      <c r="AK618" s="310" t="str">
        <v>STM-4 (622.08 Mbps)</v>
      </c>
      <c r="AM618" s="340">
        <v>0.05</v>
      </c>
      <c r="AN618" s="340">
        <v>0.2</v>
      </c>
      <c r="AO618" s="340">
        <v>0.25</v>
      </c>
      <c r="AP618" s="340">
        <v>0.5</v>
      </c>
      <c r="AR618" s="475">
        <v>1</v>
      </c>
      <c r="AS618" s="475">
        <v>0</v>
      </c>
      <c r="AT618" s="475">
        <v>0</v>
      </c>
      <c r="AU618" s="475">
        <v>0</v>
      </c>
      <c r="AV618" s="339" t="str">
        <f>IF(OR(AND(AR482&gt;0,SUM(AR618:AU618)=1),AND(AR482=0,SUM(AR618:AU618)=0)),"OK","Error")</f>
        <v>OK</v>
      </c>
    </row>
    <row r="619" spans="3:48" s="299" customFormat="1">
      <c r="C619" s="310" t="str">
        <v>STM-16 (2488.32Mbps)</v>
      </c>
      <c r="E619" s="315">
        <v>0.05</v>
      </c>
      <c r="F619" s="315">
        <v>0.2</v>
      </c>
      <c r="G619" s="315">
        <v>0.25</v>
      </c>
      <c r="H619" s="315">
        <v>0.5</v>
      </c>
      <c r="I619"/>
      <c r="J619" s="475">
        <v>0</v>
      </c>
      <c r="K619" s="475">
        <v>0</v>
      </c>
      <c r="L619" s="475">
        <v>0</v>
      </c>
      <c r="M619" s="475">
        <v>0</v>
      </c>
      <c r="N619" s="339" t="str">
        <f t="shared" si="63"/>
        <v>OK</v>
      </c>
      <c r="O619"/>
      <c r="T619" s="310" t="str">
        <v>STM-16 (2488.32Mbps)</v>
      </c>
      <c r="V619" s="315">
        <v>0.05</v>
      </c>
      <c r="W619" s="315">
        <v>0.2</v>
      </c>
      <c r="X619" s="315">
        <v>0.25</v>
      </c>
      <c r="Y619" s="315">
        <v>0.5</v>
      </c>
      <c r="AA619" s="475">
        <v>0</v>
      </c>
      <c r="AB619" s="475">
        <v>0</v>
      </c>
      <c r="AC619" s="475">
        <v>0</v>
      </c>
      <c r="AD619" s="475">
        <v>0</v>
      </c>
      <c r="AE619" s="339" t="str">
        <f t="shared" si="64"/>
        <v>OK</v>
      </c>
      <c r="AK619" s="310" t="str">
        <v>STM-16 (2488.32Mbps)</v>
      </c>
      <c r="AM619" s="340">
        <v>0.05</v>
      </c>
      <c r="AN619" s="340">
        <v>0.2</v>
      </c>
      <c r="AO619" s="340">
        <v>0.25</v>
      </c>
      <c r="AP619" s="340">
        <v>0.5</v>
      </c>
      <c r="AR619" s="475">
        <v>0</v>
      </c>
      <c r="AS619" s="475">
        <v>0</v>
      </c>
      <c r="AT619" s="475">
        <v>0</v>
      </c>
      <c r="AU619" s="475">
        <v>0</v>
      </c>
      <c r="AV619" s="339" t="str">
        <f t="shared" si="65"/>
        <v>OK</v>
      </c>
    </row>
    <row r="620" spans="3:48" s="299" customFormat="1">
      <c r="C620" s="310" t="str">
        <v>STM-64 (9953.28Mbps)</v>
      </c>
      <c r="E620" s="315">
        <v>0.05</v>
      </c>
      <c r="F620" s="315">
        <v>0.2</v>
      </c>
      <c r="G620" s="315">
        <v>0.25</v>
      </c>
      <c r="H620" s="315">
        <v>0.5</v>
      </c>
      <c r="I620"/>
      <c r="J620" s="475">
        <v>0</v>
      </c>
      <c r="K620" s="475">
        <v>0</v>
      </c>
      <c r="L620" s="475">
        <v>0</v>
      </c>
      <c r="M620" s="475">
        <v>0</v>
      </c>
      <c r="N620" s="339" t="str">
        <f t="shared" si="63"/>
        <v>OK</v>
      </c>
      <c r="O620"/>
      <c r="T620" s="310" t="str">
        <v>STM-64 (9953.28Mbps)</v>
      </c>
      <c r="V620" s="315">
        <v>0.05</v>
      </c>
      <c r="W620" s="315">
        <v>0.2</v>
      </c>
      <c r="X620" s="315">
        <v>0.25</v>
      </c>
      <c r="Y620" s="315">
        <v>0.5</v>
      </c>
      <c r="AA620" s="475">
        <v>0</v>
      </c>
      <c r="AB620" s="475">
        <v>0</v>
      </c>
      <c r="AC620" s="475">
        <v>0</v>
      </c>
      <c r="AD620" s="475">
        <v>0</v>
      </c>
      <c r="AE620" s="339" t="str">
        <f t="shared" si="64"/>
        <v>OK</v>
      </c>
      <c r="AK620" s="310" t="str">
        <v>STM-64 (9953.28Mbps)</v>
      </c>
      <c r="AM620" s="340">
        <v>0.05</v>
      </c>
      <c r="AN620" s="340">
        <v>0.2</v>
      </c>
      <c r="AO620" s="340">
        <v>0.25</v>
      </c>
      <c r="AP620" s="340">
        <v>0.5</v>
      </c>
      <c r="AR620" s="475">
        <v>0</v>
      </c>
      <c r="AS620" s="475">
        <v>0</v>
      </c>
      <c r="AT620" s="475">
        <v>0</v>
      </c>
      <c r="AU620" s="475">
        <v>0</v>
      </c>
      <c r="AV620" s="339" t="str">
        <f t="shared" si="65"/>
        <v>OK</v>
      </c>
    </row>
    <row r="621" spans="3:48" s="299" customFormat="1">
      <c r="C621" s="310" t="str">
        <v>STM-256 (39813.12 Mbps)*</v>
      </c>
      <c r="E621" s="315">
        <v>0.05</v>
      </c>
      <c r="F621" s="315">
        <v>0.2</v>
      </c>
      <c r="G621" s="315">
        <v>0.25</v>
      </c>
      <c r="H621" s="315">
        <v>0.5</v>
      </c>
      <c r="I621"/>
      <c r="J621" s="475">
        <v>0</v>
      </c>
      <c r="K621" s="475">
        <v>0</v>
      </c>
      <c r="L621" s="475">
        <v>0</v>
      </c>
      <c r="M621" s="475">
        <v>0</v>
      </c>
      <c r="N621" s="339" t="str">
        <f t="shared" si="63"/>
        <v>OK</v>
      </c>
      <c r="O621"/>
      <c r="T621" s="310" t="str">
        <v>STM-256 (39813.12 Mbps)*</v>
      </c>
      <c r="V621" s="315">
        <v>0.05</v>
      </c>
      <c r="W621" s="315">
        <v>0.2</v>
      </c>
      <c r="X621" s="315">
        <v>0.25</v>
      </c>
      <c r="Y621" s="315">
        <v>0.5</v>
      </c>
      <c r="AA621" s="475">
        <v>0</v>
      </c>
      <c r="AB621" s="475">
        <v>0</v>
      </c>
      <c r="AC621" s="475">
        <v>0</v>
      </c>
      <c r="AD621" s="475">
        <v>0</v>
      </c>
      <c r="AE621" s="339" t="str">
        <f t="shared" si="64"/>
        <v>OK</v>
      </c>
      <c r="AK621" s="310" t="str">
        <v>STM-256 (39813.12 Mbps)*</v>
      </c>
      <c r="AM621" s="340">
        <v>0.05</v>
      </c>
      <c r="AN621" s="340">
        <v>0.2</v>
      </c>
      <c r="AO621" s="340">
        <v>0.25</v>
      </c>
      <c r="AP621" s="340">
        <v>0.5</v>
      </c>
      <c r="AR621" s="475">
        <v>0</v>
      </c>
      <c r="AS621" s="475">
        <v>0</v>
      </c>
      <c r="AT621" s="475">
        <v>0</v>
      </c>
      <c r="AU621" s="475">
        <v>0</v>
      </c>
      <c r="AV621" s="339" t="str">
        <f t="shared" si="65"/>
        <v>OK</v>
      </c>
    </row>
    <row r="622" spans="3:48" s="299" customFormat="1">
      <c r="C622" s="310" t="str">
        <v>Ethernet (10Mbps)</v>
      </c>
      <c r="E622" s="315">
        <v>0.05</v>
      </c>
      <c r="F622" s="315">
        <v>0.2</v>
      </c>
      <c r="G622" s="315">
        <v>0.25</v>
      </c>
      <c r="H622" s="315">
        <v>0.5</v>
      </c>
      <c r="I622"/>
      <c r="J622" s="475">
        <v>0.22674961119751183</v>
      </c>
      <c r="K622" s="475">
        <v>0.1657076205287713</v>
      </c>
      <c r="L622" s="475">
        <v>0.58514774494556754</v>
      </c>
      <c r="M622" s="475">
        <v>2.2395023328149296E-2</v>
      </c>
      <c r="N622" s="339" t="str">
        <f t="shared" si="63"/>
        <v>OK</v>
      </c>
      <c r="O622"/>
      <c r="T622" s="310" t="str">
        <v>Ethernet (10Mbps)</v>
      </c>
      <c r="V622" s="315">
        <v>0.05</v>
      </c>
      <c r="W622" s="315">
        <v>0.2</v>
      </c>
      <c r="X622" s="315">
        <v>0.25</v>
      </c>
      <c r="Y622" s="315">
        <v>0.5</v>
      </c>
      <c r="AA622" s="475">
        <v>0.72776280323450138</v>
      </c>
      <c r="AB622" s="475">
        <v>5.9299191374663072E-2</v>
      </c>
      <c r="AC622" s="475">
        <v>0.20485175202156333</v>
      </c>
      <c r="AD622" s="475">
        <v>8.0862533692722376E-3</v>
      </c>
      <c r="AE622" s="339" t="str">
        <f t="shared" si="64"/>
        <v>OK</v>
      </c>
      <c r="AK622" s="310" t="str">
        <v>Ethernet (10Mbps)</v>
      </c>
      <c r="AM622" s="340">
        <v>0.05</v>
      </c>
      <c r="AN622" s="340">
        <v>0.2</v>
      </c>
      <c r="AO622" s="340">
        <v>0.25</v>
      </c>
      <c r="AP622" s="340">
        <v>0.5</v>
      </c>
      <c r="AR622" s="475">
        <v>0.59879903923138511</v>
      </c>
      <c r="AS622" s="475">
        <v>8.6689351481184937E-2</v>
      </c>
      <c r="AT622" s="475">
        <v>0.302742193755004</v>
      </c>
      <c r="AU622" s="475">
        <v>1.176941553242594E-2</v>
      </c>
      <c r="AV622" s="339" t="str">
        <f t="shared" si="65"/>
        <v>OK</v>
      </c>
    </row>
    <row r="623" spans="3:48" s="299" customFormat="1">
      <c r="C623" s="310" t="str">
        <v>Ethernet (20Mbps)</v>
      </c>
      <c r="E623" s="315">
        <v>0.05</v>
      </c>
      <c r="F623" s="315">
        <v>0.2</v>
      </c>
      <c r="G623" s="315">
        <v>0.25</v>
      </c>
      <c r="H623" s="315">
        <v>0.5</v>
      </c>
      <c r="I623"/>
      <c r="J623" s="475">
        <v>0.65018219677251432</v>
      </c>
      <c r="K623" s="475">
        <v>0.15044247787610621</v>
      </c>
      <c r="L623" s="475">
        <v>0.17855283706402914</v>
      </c>
      <c r="M623" s="475">
        <v>2.0822488287350342E-2</v>
      </c>
      <c r="N623" s="339" t="str">
        <f t="shared" si="63"/>
        <v>OK</v>
      </c>
      <c r="O623"/>
      <c r="T623" s="310" t="str">
        <v>Ethernet (20Mbps)</v>
      </c>
      <c r="V623" s="315">
        <v>0.05</v>
      </c>
      <c r="W623" s="315">
        <v>0.2</v>
      </c>
      <c r="X623" s="315">
        <v>0.25</v>
      </c>
      <c r="Y623" s="315">
        <v>0.5</v>
      </c>
      <c r="AA623" s="475">
        <v>0.63559322033898302</v>
      </c>
      <c r="AB623" s="475">
        <v>0.15254237288135594</v>
      </c>
      <c r="AC623" s="475">
        <v>0.17796610169491525</v>
      </c>
      <c r="AD623" s="475">
        <v>3.3898305084745763E-2</v>
      </c>
      <c r="AE623" s="339" t="str">
        <f t="shared" si="64"/>
        <v>OK</v>
      </c>
      <c r="AK623" s="310" t="str">
        <v>Ethernet (20Mbps)</v>
      </c>
      <c r="AM623" s="340">
        <v>0.05</v>
      </c>
      <c r="AN623" s="340">
        <v>0.2</v>
      </c>
      <c r="AO623" s="340">
        <v>0.25</v>
      </c>
      <c r="AP623" s="340">
        <v>0.5</v>
      </c>
      <c r="AR623" s="475">
        <v>0.64280202349309778</v>
      </c>
      <c r="AS623" s="475">
        <v>0.15150475863842922</v>
      </c>
      <c r="AT623" s="475">
        <v>0.17825602332161533</v>
      </c>
      <c r="AU623" s="475">
        <v>2.7437194546857582E-2</v>
      </c>
      <c r="AV623" s="339" t="str">
        <f t="shared" si="65"/>
        <v>OK</v>
      </c>
    </row>
    <row r="624" spans="3:48" s="299" customFormat="1">
      <c r="C624" s="310" t="str">
        <v>Ethernet (30Mbps)</v>
      </c>
      <c r="E624" s="315">
        <v>0.05</v>
      </c>
      <c r="F624" s="315">
        <v>0.2</v>
      </c>
      <c r="G624" s="315">
        <v>0.25</v>
      </c>
      <c r="H624" s="315">
        <v>0.5</v>
      </c>
      <c r="I624"/>
      <c r="J624" s="475">
        <v>0.1651705565529622</v>
      </c>
      <c r="K624" s="475">
        <v>0.41352483542788759</v>
      </c>
      <c r="L624" s="475">
        <v>0.42130460801915021</v>
      </c>
      <c r="M624" s="475">
        <v>0</v>
      </c>
      <c r="N624" s="339" t="str">
        <f t="shared" si="63"/>
        <v>OK</v>
      </c>
      <c r="O624"/>
      <c r="T624" s="310" t="str">
        <v>Ethernet (30Mbps)</v>
      </c>
      <c r="V624" s="315">
        <v>0.05</v>
      </c>
      <c r="W624" s="315">
        <v>0.2</v>
      </c>
      <c r="X624" s="315">
        <v>0.25</v>
      </c>
      <c r="Y624" s="315">
        <v>0.5</v>
      </c>
      <c r="AA624" s="475">
        <v>0.66666666666666663</v>
      </c>
      <c r="AB624" s="475">
        <v>0.15555555555555556</v>
      </c>
      <c r="AC624" s="475">
        <v>0.17777777777777778</v>
      </c>
      <c r="AD624" s="475">
        <v>0</v>
      </c>
      <c r="AE624" s="339" t="str">
        <f t="shared" si="64"/>
        <v>OK</v>
      </c>
      <c r="AK624" s="310" t="str">
        <v>Ethernet (30Mbps)</v>
      </c>
      <c r="AM624" s="340">
        <v>0.05</v>
      </c>
      <c r="AN624" s="340">
        <v>0.2</v>
      </c>
      <c r="AO624" s="340">
        <v>0.25</v>
      </c>
      <c r="AP624" s="340">
        <v>0.5</v>
      </c>
      <c r="AR624" s="475">
        <v>0.53087019931939716</v>
      </c>
      <c r="AS624" s="475">
        <v>0.22540917193323609</v>
      </c>
      <c r="AT624" s="475">
        <v>0.24372062874736669</v>
      </c>
      <c r="AU624" s="475">
        <v>0</v>
      </c>
      <c r="AV624" s="339" t="str">
        <f t="shared" si="65"/>
        <v>OK</v>
      </c>
    </row>
    <row r="625" spans="3:48" s="299" customFormat="1">
      <c r="C625" s="310" t="str">
        <v>Ethernet (40Mbps)</v>
      </c>
      <c r="E625" s="315">
        <v>0.05</v>
      </c>
      <c r="F625" s="315">
        <v>0.2</v>
      </c>
      <c r="G625" s="315">
        <v>0.25</v>
      </c>
      <c r="H625" s="315">
        <v>0.5</v>
      </c>
      <c r="I625"/>
      <c r="J625" s="475">
        <v>0.65110462692788662</v>
      </c>
      <c r="K625" s="475">
        <v>0.11984160066694455</v>
      </c>
      <c r="L625" s="475">
        <v>0.22905377240516878</v>
      </c>
      <c r="M625" s="475">
        <v>0</v>
      </c>
      <c r="N625" s="339" t="str">
        <f t="shared" si="63"/>
        <v>OK</v>
      </c>
      <c r="O625"/>
      <c r="T625" s="310" t="str">
        <v>Ethernet (40Mbps)</v>
      </c>
      <c r="V625" s="315">
        <v>0.05</v>
      </c>
      <c r="W625" s="315">
        <v>0.2</v>
      </c>
      <c r="X625" s="315">
        <v>0.25</v>
      </c>
      <c r="Y625" s="315">
        <v>0.5</v>
      </c>
      <c r="AA625" s="475">
        <v>0.62745098039215685</v>
      </c>
      <c r="AB625" s="475">
        <v>0.13725490196078433</v>
      </c>
      <c r="AC625" s="475">
        <v>0.23529411764705882</v>
      </c>
      <c r="AD625" s="475">
        <v>0</v>
      </c>
      <c r="AE625" s="339" t="str">
        <f t="shared" si="64"/>
        <v>OK</v>
      </c>
      <c r="AK625" s="310" t="str">
        <v>Ethernet (40Mbps)</v>
      </c>
      <c r="AM625" s="340">
        <v>0.05</v>
      </c>
      <c r="AN625" s="340">
        <v>0.2</v>
      </c>
      <c r="AO625" s="340">
        <v>0.25</v>
      </c>
      <c r="AP625" s="340">
        <v>0.5</v>
      </c>
      <c r="AR625" s="475">
        <v>0.63891695291978179</v>
      </c>
      <c r="AS625" s="475">
        <v>0.12881390179834309</v>
      </c>
      <c r="AT625" s="475">
        <v>0.23226914528187509</v>
      </c>
      <c r="AU625" s="475">
        <v>0</v>
      </c>
      <c r="AV625" s="339" t="str">
        <f t="shared" si="65"/>
        <v>OK</v>
      </c>
    </row>
    <row r="626" spans="3:48" s="299" customFormat="1">
      <c r="C626" s="310" t="str">
        <v>Ethernet (50Mbps)</v>
      </c>
      <c r="E626" s="315">
        <v>0.05</v>
      </c>
      <c r="F626" s="315">
        <v>0.2</v>
      </c>
      <c r="G626" s="315">
        <v>0.25</v>
      </c>
      <c r="H626" s="315">
        <v>0.5</v>
      </c>
      <c r="I626"/>
      <c r="J626" s="475">
        <v>0.32470023980815355</v>
      </c>
      <c r="K626" s="475">
        <v>0.19568345323741015</v>
      </c>
      <c r="L626" s="475">
        <v>0.47961630695443641</v>
      </c>
      <c r="M626" s="475">
        <v>0</v>
      </c>
      <c r="N626" s="339" t="str">
        <f t="shared" si="63"/>
        <v>OK</v>
      </c>
      <c r="O626"/>
      <c r="T626" s="310" t="str">
        <v>Ethernet (50Mbps)</v>
      </c>
      <c r="V626" s="315">
        <v>0.05</v>
      </c>
      <c r="W626" s="315">
        <v>0.2</v>
      </c>
      <c r="X626" s="315">
        <v>0.25</v>
      </c>
      <c r="Y626" s="315">
        <v>0.5</v>
      </c>
      <c r="AA626" s="475">
        <v>0.29166666666666669</v>
      </c>
      <c r="AB626" s="475">
        <v>0.25</v>
      </c>
      <c r="AC626" s="475">
        <v>0.45833333333333331</v>
      </c>
      <c r="AD626" s="475">
        <v>0</v>
      </c>
      <c r="AE626" s="339" t="str">
        <f t="shared" si="64"/>
        <v>OK</v>
      </c>
      <c r="AK626" s="310" t="str">
        <v>Ethernet (50Mbps)</v>
      </c>
      <c r="AM626" s="340">
        <v>0.05</v>
      </c>
      <c r="AN626" s="340">
        <v>0.2</v>
      </c>
      <c r="AO626" s="340">
        <v>0.25</v>
      </c>
      <c r="AP626" s="340">
        <v>0.5</v>
      </c>
      <c r="AR626" s="475">
        <v>0.30702341137123745</v>
      </c>
      <c r="AS626" s="475">
        <v>0.2247491638795987</v>
      </c>
      <c r="AT626" s="475">
        <v>0.46822742474916385</v>
      </c>
      <c r="AU626" s="475">
        <v>0</v>
      </c>
      <c r="AV626" s="339" t="str">
        <f t="shared" si="65"/>
        <v>OK</v>
      </c>
    </row>
    <row r="627" spans="3:48" s="299" customFormat="1">
      <c r="C627" s="310" t="str">
        <v>Ethernet (60Mbps)</v>
      </c>
      <c r="E627" s="315">
        <v>0.05</v>
      </c>
      <c r="F627" s="315">
        <v>0.2</v>
      </c>
      <c r="G627" s="315">
        <v>0.25</v>
      </c>
      <c r="H627" s="315">
        <v>0.5</v>
      </c>
      <c r="I627"/>
      <c r="J627" s="475">
        <v>0.91911764705882359</v>
      </c>
      <c r="K627" s="475">
        <v>0</v>
      </c>
      <c r="L627" s="475">
        <v>8.0882352941176475E-2</v>
      </c>
      <c r="M627" s="475">
        <v>0</v>
      </c>
      <c r="N627" s="339" t="str">
        <f t="shared" si="63"/>
        <v>OK</v>
      </c>
      <c r="O627"/>
      <c r="T627" s="310" t="str">
        <v>Ethernet (60Mbps)</v>
      </c>
      <c r="V627" s="315">
        <v>0.05</v>
      </c>
      <c r="W627" s="315">
        <v>0.2</v>
      </c>
      <c r="X627" s="315">
        <v>0.25</v>
      </c>
      <c r="Y627" s="315">
        <v>0.5</v>
      </c>
      <c r="AA627" s="475">
        <v>0.83333333333333337</v>
      </c>
      <c r="AB627" s="475">
        <v>0</v>
      </c>
      <c r="AC627" s="475">
        <v>0.16666666666666666</v>
      </c>
      <c r="AD627" s="475">
        <v>0</v>
      </c>
      <c r="AE627" s="339" t="str">
        <f t="shared" si="64"/>
        <v>OK</v>
      </c>
      <c r="AK627" s="310" t="str">
        <v>Ethernet (60Mbps)</v>
      </c>
      <c r="AM627" s="340">
        <v>0.05</v>
      </c>
      <c r="AN627" s="340">
        <v>0.2</v>
      </c>
      <c r="AO627" s="340">
        <v>0.25</v>
      </c>
      <c r="AP627" s="340">
        <v>0.5</v>
      </c>
      <c r="AR627" s="475">
        <v>0.87412587412587417</v>
      </c>
      <c r="AS627" s="475">
        <v>0</v>
      </c>
      <c r="AT627" s="475">
        <v>0.12587412587412589</v>
      </c>
      <c r="AU627" s="475">
        <v>0</v>
      </c>
      <c r="AV627" s="339" t="str">
        <f t="shared" si="65"/>
        <v>OK</v>
      </c>
    </row>
    <row r="628" spans="3:48" s="299" customFormat="1">
      <c r="C628" s="310" t="str">
        <v>Ethernet (70Mbps)</v>
      </c>
      <c r="E628" s="315">
        <v>0.05</v>
      </c>
      <c r="F628" s="315">
        <v>0.2</v>
      </c>
      <c r="G628" s="315">
        <v>0.25</v>
      </c>
      <c r="H628" s="315">
        <v>0.5</v>
      </c>
      <c r="I628"/>
      <c r="J628" s="475">
        <v>0.32870370370370366</v>
      </c>
      <c r="K628" s="475">
        <v>3.4722222222222196E-2</v>
      </c>
      <c r="L628" s="475">
        <v>0.63657407407407407</v>
      </c>
      <c r="M628" s="475">
        <v>0</v>
      </c>
      <c r="N628" s="339" t="str">
        <f t="shared" si="63"/>
        <v>OK</v>
      </c>
      <c r="O628"/>
      <c r="T628" s="310" t="str">
        <v>Ethernet (70Mbps)</v>
      </c>
      <c r="V628" s="315">
        <v>0.05</v>
      </c>
      <c r="W628" s="315">
        <v>0.2</v>
      </c>
      <c r="X628" s="315">
        <v>0.25</v>
      </c>
      <c r="Y628" s="315">
        <v>0.5</v>
      </c>
      <c r="AA628" s="475">
        <v>0.33333333333333331</v>
      </c>
      <c r="AB628" s="475">
        <v>0.16666666666666666</v>
      </c>
      <c r="AC628" s="475">
        <v>0.5</v>
      </c>
      <c r="AD628" s="475">
        <v>0</v>
      </c>
      <c r="AE628" s="339" t="str">
        <f t="shared" si="64"/>
        <v>OK</v>
      </c>
      <c r="AK628" s="310" t="str">
        <v>Ethernet (70Mbps)</v>
      </c>
      <c r="AM628" s="340">
        <v>0.05</v>
      </c>
      <c r="AN628" s="340">
        <v>0.2</v>
      </c>
      <c r="AO628" s="340">
        <v>0.25</v>
      </c>
      <c r="AP628" s="340">
        <v>0.5</v>
      </c>
      <c r="AR628" s="475">
        <v>0.33139534883720928</v>
      </c>
      <c r="AS628" s="475">
        <v>0.11143410852713177</v>
      </c>
      <c r="AT628" s="475">
        <v>0.55717054263565891</v>
      </c>
      <c r="AU628" s="475">
        <v>0</v>
      </c>
      <c r="AV628" s="339" t="str">
        <f t="shared" si="65"/>
        <v>OK</v>
      </c>
    </row>
    <row r="629" spans="3:48" s="299" customFormat="1">
      <c r="C629" s="310" t="str">
        <v>Ethernet (80Mbps)</v>
      </c>
      <c r="E629" s="315">
        <v>0.05</v>
      </c>
      <c r="F629" s="315">
        <v>0.2</v>
      </c>
      <c r="G629" s="315">
        <v>0.25</v>
      </c>
      <c r="H629" s="315">
        <v>0.5</v>
      </c>
      <c r="I629"/>
      <c r="J629" s="475">
        <v>1.396825396825397</v>
      </c>
      <c r="K629" s="475">
        <v>0</v>
      </c>
      <c r="L629" s="475">
        <v>-0.39682539682539691</v>
      </c>
      <c r="M629" s="475">
        <v>0</v>
      </c>
      <c r="N629" s="339" t="str">
        <f t="shared" si="63"/>
        <v>OK</v>
      </c>
      <c r="O629"/>
      <c r="T629" s="310" t="str">
        <v>Ethernet (80Mbps)</v>
      </c>
      <c r="V629" s="315">
        <v>0.05</v>
      </c>
      <c r="W629" s="315">
        <v>0.2</v>
      </c>
      <c r="X629" s="315">
        <v>0.25</v>
      </c>
      <c r="Y629" s="315">
        <v>0.5</v>
      </c>
      <c r="AA629" s="475">
        <v>0.5</v>
      </c>
      <c r="AB629" s="475">
        <v>0</v>
      </c>
      <c r="AC629" s="475">
        <v>0.5</v>
      </c>
      <c r="AD629" s="475">
        <v>0</v>
      </c>
      <c r="AE629" s="339" t="str">
        <f t="shared" si="64"/>
        <v>OK</v>
      </c>
      <c r="AK629" s="310" t="str">
        <v>Ethernet (80Mbps)</v>
      </c>
      <c r="AM629" s="340">
        <v>0.05</v>
      </c>
      <c r="AN629" s="340">
        <v>0.2</v>
      </c>
      <c r="AO629" s="340">
        <v>0.25</v>
      </c>
      <c r="AP629" s="340">
        <v>0.5</v>
      </c>
      <c r="AR629" s="475">
        <v>0.71482889733840305</v>
      </c>
      <c r="AS629" s="475">
        <v>0</v>
      </c>
      <c r="AT629" s="475">
        <v>0.28517110266159695</v>
      </c>
      <c r="AU629" s="475">
        <v>0</v>
      </c>
      <c r="AV629" s="339" t="str">
        <f t="shared" si="65"/>
        <v>OK</v>
      </c>
    </row>
    <row r="630" spans="3:48" s="299" customFormat="1">
      <c r="C630" s="310" t="str">
        <v>Ethernet (90Mbps)</v>
      </c>
      <c r="E630" s="315">
        <v>0.05</v>
      </c>
      <c r="F630" s="315">
        <v>0.2</v>
      </c>
      <c r="G630" s="315">
        <v>0.25</v>
      </c>
      <c r="H630" s="315">
        <v>0.5</v>
      </c>
      <c r="I630"/>
      <c r="J630" s="475">
        <v>0.31775700934579432</v>
      </c>
      <c r="K630" s="475">
        <v>0</v>
      </c>
      <c r="L630" s="475">
        <v>0.68224299065420568</v>
      </c>
      <c r="M630" s="475">
        <v>0</v>
      </c>
      <c r="N630" s="339" t="str">
        <f t="shared" si="63"/>
        <v>OK</v>
      </c>
      <c r="O630"/>
      <c r="T630" s="310" t="str">
        <v>Ethernet (90Mbps)</v>
      </c>
      <c r="V630" s="315">
        <v>0.05</v>
      </c>
      <c r="W630" s="315">
        <v>0.2</v>
      </c>
      <c r="X630" s="315">
        <v>0.25</v>
      </c>
      <c r="Y630" s="315">
        <v>0.5</v>
      </c>
      <c r="AA630" s="475">
        <v>0.5</v>
      </c>
      <c r="AB630" s="475">
        <v>0</v>
      </c>
      <c r="AC630" s="475">
        <v>0.5</v>
      </c>
      <c r="AD630" s="475">
        <v>0</v>
      </c>
      <c r="AE630" s="339" t="str">
        <f t="shared" si="64"/>
        <v>OK</v>
      </c>
      <c r="AK630" s="310" t="str">
        <v>Ethernet (90Mbps)</v>
      </c>
      <c r="AM630" s="340">
        <v>0.05</v>
      </c>
      <c r="AN630" s="340">
        <v>0.2</v>
      </c>
      <c r="AO630" s="340">
        <v>0.25</v>
      </c>
      <c r="AP630" s="340">
        <v>0.5</v>
      </c>
      <c r="AR630" s="475">
        <v>0.46153846153846151</v>
      </c>
      <c r="AS630" s="475">
        <v>0</v>
      </c>
      <c r="AT630" s="475">
        <v>0.53846153846153844</v>
      </c>
      <c r="AU630" s="475">
        <v>0</v>
      </c>
      <c r="AV630" s="339" t="str">
        <f t="shared" si="65"/>
        <v>OK</v>
      </c>
    </row>
    <row r="631" spans="3:48" s="299" customFormat="1">
      <c r="C631" s="310" t="str">
        <v>GigaEthernet (100Mbps)</v>
      </c>
      <c r="E631" s="315">
        <v>0.05</v>
      </c>
      <c r="F631" s="315">
        <v>0.2</v>
      </c>
      <c r="G631" s="315">
        <v>0.25</v>
      </c>
      <c r="H631" s="315">
        <v>0.5</v>
      </c>
      <c r="I631"/>
      <c r="J631" s="475">
        <v>0</v>
      </c>
      <c r="K631" s="475">
        <v>0</v>
      </c>
      <c r="L631" s="475">
        <v>0</v>
      </c>
      <c r="M631" s="475">
        <v>0</v>
      </c>
      <c r="N631" s="339" t="str">
        <f t="shared" si="63"/>
        <v>OK</v>
      </c>
      <c r="O631"/>
      <c r="T631" s="310" t="str">
        <v>GigaEthernet (100Mbps)</v>
      </c>
      <c r="V631" s="315">
        <v>0.05</v>
      </c>
      <c r="W631" s="315">
        <v>0.2</v>
      </c>
      <c r="X631" s="315">
        <v>0.25</v>
      </c>
      <c r="Y631" s="315">
        <v>0.5</v>
      </c>
      <c r="AA631" s="475">
        <v>0.36185622317596561</v>
      </c>
      <c r="AB631" s="475">
        <v>0.14887339055793994</v>
      </c>
      <c r="AC631" s="475">
        <v>0.48927038626609437</v>
      </c>
      <c r="AD631" s="475">
        <v>0</v>
      </c>
      <c r="AE631" s="339" t="str">
        <f t="shared" si="64"/>
        <v>OK</v>
      </c>
      <c r="AK631" s="310" t="str">
        <v>GigaEthernet (100Mbps)</v>
      </c>
      <c r="AM631" s="340">
        <v>0.05</v>
      </c>
      <c r="AN631" s="340">
        <v>0.2</v>
      </c>
      <c r="AO631" s="340">
        <v>0.25</v>
      </c>
      <c r="AP631" s="340">
        <v>0.5</v>
      </c>
      <c r="AR631" s="475">
        <v>0.36185622317596561</v>
      </c>
      <c r="AS631" s="475">
        <v>0.14887339055793994</v>
      </c>
      <c r="AT631" s="475">
        <v>0.48927038626609437</v>
      </c>
      <c r="AU631" s="475">
        <v>0</v>
      </c>
      <c r="AV631" s="339" t="str">
        <f t="shared" si="65"/>
        <v>OK</v>
      </c>
    </row>
    <row r="632" spans="3:48" s="299" customFormat="1">
      <c r="C632" s="310" t="str">
        <v>GigaEthernet (150Mbps)</v>
      </c>
      <c r="E632" s="315">
        <v>0.05</v>
      </c>
      <c r="F632" s="315">
        <v>0.2</v>
      </c>
      <c r="G632" s="315">
        <v>0.25</v>
      </c>
      <c r="H632" s="315">
        <v>0.5</v>
      </c>
      <c r="I632"/>
      <c r="J632" s="475">
        <v>0</v>
      </c>
      <c r="K632" s="475">
        <v>0</v>
      </c>
      <c r="L632" s="475">
        <v>0</v>
      </c>
      <c r="M632" s="475">
        <v>0</v>
      </c>
      <c r="N632" s="339" t="str">
        <f t="shared" si="63"/>
        <v>OK</v>
      </c>
      <c r="O632"/>
      <c r="T632" s="310" t="str">
        <v>GigaEthernet (150Mbps)</v>
      </c>
      <c r="V632" s="315">
        <v>0.05</v>
      </c>
      <c r="W632" s="315">
        <v>0.2</v>
      </c>
      <c r="X632" s="315">
        <v>0.25</v>
      </c>
      <c r="Y632" s="315">
        <v>0.5</v>
      </c>
      <c r="AA632" s="475">
        <v>0.27977044476327118</v>
      </c>
      <c r="AB632" s="475">
        <v>0.26398852223816355</v>
      </c>
      <c r="AC632" s="475">
        <v>0.45624103299856528</v>
      </c>
      <c r="AD632" s="475">
        <v>0</v>
      </c>
      <c r="AE632" s="339" t="str">
        <f t="shared" si="64"/>
        <v>OK</v>
      </c>
      <c r="AK632" s="310" t="str">
        <v>GigaEthernet (150Mbps)</v>
      </c>
      <c r="AM632" s="340">
        <v>0.05</v>
      </c>
      <c r="AN632" s="340">
        <v>0.2</v>
      </c>
      <c r="AO632" s="340">
        <v>0.25</v>
      </c>
      <c r="AP632" s="340">
        <v>0.5</v>
      </c>
      <c r="AR632" s="475">
        <v>0.27977044476327118</v>
      </c>
      <c r="AS632" s="475">
        <v>0.26398852223816355</v>
      </c>
      <c r="AT632" s="475">
        <v>0.45624103299856528</v>
      </c>
      <c r="AU632" s="475">
        <v>0</v>
      </c>
      <c r="AV632" s="339" t="str">
        <f t="shared" si="65"/>
        <v>OK</v>
      </c>
    </row>
    <row r="633" spans="3:48" s="299" customFormat="1">
      <c r="C633" s="310" t="str">
        <v>GigaEthernet (200Mbps)</v>
      </c>
      <c r="E633" s="315">
        <v>0.05</v>
      </c>
      <c r="F633" s="315">
        <v>0.2</v>
      </c>
      <c r="G633" s="315">
        <v>0.25</v>
      </c>
      <c r="H633" s="315">
        <v>0.5</v>
      </c>
      <c r="I633"/>
      <c r="J633" s="475">
        <v>0</v>
      </c>
      <c r="K633" s="475">
        <v>0</v>
      </c>
      <c r="L633" s="475">
        <v>0</v>
      </c>
      <c r="M633" s="475">
        <v>0</v>
      </c>
      <c r="N633" s="339" t="str">
        <f t="shared" si="63"/>
        <v>OK</v>
      </c>
      <c r="O633"/>
      <c r="T633" s="310" t="str">
        <v>GigaEthernet (200Mbps)</v>
      </c>
      <c r="V633" s="315">
        <v>0.05</v>
      </c>
      <c r="W633" s="315">
        <v>0.2</v>
      </c>
      <c r="X633" s="315">
        <v>0.25</v>
      </c>
      <c r="Y633" s="315">
        <v>0.5</v>
      </c>
      <c r="AA633" s="475">
        <v>0.36641221374045796</v>
      </c>
      <c r="AB633" s="475">
        <v>0.19083969465648853</v>
      </c>
      <c r="AC633" s="475">
        <v>0.4427480916030534</v>
      </c>
      <c r="AD633" s="475">
        <v>0</v>
      </c>
      <c r="AE633" s="339" t="str">
        <f t="shared" si="64"/>
        <v>OK</v>
      </c>
      <c r="AK633" s="310" t="str">
        <v>GigaEthernet (200Mbps)</v>
      </c>
      <c r="AM633" s="340">
        <v>0.05</v>
      </c>
      <c r="AN633" s="340">
        <v>0.2</v>
      </c>
      <c r="AO633" s="340">
        <v>0.25</v>
      </c>
      <c r="AP633" s="340">
        <v>0.5</v>
      </c>
      <c r="AR633" s="475">
        <v>0.36641221374045796</v>
      </c>
      <c r="AS633" s="475">
        <v>0.19083969465648853</v>
      </c>
      <c r="AT633" s="475">
        <v>0.4427480916030534</v>
      </c>
      <c r="AU633" s="475">
        <v>0</v>
      </c>
      <c r="AV633" s="339" t="str">
        <f t="shared" si="65"/>
        <v>OK</v>
      </c>
    </row>
    <row r="634" spans="3:48" s="299" customFormat="1">
      <c r="C634" s="310" t="str">
        <v>GigaEthernet (250Mbps)</v>
      </c>
      <c r="E634" s="315">
        <v>0.05</v>
      </c>
      <c r="F634" s="315">
        <v>0.2</v>
      </c>
      <c r="G634" s="315">
        <v>0.25</v>
      </c>
      <c r="H634" s="315">
        <v>0.5</v>
      </c>
      <c r="I634"/>
      <c r="J634" s="475">
        <v>0</v>
      </c>
      <c r="K634" s="475">
        <v>0</v>
      </c>
      <c r="L634" s="475">
        <v>0</v>
      </c>
      <c r="M634" s="475">
        <v>0</v>
      </c>
      <c r="N634" s="339" t="str">
        <f t="shared" si="63"/>
        <v>OK</v>
      </c>
      <c r="O634"/>
      <c r="T634" s="310" t="str">
        <v>GigaEthernet (250Mbps)</v>
      </c>
      <c r="V634" s="315">
        <v>0.05</v>
      </c>
      <c r="W634" s="315">
        <v>0.2</v>
      </c>
      <c r="X634" s="315">
        <v>0.25</v>
      </c>
      <c r="Y634" s="315">
        <v>0.5</v>
      </c>
      <c r="AA634" s="475">
        <v>0</v>
      </c>
      <c r="AB634" s="475">
        <v>1</v>
      </c>
      <c r="AC634" s="475">
        <v>0</v>
      </c>
      <c r="AD634" s="475">
        <v>0</v>
      </c>
      <c r="AE634" s="339" t="str">
        <f t="shared" si="64"/>
        <v>OK</v>
      </c>
      <c r="AK634" s="310" t="str">
        <v>GigaEthernet (250Mbps)</v>
      </c>
      <c r="AM634" s="340">
        <v>0.05</v>
      </c>
      <c r="AN634" s="340">
        <v>0.2</v>
      </c>
      <c r="AO634" s="340">
        <v>0.25</v>
      </c>
      <c r="AP634" s="340">
        <v>0.5</v>
      </c>
      <c r="AR634" s="475">
        <v>0</v>
      </c>
      <c r="AS634" s="475">
        <v>1</v>
      </c>
      <c r="AT634" s="475">
        <v>0</v>
      </c>
      <c r="AU634" s="475">
        <v>0</v>
      </c>
      <c r="AV634" s="339" t="str">
        <f t="shared" si="65"/>
        <v>OK</v>
      </c>
    </row>
    <row r="635" spans="3:48" s="299" customFormat="1">
      <c r="C635" s="310" t="str">
        <v>GigaEthernet (300Mbps)</v>
      </c>
      <c r="E635" s="315">
        <v>0.05</v>
      </c>
      <c r="F635" s="315">
        <v>0.2</v>
      </c>
      <c r="G635" s="315">
        <v>0.25</v>
      </c>
      <c r="H635" s="315">
        <v>0.5</v>
      </c>
      <c r="I635"/>
      <c r="J635" s="475">
        <v>0</v>
      </c>
      <c r="K635" s="475">
        <v>0</v>
      </c>
      <c r="L635" s="475">
        <v>0</v>
      </c>
      <c r="M635" s="475">
        <v>0</v>
      </c>
      <c r="N635" s="339" t="str">
        <f t="shared" si="63"/>
        <v>OK</v>
      </c>
      <c r="O635"/>
      <c r="T635" s="310" t="str">
        <v>GigaEthernet (300Mbps)</v>
      </c>
      <c r="V635" s="315">
        <v>0.05</v>
      </c>
      <c r="W635" s="315">
        <v>0.2</v>
      </c>
      <c r="X635" s="315">
        <v>0.25</v>
      </c>
      <c r="Y635" s="315">
        <v>0.5</v>
      </c>
      <c r="AA635" s="475">
        <v>1</v>
      </c>
      <c r="AB635" s="475">
        <v>0</v>
      </c>
      <c r="AC635" s="475">
        <v>0</v>
      </c>
      <c r="AD635" s="475">
        <v>0</v>
      </c>
      <c r="AE635" s="339" t="str">
        <f t="shared" si="64"/>
        <v>OK</v>
      </c>
      <c r="AK635" s="310" t="str">
        <v>GigaEthernet (300Mbps)</v>
      </c>
      <c r="AM635" s="340">
        <v>0.05</v>
      </c>
      <c r="AN635" s="340">
        <v>0.2</v>
      </c>
      <c r="AO635" s="340">
        <v>0.25</v>
      </c>
      <c r="AP635" s="340">
        <v>0.5</v>
      </c>
      <c r="AR635" s="475">
        <v>1</v>
      </c>
      <c r="AS635" s="475">
        <v>0</v>
      </c>
      <c r="AT635" s="475">
        <v>0</v>
      </c>
      <c r="AU635" s="475">
        <v>0</v>
      </c>
      <c r="AV635" s="339" t="str">
        <f t="shared" si="65"/>
        <v>OK</v>
      </c>
    </row>
    <row r="636" spans="3:48" s="299" customFormat="1">
      <c r="C636" s="310" t="str">
        <v>GigaEthernet (350Mbps)</v>
      </c>
      <c r="E636" s="315">
        <v>0.05</v>
      </c>
      <c r="F636" s="315">
        <v>0.2</v>
      </c>
      <c r="G636" s="315">
        <v>0.25</v>
      </c>
      <c r="H636" s="315">
        <v>0.5</v>
      </c>
      <c r="I636"/>
      <c r="J636" s="475">
        <v>0</v>
      </c>
      <c r="K636" s="475">
        <v>0</v>
      </c>
      <c r="L636" s="475">
        <v>0</v>
      </c>
      <c r="M636" s="475">
        <v>0</v>
      </c>
      <c r="N636" s="339" t="str">
        <f t="shared" si="63"/>
        <v>OK</v>
      </c>
      <c r="O636"/>
      <c r="T636" s="310" t="str">
        <v>GigaEthernet (350Mbps)</v>
      </c>
      <c r="V636" s="315">
        <v>0.05</v>
      </c>
      <c r="W636" s="315">
        <v>0.2</v>
      </c>
      <c r="X636" s="315">
        <v>0.25</v>
      </c>
      <c r="Y636" s="315">
        <v>0.5</v>
      </c>
      <c r="AA636" s="475">
        <v>0</v>
      </c>
      <c r="AB636" s="475">
        <v>0</v>
      </c>
      <c r="AC636" s="475">
        <v>0</v>
      </c>
      <c r="AD636" s="475">
        <v>0</v>
      </c>
      <c r="AE636" s="339" t="str">
        <f t="shared" si="64"/>
        <v>OK</v>
      </c>
      <c r="AK636" s="310" t="str">
        <v>GigaEthernet (350Mbps)</v>
      </c>
      <c r="AM636" s="340">
        <v>0.05</v>
      </c>
      <c r="AN636" s="340">
        <v>0.2</v>
      </c>
      <c r="AO636" s="340">
        <v>0.25</v>
      </c>
      <c r="AP636" s="340">
        <v>0.5</v>
      </c>
      <c r="AR636" s="475">
        <v>0</v>
      </c>
      <c r="AS636" s="475">
        <v>0</v>
      </c>
      <c r="AT636" s="475">
        <v>0</v>
      </c>
      <c r="AU636" s="475">
        <v>0</v>
      </c>
      <c r="AV636" s="339" t="str">
        <f t="shared" si="65"/>
        <v>OK</v>
      </c>
    </row>
    <row r="637" spans="3:48" s="299" customFormat="1">
      <c r="C637" s="310" t="str">
        <v>GigaEthernet (400Mbps)</v>
      </c>
      <c r="E637" s="315">
        <v>0.05</v>
      </c>
      <c r="F637" s="315">
        <v>0.2</v>
      </c>
      <c r="G637" s="315">
        <v>0.25</v>
      </c>
      <c r="H637" s="315">
        <v>0.5</v>
      </c>
      <c r="I637"/>
      <c r="J637" s="475">
        <v>0</v>
      </c>
      <c r="K637" s="475">
        <v>0</v>
      </c>
      <c r="L637" s="475">
        <v>0</v>
      </c>
      <c r="M637" s="475">
        <v>0</v>
      </c>
      <c r="N637" s="339" t="str">
        <f t="shared" si="63"/>
        <v>OK</v>
      </c>
      <c r="O637"/>
      <c r="T637" s="310" t="str">
        <v>GigaEthernet (400Mbps)</v>
      </c>
      <c r="V637" s="315">
        <v>0.05</v>
      </c>
      <c r="W637" s="315">
        <v>0.2</v>
      </c>
      <c r="X637" s="315">
        <v>0.25</v>
      </c>
      <c r="Y637" s="315">
        <v>0.5</v>
      </c>
      <c r="AA637" s="475">
        <v>0</v>
      </c>
      <c r="AB637" s="475">
        <v>0</v>
      </c>
      <c r="AC637" s="475">
        <v>1</v>
      </c>
      <c r="AD637" s="475">
        <v>0</v>
      </c>
      <c r="AE637" s="339" t="str">
        <f t="shared" si="64"/>
        <v>OK</v>
      </c>
      <c r="AK637" s="310" t="str">
        <v>GigaEthernet (400Mbps)</v>
      </c>
      <c r="AM637" s="340">
        <v>0.05</v>
      </c>
      <c r="AN637" s="340">
        <v>0.2</v>
      </c>
      <c r="AO637" s="340">
        <v>0.25</v>
      </c>
      <c r="AP637" s="340">
        <v>0.5</v>
      </c>
      <c r="AR637" s="475">
        <v>0</v>
      </c>
      <c r="AS637" s="475">
        <v>0</v>
      </c>
      <c r="AT637" s="475">
        <v>1</v>
      </c>
      <c r="AU637" s="475">
        <v>0</v>
      </c>
      <c r="AV637" s="339" t="str">
        <f t="shared" si="65"/>
        <v>OK</v>
      </c>
    </row>
    <row r="638" spans="3:48" s="299" customFormat="1">
      <c r="C638" s="310" t="str">
        <v>GigaEthernet (450Mbps)</v>
      </c>
      <c r="E638" s="315">
        <v>0.05</v>
      </c>
      <c r="F638" s="315">
        <v>0.2</v>
      </c>
      <c r="G638" s="315">
        <v>0.25</v>
      </c>
      <c r="H638" s="315">
        <v>0.5</v>
      </c>
      <c r="I638"/>
      <c r="J638" s="475">
        <v>0</v>
      </c>
      <c r="K638" s="475">
        <v>0</v>
      </c>
      <c r="L638" s="475">
        <v>0</v>
      </c>
      <c r="M638" s="475">
        <v>0</v>
      </c>
      <c r="N638" s="339" t="str">
        <f t="shared" si="63"/>
        <v>OK</v>
      </c>
      <c r="O638"/>
      <c r="T638" s="310" t="str">
        <v>GigaEthernet (450Mbps)</v>
      </c>
      <c r="V638" s="315">
        <v>0.05</v>
      </c>
      <c r="W638" s="315">
        <v>0.2</v>
      </c>
      <c r="X638" s="315">
        <v>0.25</v>
      </c>
      <c r="Y638" s="315">
        <v>0.5</v>
      </c>
      <c r="AA638" s="475">
        <v>0</v>
      </c>
      <c r="AB638" s="475">
        <v>0</v>
      </c>
      <c r="AC638" s="475">
        <v>0</v>
      </c>
      <c r="AD638" s="475">
        <v>0</v>
      </c>
      <c r="AE638" s="339" t="str">
        <f t="shared" si="64"/>
        <v>OK</v>
      </c>
      <c r="AK638" s="310" t="str">
        <v>GigaEthernet (450Mbps)</v>
      </c>
      <c r="AM638" s="340">
        <v>0.05</v>
      </c>
      <c r="AN638" s="340">
        <v>0.2</v>
      </c>
      <c r="AO638" s="340">
        <v>0.25</v>
      </c>
      <c r="AP638" s="340">
        <v>0.5</v>
      </c>
      <c r="AR638" s="475">
        <v>0</v>
      </c>
      <c r="AS638" s="475">
        <v>0</v>
      </c>
      <c r="AT638" s="475">
        <v>0</v>
      </c>
      <c r="AU638" s="475">
        <v>0</v>
      </c>
      <c r="AV638" s="339" t="str">
        <f t="shared" si="65"/>
        <v>OK</v>
      </c>
    </row>
    <row r="639" spans="3:48" s="299" customFormat="1">
      <c r="C639" s="310" t="str">
        <v>GigaEthernet (500Mbps)</v>
      </c>
      <c r="E639" s="315">
        <v>0.05</v>
      </c>
      <c r="F639" s="315">
        <v>0.2</v>
      </c>
      <c r="G639" s="315">
        <v>0.25</v>
      </c>
      <c r="H639" s="315">
        <v>0.5</v>
      </c>
      <c r="I639"/>
      <c r="J639" s="475">
        <v>0</v>
      </c>
      <c r="K639" s="475">
        <v>0</v>
      </c>
      <c r="L639" s="475">
        <v>0</v>
      </c>
      <c r="M639" s="475">
        <v>0</v>
      </c>
      <c r="N639" s="339" t="str">
        <f t="shared" si="63"/>
        <v>OK</v>
      </c>
      <c r="O639"/>
      <c r="T639" s="310" t="str">
        <v>GigaEthernet (500Mbps)</v>
      </c>
      <c r="V639" s="315">
        <v>0.05</v>
      </c>
      <c r="W639" s="315">
        <v>0.2</v>
      </c>
      <c r="X639" s="315">
        <v>0.25</v>
      </c>
      <c r="Y639" s="315">
        <v>0.5</v>
      </c>
      <c r="AA639" s="475">
        <v>0</v>
      </c>
      <c r="AB639" s="475">
        <v>0</v>
      </c>
      <c r="AC639" s="475">
        <v>0</v>
      </c>
      <c r="AD639" s="475">
        <v>0</v>
      </c>
      <c r="AE639" s="339" t="str">
        <f t="shared" si="64"/>
        <v>OK</v>
      </c>
      <c r="AK639" s="310" t="str">
        <v>GigaEthernet (500Mbps)</v>
      </c>
      <c r="AM639" s="340">
        <v>0.05</v>
      </c>
      <c r="AN639" s="340">
        <v>0.2</v>
      </c>
      <c r="AO639" s="340">
        <v>0.25</v>
      </c>
      <c r="AP639" s="340">
        <v>0.5</v>
      </c>
      <c r="AR639" s="475">
        <v>0</v>
      </c>
      <c r="AS639" s="475">
        <v>0</v>
      </c>
      <c r="AT639" s="475">
        <v>0</v>
      </c>
      <c r="AU639" s="475">
        <v>0</v>
      </c>
      <c r="AV639" s="339" t="str">
        <f t="shared" si="65"/>
        <v>OK</v>
      </c>
    </row>
    <row r="640" spans="3:48" s="299" customFormat="1">
      <c r="C640" s="310" t="str">
        <v>GigaEthernet (550Mbps)</v>
      </c>
      <c r="E640" s="315">
        <v>0.05</v>
      </c>
      <c r="F640" s="315">
        <v>0.2</v>
      </c>
      <c r="G640" s="315">
        <v>0.25</v>
      </c>
      <c r="H640" s="315">
        <v>0.5</v>
      </c>
      <c r="I640"/>
      <c r="J640" s="475">
        <v>0</v>
      </c>
      <c r="K640" s="475">
        <v>0</v>
      </c>
      <c r="L640" s="475">
        <v>0</v>
      </c>
      <c r="M640" s="475">
        <v>0</v>
      </c>
      <c r="N640" s="339" t="str">
        <f t="shared" si="63"/>
        <v>OK</v>
      </c>
      <c r="O640"/>
      <c r="T640" s="310" t="str">
        <v>GigaEthernet (550Mbps)</v>
      </c>
      <c r="V640" s="315">
        <v>0.05</v>
      </c>
      <c r="W640" s="315">
        <v>0.2</v>
      </c>
      <c r="X640" s="315">
        <v>0.25</v>
      </c>
      <c r="Y640" s="315">
        <v>0.5</v>
      </c>
      <c r="AA640" s="475">
        <v>0</v>
      </c>
      <c r="AB640" s="475">
        <v>0</v>
      </c>
      <c r="AC640" s="475">
        <v>0</v>
      </c>
      <c r="AD640" s="475">
        <v>0</v>
      </c>
      <c r="AE640" s="339" t="str">
        <f t="shared" si="64"/>
        <v>OK</v>
      </c>
      <c r="AK640" s="310" t="str">
        <v>GigaEthernet (550Mbps)</v>
      </c>
      <c r="AM640" s="340">
        <v>0.05</v>
      </c>
      <c r="AN640" s="340">
        <v>0.2</v>
      </c>
      <c r="AO640" s="340">
        <v>0.25</v>
      </c>
      <c r="AP640" s="340">
        <v>0.5</v>
      </c>
      <c r="AR640" s="475">
        <v>0</v>
      </c>
      <c r="AS640" s="475">
        <v>0</v>
      </c>
      <c r="AT640" s="475">
        <v>0</v>
      </c>
      <c r="AU640" s="475">
        <v>0</v>
      </c>
      <c r="AV640" s="339" t="str">
        <f t="shared" si="65"/>
        <v>OK</v>
      </c>
    </row>
    <row r="641" spans="2:53" s="299" customFormat="1">
      <c r="C641" s="310" t="str">
        <v>GigaEthernet (600Mbps)</v>
      </c>
      <c r="E641" s="315">
        <v>0.05</v>
      </c>
      <c r="F641" s="315">
        <v>0.2</v>
      </c>
      <c r="G641" s="315">
        <v>0.25</v>
      </c>
      <c r="H641" s="315">
        <v>0.5</v>
      </c>
      <c r="I641"/>
      <c r="J641" s="475">
        <v>0</v>
      </c>
      <c r="K641" s="475">
        <v>0</v>
      </c>
      <c r="L641" s="475">
        <v>0</v>
      </c>
      <c r="M641" s="475">
        <v>0</v>
      </c>
      <c r="N641" s="339" t="str">
        <f t="shared" si="63"/>
        <v>OK</v>
      </c>
      <c r="O641"/>
      <c r="T641" s="310" t="str">
        <v>GigaEthernet (600Mbps)</v>
      </c>
      <c r="V641" s="315">
        <v>0.05</v>
      </c>
      <c r="W641" s="315">
        <v>0.2</v>
      </c>
      <c r="X641" s="315">
        <v>0.25</v>
      </c>
      <c r="Y641" s="315">
        <v>0.5</v>
      </c>
      <c r="AA641" s="475">
        <v>0</v>
      </c>
      <c r="AB641" s="475">
        <v>0</v>
      </c>
      <c r="AC641" s="475">
        <v>0</v>
      </c>
      <c r="AD641" s="475">
        <v>0</v>
      </c>
      <c r="AE641" s="339" t="str">
        <f t="shared" si="64"/>
        <v>OK</v>
      </c>
      <c r="AK641" s="310" t="str">
        <v>GigaEthernet (600Mbps)</v>
      </c>
      <c r="AM641" s="340">
        <v>0.05</v>
      </c>
      <c r="AN641" s="340">
        <v>0.2</v>
      </c>
      <c r="AO641" s="340">
        <v>0.25</v>
      </c>
      <c r="AP641" s="340">
        <v>0.5</v>
      </c>
      <c r="AR641" s="475">
        <v>0</v>
      </c>
      <c r="AS641" s="475">
        <v>0</v>
      </c>
      <c r="AT641" s="475">
        <v>0</v>
      </c>
      <c r="AU641" s="475">
        <v>0</v>
      </c>
      <c r="AV641" s="339" t="str">
        <f t="shared" si="65"/>
        <v>OK</v>
      </c>
    </row>
    <row r="642" spans="2:53" s="299" customFormat="1">
      <c r="C642" s="310" t="str">
        <v>GigaEthernet (750Mbps)</v>
      </c>
      <c r="E642" s="315">
        <v>0.05</v>
      </c>
      <c r="F642" s="315">
        <v>0.2</v>
      </c>
      <c r="G642" s="315">
        <v>0.25</v>
      </c>
      <c r="H642" s="315">
        <v>0.5</v>
      </c>
      <c r="I642"/>
      <c r="J642" s="475">
        <v>0</v>
      </c>
      <c r="K642" s="475">
        <v>0</v>
      </c>
      <c r="L642" s="475">
        <v>0</v>
      </c>
      <c r="M642" s="475">
        <v>0</v>
      </c>
      <c r="N642" s="339" t="str">
        <f t="shared" si="63"/>
        <v>OK</v>
      </c>
      <c r="O642"/>
      <c r="T642" s="310" t="str">
        <v>GigaEthernet (750Mbps)</v>
      </c>
      <c r="V642" s="315">
        <v>0.05</v>
      </c>
      <c r="W642" s="315">
        <v>0.2</v>
      </c>
      <c r="X642" s="315">
        <v>0.25</v>
      </c>
      <c r="Y642" s="315">
        <v>0.5</v>
      </c>
      <c r="AA642" s="475">
        <v>0</v>
      </c>
      <c r="AB642" s="475">
        <v>0</v>
      </c>
      <c r="AC642" s="475">
        <v>0</v>
      </c>
      <c r="AD642" s="475">
        <v>0</v>
      </c>
      <c r="AE642" s="339" t="str">
        <f t="shared" si="64"/>
        <v>OK</v>
      </c>
      <c r="AK642" s="310" t="str">
        <v>GigaEthernet (750Mbps)</v>
      </c>
      <c r="AM642" s="340">
        <v>0.05</v>
      </c>
      <c r="AN642" s="340">
        <v>0.2</v>
      </c>
      <c r="AO642" s="340">
        <v>0.25</v>
      </c>
      <c r="AP642" s="340">
        <v>0.5</v>
      </c>
      <c r="AR642" s="475">
        <v>0</v>
      </c>
      <c r="AS642" s="475">
        <v>0</v>
      </c>
      <c r="AT642" s="475">
        <v>0</v>
      </c>
      <c r="AU642" s="475">
        <v>0</v>
      </c>
      <c r="AV642" s="339" t="str">
        <f t="shared" si="65"/>
        <v>OK</v>
      </c>
    </row>
    <row r="643" spans="2:53" s="299" customFormat="1">
      <c r="C643" s="310" t="str">
        <v>GigaEthernet (1 Gbps)</v>
      </c>
      <c r="E643" s="315">
        <v>0.05</v>
      </c>
      <c r="F643" s="315">
        <v>0.2</v>
      </c>
      <c r="G643" s="315">
        <v>0.25</v>
      </c>
      <c r="H643" s="315">
        <v>0.5</v>
      </c>
      <c r="I643"/>
      <c r="J643" s="475">
        <v>0</v>
      </c>
      <c r="K643" s="475">
        <v>0</v>
      </c>
      <c r="L643" s="475">
        <v>0</v>
      </c>
      <c r="M643" s="475">
        <v>0</v>
      </c>
      <c r="N643" s="339" t="str">
        <f t="shared" si="63"/>
        <v>OK</v>
      </c>
      <c r="O643"/>
      <c r="T643" s="310" t="str">
        <v>GigaEthernet (1 Gbps)</v>
      </c>
      <c r="V643" s="315">
        <v>0.05</v>
      </c>
      <c r="W643" s="315">
        <v>0.2</v>
      </c>
      <c r="X643" s="315">
        <v>0.25</v>
      </c>
      <c r="Y643" s="315">
        <v>0.5</v>
      </c>
      <c r="AA643" s="475">
        <v>0</v>
      </c>
      <c r="AB643" s="475">
        <v>0</v>
      </c>
      <c r="AC643" s="475">
        <v>1</v>
      </c>
      <c r="AD643" s="475">
        <v>0</v>
      </c>
      <c r="AE643" s="339" t="str">
        <f t="shared" si="64"/>
        <v>OK</v>
      </c>
      <c r="AK643" s="310" t="str">
        <v>GigaEthernet (1 Gbps)</v>
      </c>
      <c r="AM643" s="340">
        <v>0.05</v>
      </c>
      <c r="AN643" s="340">
        <v>0.2</v>
      </c>
      <c r="AO643" s="340">
        <v>0.25</v>
      </c>
      <c r="AP643" s="340">
        <v>0.5</v>
      </c>
      <c r="AR643" s="475">
        <v>0</v>
      </c>
      <c r="AS643" s="475">
        <v>0</v>
      </c>
      <c r="AT643" s="475">
        <v>1</v>
      </c>
      <c r="AU643" s="475">
        <v>0</v>
      </c>
      <c r="AV643" s="339" t="str">
        <f t="shared" si="65"/>
        <v>OK</v>
      </c>
    </row>
    <row r="644" spans="2:53" s="299" customFormat="1">
      <c r="I644" s="307" t="s">
        <v>546</v>
      </c>
      <c r="Z644" s="307" t="s">
        <v>596</v>
      </c>
      <c r="AQ644" s="307" t="s">
        <v>597</v>
      </c>
    </row>
    <row r="645" spans="2:53" s="299" customFormat="1"/>
    <row r="646" spans="2:53" s="299" customFormat="1"/>
    <row r="647" spans="2:53" s="299" customFormat="1" ht="17.25" thickBot="1">
      <c r="B647" s="308" t="s">
        <v>494</v>
      </c>
      <c r="C647" s="308"/>
      <c r="D647" s="308"/>
      <c r="E647" s="308"/>
      <c r="S647" s="308" t="s">
        <v>562</v>
      </c>
      <c r="T647" s="308"/>
      <c r="U647" s="308"/>
      <c r="V647" s="308"/>
      <c r="W647" s="308"/>
      <c r="X647" s="308"/>
      <c r="Y647" s="308"/>
      <c r="AJ647" s="308" t="s">
        <v>566</v>
      </c>
      <c r="AK647" s="308"/>
      <c r="AL647" s="308"/>
      <c r="AM647" s="308"/>
      <c r="AN647" s="308"/>
      <c r="AO647" s="308"/>
      <c r="AP647" s="308"/>
    </row>
    <row r="648" spans="2:53" s="299" customFormat="1" ht="18" thickTop="1" thickBot="1">
      <c r="B648" s="308" t="s">
        <v>495</v>
      </c>
      <c r="C648" s="308"/>
      <c r="D648" s="308"/>
      <c r="E648" s="308"/>
      <c r="F648" s="308"/>
      <c r="G648" s="308"/>
      <c r="H648" s="308"/>
      <c r="I648" s="308"/>
      <c r="J648" s="308"/>
      <c r="K648" s="308"/>
      <c r="L648" s="308"/>
      <c r="M648" s="308"/>
      <c r="N648" s="308"/>
      <c r="O648" s="308"/>
      <c r="P648" s="308"/>
      <c r="Q648" s="308"/>
      <c r="S648" s="308" t="s">
        <v>574</v>
      </c>
      <c r="T648" s="308"/>
      <c r="U648" s="308"/>
      <c r="V648" s="308"/>
      <c r="W648" s="308"/>
      <c r="X648" s="308"/>
      <c r="Y648" s="308"/>
      <c r="Z648" s="308"/>
      <c r="AA648" s="308"/>
      <c r="AB648" s="308"/>
      <c r="AC648" s="308"/>
      <c r="AD648" s="308"/>
      <c r="AE648" s="308"/>
      <c r="AF648" s="308"/>
      <c r="AG648" s="308"/>
      <c r="AH648" s="308"/>
      <c r="AJ648" s="308" t="s">
        <v>570</v>
      </c>
      <c r="AK648" s="308"/>
      <c r="AL648" s="308"/>
      <c r="AM648" s="308"/>
      <c r="AN648" s="308"/>
      <c r="AO648" s="308"/>
      <c r="AP648" s="308"/>
      <c r="AQ648" s="308"/>
      <c r="AR648" s="308"/>
      <c r="AS648" s="308"/>
      <c r="AT648" s="308"/>
      <c r="AU648" s="308"/>
      <c r="AV648" s="308"/>
      <c r="AW648" s="308"/>
      <c r="AX648" s="308"/>
      <c r="AY648" s="308"/>
      <c r="AZ648" s="308"/>
      <c r="BA648" s="308"/>
    </row>
    <row r="649" spans="2:53" s="299" customFormat="1" ht="12.75" thickTop="1"/>
    <row r="650" spans="2:53" s="299" customFormat="1" ht="15">
      <c r="C650" s="332" t="s">
        <v>499</v>
      </c>
      <c r="T650" s="332" t="s">
        <v>499</v>
      </c>
      <c r="AK650" s="332" t="s">
        <v>499</v>
      </c>
    </row>
    <row r="651" spans="2:53" s="299" customFormat="1" ht="15">
      <c r="C651" s="332" t="s">
        <v>498</v>
      </c>
      <c r="T651" s="332" t="s">
        <v>498</v>
      </c>
      <c r="AK651" s="332" t="s">
        <v>498</v>
      </c>
    </row>
    <row r="652" spans="2:53" s="299" customFormat="1"/>
    <row r="653" spans="2:53" s="299" customFormat="1">
      <c r="C653" s="326" t="s">
        <v>442</v>
      </c>
      <c r="D653" s="326">
        <f t="array" ref="D653:O653">TRANSPOSE(Years)</f>
        <v>2008</v>
      </c>
      <c r="E653" s="326">
        <v>2009</v>
      </c>
      <c r="F653" s="326">
        <v>2010</v>
      </c>
      <c r="G653" s="326">
        <v>2011</v>
      </c>
      <c r="H653" s="326">
        <v>2012</v>
      </c>
      <c r="I653" s="326">
        <v>2013</v>
      </c>
      <c r="J653" s="326">
        <v>2014</v>
      </c>
      <c r="K653" s="326">
        <v>2015</v>
      </c>
      <c r="L653" s="326">
        <v>2016</v>
      </c>
      <c r="M653" s="326">
        <v>2017</v>
      </c>
      <c r="N653" s="326">
        <v>2018</v>
      </c>
      <c r="O653" s="326">
        <v>2019</v>
      </c>
      <c r="T653" s="338" t="s">
        <v>442</v>
      </c>
      <c r="U653" s="338">
        <f t="array" ref="U653:AF653">TRANSPOSE(Years)</f>
        <v>2008</v>
      </c>
      <c r="V653" s="338">
        <v>2009</v>
      </c>
      <c r="W653" s="338">
        <v>2010</v>
      </c>
      <c r="X653" s="338">
        <v>2011</v>
      </c>
      <c r="Y653" s="338">
        <v>2012</v>
      </c>
      <c r="Z653" s="338">
        <v>2013</v>
      </c>
      <c r="AA653" s="338">
        <v>2014</v>
      </c>
      <c r="AB653" s="338">
        <v>2015</v>
      </c>
      <c r="AC653" s="338">
        <v>2016</v>
      </c>
      <c r="AD653" s="338">
        <v>2017</v>
      </c>
      <c r="AE653" s="338">
        <v>2018</v>
      </c>
      <c r="AF653" s="338">
        <v>2019</v>
      </c>
      <c r="AK653" s="338" t="s">
        <v>442</v>
      </c>
      <c r="AL653" s="338">
        <f t="array" ref="AL653:AW653">TRANSPOSE(Years)</f>
        <v>2008</v>
      </c>
      <c r="AM653" s="338">
        <v>2009</v>
      </c>
      <c r="AN653" s="338">
        <v>2010</v>
      </c>
      <c r="AO653" s="338">
        <v>2011</v>
      </c>
      <c r="AP653" s="338">
        <v>2012</v>
      </c>
      <c r="AQ653" s="338">
        <v>2013</v>
      </c>
      <c r="AR653" s="338">
        <v>2014</v>
      </c>
      <c r="AS653" s="338">
        <v>2015</v>
      </c>
      <c r="AT653" s="338">
        <v>2016</v>
      </c>
      <c r="AU653" s="338">
        <v>2017</v>
      </c>
      <c r="AV653" s="338">
        <v>2018</v>
      </c>
      <c r="AW653" s="338">
        <v>2019</v>
      </c>
    </row>
    <row r="654" spans="2:53" s="299" customFormat="1">
      <c r="C654" s="310" t="str">
        <f t="array" ref="C654:C691">LL.list</f>
        <v>64 kbps</v>
      </c>
      <c r="E654" s="335">
        <f t="array" ref="E654:J691">Cruze.Fronterizo.LL.2009.2014.retail</f>
        <v>13.599999999999998</v>
      </c>
      <c r="F654" s="335">
        <v>11</v>
      </c>
      <c r="G654" s="335">
        <v>8.7199999999999989</v>
      </c>
      <c r="H654" s="335">
        <v>3.5199999999999996</v>
      </c>
      <c r="I654" s="335">
        <v>3.9600000000000009</v>
      </c>
      <c r="J654" s="335">
        <v>3.08</v>
      </c>
      <c r="K654" s="473"/>
      <c r="L654" s="473"/>
      <c r="M654" s="473"/>
      <c r="N654" s="473"/>
      <c r="O654" s="473"/>
      <c r="T654" s="310" t="str">
        <f t="array" ref="T654:T691">LL.list</f>
        <v>64 kbps</v>
      </c>
      <c r="V654" s="335">
        <f t="array" ref="V654:AA691">Cruze.Fronterizo.LL.2009.2014.wholesale</f>
        <v>14</v>
      </c>
      <c r="W654" s="335">
        <v>11</v>
      </c>
      <c r="X654" s="335">
        <v>10</v>
      </c>
      <c r="Y654" s="335">
        <v>5</v>
      </c>
      <c r="Z654" s="335">
        <v>5</v>
      </c>
      <c r="AA654" s="335">
        <v>5</v>
      </c>
      <c r="AB654" s="473"/>
      <c r="AC654" s="473"/>
      <c r="AD654" s="473"/>
      <c r="AE654" s="473"/>
      <c r="AF654" s="473"/>
      <c r="AK654" s="310" t="str">
        <f t="array" ref="AK654:AK691">LL.list</f>
        <v>64 kbps</v>
      </c>
      <c r="AM654" s="335">
        <f t="array" ref="AM654:AR691">Cruze.Fronterizo.LL.2009.2014.total</f>
        <v>27.599999999999998</v>
      </c>
      <c r="AN654" s="335">
        <v>22</v>
      </c>
      <c r="AO654" s="335">
        <v>18.72</v>
      </c>
      <c r="AP654" s="335">
        <v>8.52</v>
      </c>
      <c r="AQ654" s="335">
        <v>8.9600000000000009</v>
      </c>
      <c r="AR654" s="335">
        <v>8.08</v>
      </c>
      <c r="AS654" s="473"/>
      <c r="AT654" s="473"/>
      <c r="AU654" s="473"/>
      <c r="AV654" s="473"/>
      <c r="AW654" s="473"/>
    </row>
    <row r="655" spans="2:53" s="299" customFormat="1">
      <c r="C655" s="310" t="str">
        <v>128 kbps</v>
      </c>
      <c r="E655" s="335">
        <v>4.5400000000000009</v>
      </c>
      <c r="F655" s="335">
        <v>1.5</v>
      </c>
      <c r="G655" s="335">
        <v>1.08</v>
      </c>
      <c r="H655" s="335">
        <v>0.58000000000000007</v>
      </c>
      <c r="I655" s="335">
        <v>0.2799999999999998</v>
      </c>
      <c r="J655" s="335">
        <v>0.60000000000000009</v>
      </c>
      <c r="K655" s="473"/>
      <c r="L655" s="473"/>
      <c r="M655" s="473"/>
      <c r="N655" s="473"/>
      <c r="O655" s="473"/>
      <c r="T655" s="310" t="str">
        <v>128 kbps</v>
      </c>
      <c r="V655" s="335">
        <v>5</v>
      </c>
      <c r="W655" s="335">
        <v>3</v>
      </c>
      <c r="X655" s="335">
        <v>3</v>
      </c>
      <c r="Y655" s="335">
        <v>1</v>
      </c>
      <c r="Z655" s="335">
        <v>2</v>
      </c>
      <c r="AA655" s="335">
        <v>1</v>
      </c>
      <c r="AB655" s="473"/>
      <c r="AC655" s="473"/>
      <c r="AD655" s="473"/>
      <c r="AE655" s="473"/>
      <c r="AF655" s="473"/>
      <c r="AK655" s="310" t="str">
        <v>128 kbps</v>
      </c>
      <c r="AM655" s="335">
        <v>9.5400000000000009</v>
      </c>
      <c r="AN655" s="335">
        <v>4.5</v>
      </c>
      <c r="AO655" s="335">
        <v>4.08</v>
      </c>
      <c r="AP655" s="335">
        <v>1.58</v>
      </c>
      <c r="AQ655" s="335">
        <v>2.2799999999999998</v>
      </c>
      <c r="AR655" s="335">
        <v>1.6</v>
      </c>
      <c r="AS655" s="473"/>
      <c r="AT655" s="473"/>
      <c r="AU655" s="473"/>
      <c r="AV655" s="473"/>
      <c r="AW655" s="473"/>
    </row>
    <row r="656" spans="2:53" s="299" customFormat="1">
      <c r="C656" s="310" t="str">
        <v>192 kbps</v>
      </c>
      <c r="E656" s="335">
        <v>0</v>
      </c>
      <c r="F656" s="335">
        <v>0</v>
      </c>
      <c r="G656" s="335">
        <v>0</v>
      </c>
      <c r="H656" s="335">
        <v>0</v>
      </c>
      <c r="I656" s="335">
        <v>0</v>
      </c>
      <c r="J656" s="335">
        <v>0</v>
      </c>
      <c r="K656" s="473"/>
      <c r="L656" s="473"/>
      <c r="M656" s="473"/>
      <c r="N656" s="473"/>
      <c r="O656" s="473"/>
      <c r="T656" s="310" t="str">
        <v>192 kbps</v>
      </c>
      <c r="V656" s="335">
        <v>0</v>
      </c>
      <c r="W656" s="335">
        <v>0</v>
      </c>
      <c r="X656" s="335">
        <v>0</v>
      </c>
      <c r="Y656" s="335">
        <v>0</v>
      </c>
      <c r="Z656" s="335">
        <v>0</v>
      </c>
      <c r="AA656" s="335">
        <v>0</v>
      </c>
      <c r="AB656" s="473"/>
      <c r="AC656" s="473"/>
      <c r="AD656" s="473"/>
      <c r="AE656" s="473"/>
      <c r="AF656" s="473"/>
      <c r="AK656" s="310" t="str">
        <v>192 kbps</v>
      </c>
      <c r="AM656" s="335">
        <v>0</v>
      </c>
      <c r="AN656" s="335">
        <v>0</v>
      </c>
      <c r="AO656" s="335">
        <v>0</v>
      </c>
      <c r="AP656" s="335">
        <v>0</v>
      </c>
      <c r="AQ656" s="335">
        <v>0</v>
      </c>
      <c r="AR656" s="335">
        <v>0</v>
      </c>
      <c r="AS656" s="473"/>
      <c r="AT656" s="473"/>
      <c r="AU656" s="473"/>
      <c r="AV656" s="473"/>
      <c r="AW656" s="473"/>
    </row>
    <row r="657" spans="3:49" s="299" customFormat="1">
      <c r="C657" s="310" t="str">
        <v>256 kbps</v>
      </c>
      <c r="E657" s="335">
        <v>2.08</v>
      </c>
      <c r="F657" s="335">
        <v>2.34</v>
      </c>
      <c r="G657" s="335">
        <v>2.0499999999999998</v>
      </c>
      <c r="H657" s="335">
        <v>2.75</v>
      </c>
      <c r="I657" s="335">
        <v>1.9000000000000004</v>
      </c>
      <c r="J657" s="335">
        <v>0.29999999999999982</v>
      </c>
      <c r="K657" s="473"/>
      <c r="L657" s="473"/>
      <c r="M657" s="473"/>
      <c r="N657" s="473"/>
      <c r="O657" s="473"/>
      <c r="T657" s="310" t="str">
        <v>256 kbps</v>
      </c>
      <c r="V657" s="335">
        <v>4</v>
      </c>
      <c r="W657" s="335">
        <v>3</v>
      </c>
      <c r="X657" s="335">
        <v>4</v>
      </c>
      <c r="Y657" s="335">
        <v>3</v>
      </c>
      <c r="Z657" s="335">
        <v>2</v>
      </c>
      <c r="AA657" s="335">
        <v>2</v>
      </c>
      <c r="AB657" s="473"/>
      <c r="AC657" s="473"/>
      <c r="AD657" s="473"/>
      <c r="AE657" s="473"/>
      <c r="AF657" s="473"/>
      <c r="AK657" s="310" t="str">
        <v>256 kbps</v>
      </c>
      <c r="AM657" s="335">
        <v>6.08</v>
      </c>
      <c r="AN657" s="335">
        <v>5.34</v>
      </c>
      <c r="AO657" s="335">
        <v>6.05</v>
      </c>
      <c r="AP657" s="335">
        <v>5.75</v>
      </c>
      <c r="AQ657" s="335">
        <v>3.9000000000000004</v>
      </c>
      <c r="AR657" s="335">
        <v>2.2999999999999998</v>
      </c>
      <c r="AS657" s="473"/>
      <c r="AT657" s="473"/>
      <c r="AU657" s="473"/>
      <c r="AV657" s="473"/>
      <c r="AW657" s="473"/>
    </row>
    <row r="658" spans="3:49" s="299" customFormat="1">
      <c r="C658" s="310" t="str">
        <v>384 kbps</v>
      </c>
      <c r="E658" s="335">
        <v>0</v>
      </c>
      <c r="F658" s="335">
        <v>0</v>
      </c>
      <c r="G658" s="335">
        <v>0</v>
      </c>
      <c r="H658" s="335">
        <v>0</v>
      </c>
      <c r="I658" s="335">
        <v>0</v>
      </c>
      <c r="J658" s="335">
        <v>0</v>
      </c>
      <c r="K658" s="473"/>
      <c r="L658" s="473"/>
      <c r="M658" s="473"/>
      <c r="N658" s="473"/>
      <c r="O658" s="473"/>
      <c r="T658" s="310" t="str">
        <v>384 kbps</v>
      </c>
      <c r="V658" s="335">
        <v>0</v>
      </c>
      <c r="W658" s="335">
        <v>0</v>
      </c>
      <c r="X658" s="335">
        <v>0</v>
      </c>
      <c r="Y658" s="335">
        <v>0</v>
      </c>
      <c r="Z658" s="335">
        <v>0</v>
      </c>
      <c r="AA658" s="335">
        <v>0</v>
      </c>
      <c r="AB658" s="473"/>
      <c r="AC658" s="473"/>
      <c r="AD658" s="473"/>
      <c r="AE658" s="473"/>
      <c r="AF658" s="473"/>
      <c r="AK658" s="310" t="str">
        <v>384 kbps</v>
      </c>
      <c r="AM658" s="335">
        <v>0</v>
      </c>
      <c r="AN658" s="335">
        <v>0</v>
      </c>
      <c r="AO658" s="335">
        <v>0</v>
      </c>
      <c r="AP658" s="335">
        <v>0</v>
      </c>
      <c r="AQ658" s="335">
        <v>0</v>
      </c>
      <c r="AR658" s="335">
        <v>0</v>
      </c>
      <c r="AS658" s="473"/>
      <c r="AT658" s="473"/>
      <c r="AU658" s="473"/>
      <c r="AV658" s="473"/>
      <c r="AW658" s="473"/>
    </row>
    <row r="659" spans="3:49" s="299" customFormat="1">
      <c r="C659" s="310" t="str">
        <v>512 kbps</v>
      </c>
      <c r="E659" s="335">
        <v>3.9799999999999995</v>
      </c>
      <c r="F659" s="335">
        <v>2.16</v>
      </c>
      <c r="G659" s="335">
        <v>1.9500000000000002</v>
      </c>
      <c r="H659" s="335">
        <v>1.3899999999999997</v>
      </c>
      <c r="I659" s="335">
        <v>0.67999999999999994</v>
      </c>
      <c r="J659" s="335">
        <v>0.43999999999999995</v>
      </c>
      <c r="K659" s="473"/>
      <c r="L659" s="473"/>
      <c r="M659" s="473"/>
      <c r="N659" s="473"/>
      <c r="O659" s="473"/>
      <c r="T659" s="310" t="str">
        <v>512 kbps</v>
      </c>
      <c r="V659" s="335">
        <v>4</v>
      </c>
      <c r="W659" s="335">
        <v>3</v>
      </c>
      <c r="X659" s="335">
        <v>2</v>
      </c>
      <c r="Y659" s="335">
        <v>2</v>
      </c>
      <c r="Z659" s="335">
        <v>1</v>
      </c>
      <c r="AA659" s="335">
        <v>1</v>
      </c>
      <c r="AB659" s="473"/>
      <c r="AC659" s="473"/>
      <c r="AD659" s="473"/>
      <c r="AE659" s="473"/>
      <c r="AF659" s="473"/>
      <c r="AK659" s="310" t="str">
        <v>512 kbps</v>
      </c>
      <c r="AM659" s="335">
        <v>7.9799999999999995</v>
      </c>
      <c r="AN659" s="335">
        <v>5.16</v>
      </c>
      <c r="AO659" s="335">
        <v>3.95</v>
      </c>
      <c r="AP659" s="335">
        <v>3.3899999999999997</v>
      </c>
      <c r="AQ659" s="335">
        <v>1.68</v>
      </c>
      <c r="AR659" s="335">
        <v>1.44</v>
      </c>
      <c r="AS659" s="473"/>
      <c r="AT659" s="473"/>
      <c r="AU659" s="473"/>
      <c r="AV659" s="473"/>
      <c r="AW659" s="473"/>
    </row>
    <row r="660" spans="3:49" s="299" customFormat="1">
      <c r="C660" s="310" t="str">
        <v>768 kbps</v>
      </c>
      <c r="E660" s="335">
        <v>0.17999999999999994</v>
      </c>
      <c r="F660" s="335">
        <v>-7.999999999999996E-2</v>
      </c>
      <c r="G660" s="335">
        <v>0.1399999999999999</v>
      </c>
      <c r="H660" s="335">
        <v>-0.18000000000000005</v>
      </c>
      <c r="I660" s="335">
        <v>0</v>
      </c>
      <c r="J660" s="335">
        <v>0</v>
      </c>
      <c r="K660" s="473"/>
      <c r="L660" s="473"/>
      <c r="M660" s="473"/>
      <c r="N660" s="473"/>
      <c r="O660" s="473"/>
      <c r="T660" s="310" t="str">
        <v>768 kbps</v>
      </c>
      <c r="V660" s="335">
        <v>1</v>
      </c>
      <c r="W660" s="335">
        <v>1</v>
      </c>
      <c r="X660" s="335">
        <v>1</v>
      </c>
      <c r="Y660" s="335">
        <v>1</v>
      </c>
      <c r="Z660" s="335">
        <v>0</v>
      </c>
      <c r="AA660" s="335">
        <v>0</v>
      </c>
      <c r="AB660" s="473"/>
      <c r="AC660" s="473"/>
      <c r="AD660" s="473"/>
      <c r="AE660" s="473"/>
      <c r="AF660" s="473"/>
      <c r="AK660" s="310" t="str">
        <v>768 kbps</v>
      </c>
      <c r="AM660" s="335">
        <v>1.18</v>
      </c>
      <c r="AN660" s="335">
        <v>0.92</v>
      </c>
      <c r="AO660" s="335">
        <v>1.1399999999999999</v>
      </c>
      <c r="AP660" s="335">
        <v>0.82</v>
      </c>
      <c r="AQ660" s="335">
        <v>0</v>
      </c>
      <c r="AR660" s="335">
        <v>0</v>
      </c>
      <c r="AS660" s="473"/>
      <c r="AT660" s="473"/>
      <c r="AU660" s="473"/>
      <c r="AV660" s="473"/>
      <c r="AW660" s="473"/>
    </row>
    <row r="661" spans="3:49" s="299" customFormat="1">
      <c r="C661" s="310" t="str">
        <v>1024 kbps</v>
      </c>
      <c r="E661" s="335">
        <v>1.75</v>
      </c>
      <c r="F661" s="335">
        <v>0.35999999999999988</v>
      </c>
      <c r="G661" s="335">
        <v>0</v>
      </c>
      <c r="H661" s="335">
        <v>0</v>
      </c>
      <c r="I661" s="335">
        <v>0</v>
      </c>
      <c r="J661" s="335">
        <v>0</v>
      </c>
      <c r="K661" s="473"/>
      <c r="L661" s="473"/>
      <c r="M661" s="473"/>
      <c r="N661" s="473"/>
      <c r="O661" s="473"/>
      <c r="T661" s="310" t="str">
        <v>1024 kbps</v>
      </c>
      <c r="V661" s="335">
        <v>3</v>
      </c>
      <c r="W661" s="335">
        <v>2</v>
      </c>
      <c r="X661" s="335">
        <v>0</v>
      </c>
      <c r="Y661" s="335">
        <v>0</v>
      </c>
      <c r="Z661" s="335">
        <v>0</v>
      </c>
      <c r="AA661" s="335">
        <v>0</v>
      </c>
      <c r="AB661" s="473"/>
      <c r="AC661" s="473"/>
      <c r="AD661" s="473"/>
      <c r="AE661" s="473"/>
      <c r="AF661" s="473"/>
      <c r="AK661" s="310" t="str">
        <v>1024 kbps</v>
      </c>
      <c r="AM661" s="335">
        <v>4.75</v>
      </c>
      <c r="AN661" s="335">
        <v>2.36</v>
      </c>
      <c r="AO661" s="335">
        <v>0</v>
      </c>
      <c r="AP661" s="335">
        <v>0</v>
      </c>
      <c r="AQ661" s="335">
        <v>0</v>
      </c>
      <c r="AR661" s="335">
        <v>0</v>
      </c>
      <c r="AS661" s="473"/>
      <c r="AT661" s="473"/>
      <c r="AU661" s="473"/>
      <c r="AV661" s="473"/>
      <c r="AW661" s="473"/>
    </row>
    <row r="662" spans="3:49" s="299" customFormat="1">
      <c r="C662" s="331" t="str">
        <v>E1 (2.04 Mbps)</v>
      </c>
      <c r="E662" s="335">
        <v>147.39000000000004</v>
      </c>
      <c r="F662" s="335">
        <v>123.5</v>
      </c>
      <c r="G662" s="335">
        <v>96.359999999999985</v>
      </c>
      <c r="H662" s="335">
        <v>96.97</v>
      </c>
      <c r="I662" s="335">
        <v>54.959999999999994</v>
      </c>
      <c r="J662" s="335">
        <v>48.2</v>
      </c>
      <c r="K662" s="473"/>
      <c r="L662" s="473"/>
      <c r="M662" s="473"/>
      <c r="N662" s="473"/>
      <c r="O662" s="473"/>
      <c r="T662" s="331" t="str">
        <v>E1 (2.04 Mbps)</v>
      </c>
      <c r="V662" s="335">
        <v>148</v>
      </c>
      <c r="W662" s="335">
        <v>124</v>
      </c>
      <c r="X662" s="335">
        <v>98</v>
      </c>
      <c r="Y662" s="335">
        <v>98</v>
      </c>
      <c r="Z662" s="335">
        <v>56</v>
      </c>
      <c r="AA662" s="335">
        <v>49</v>
      </c>
      <c r="AB662" s="473"/>
      <c r="AC662" s="473"/>
      <c r="AD662" s="473"/>
      <c r="AE662" s="473"/>
      <c r="AF662" s="473"/>
      <c r="AK662" s="331" t="str">
        <v>E1 (2.04 Mbps)</v>
      </c>
      <c r="AM662" s="335">
        <v>295.39000000000004</v>
      </c>
      <c r="AN662" s="335">
        <v>247.5</v>
      </c>
      <c r="AO662" s="335">
        <v>194.35999999999999</v>
      </c>
      <c r="AP662" s="335">
        <v>194.97</v>
      </c>
      <c r="AQ662" s="335">
        <v>110.96</v>
      </c>
      <c r="AR662" s="335">
        <v>97.2</v>
      </c>
      <c r="AS662" s="473"/>
      <c r="AT662" s="473"/>
      <c r="AU662" s="473"/>
      <c r="AV662" s="473"/>
      <c r="AW662" s="473"/>
    </row>
    <row r="663" spans="3:49" s="299" customFormat="1">
      <c r="C663" s="331" t="str">
        <v>E2 *</v>
      </c>
      <c r="E663" s="335">
        <v>0</v>
      </c>
      <c r="F663" s="335">
        <v>0</v>
      </c>
      <c r="G663" s="335">
        <v>0</v>
      </c>
      <c r="H663" s="335">
        <v>0</v>
      </c>
      <c r="I663" s="335">
        <v>0</v>
      </c>
      <c r="J663" s="335">
        <v>0</v>
      </c>
      <c r="K663" s="473"/>
      <c r="L663" s="473"/>
      <c r="M663" s="473"/>
      <c r="N663" s="473"/>
      <c r="O663" s="473"/>
      <c r="T663" s="331" t="str">
        <v>E2 *</v>
      </c>
      <c r="V663" s="335">
        <v>0</v>
      </c>
      <c r="W663" s="335">
        <v>0</v>
      </c>
      <c r="X663" s="335">
        <v>0</v>
      </c>
      <c r="Y663" s="335">
        <v>0</v>
      </c>
      <c r="Z663" s="335">
        <v>0</v>
      </c>
      <c r="AA663" s="335">
        <v>0</v>
      </c>
      <c r="AB663" s="473"/>
      <c r="AC663" s="473"/>
      <c r="AD663" s="473"/>
      <c r="AE663" s="473"/>
      <c r="AF663" s="473"/>
      <c r="AK663" s="331" t="str">
        <v>E2 *</v>
      </c>
      <c r="AM663" s="335">
        <v>0</v>
      </c>
      <c r="AN663" s="335">
        <v>0</v>
      </c>
      <c r="AO663" s="335">
        <v>0</v>
      </c>
      <c r="AP663" s="335">
        <v>0</v>
      </c>
      <c r="AQ663" s="335">
        <v>0</v>
      </c>
      <c r="AR663" s="335">
        <v>0</v>
      </c>
      <c r="AS663" s="473"/>
      <c r="AT663" s="473"/>
      <c r="AU663" s="473"/>
      <c r="AV663" s="473"/>
      <c r="AW663" s="473"/>
    </row>
    <row r="664" spans="3:49" s="299" customFormat="1">
      <c r="C664" s="331" t="str">
        <v>E3 (34 Mbps)</v>
      </c>
      <c r="E664" s="335">
        <v>0</v>
      </c>
      <c r="F664" s="335">
        <v>0</v>
      </c>
      <c r="G664" s="335">
        <v>0</v>
      </c>
      <c r="H664" s="335">
        <v>0</v>
      </c>
      <c r="I664" s="335">
        <v>0</v>
      </c>
      <c r="J664" s="335">
        <v>0</v>
      </c>
      <c r="K664" s="473"/>
      <c r="L664" s="473"/>
      <c r="M664" s="473"/>
      <c r="N664" s="473"/>
      <c r="O664" s="473"/>
      <c r="T664" s="331" t="str">
        <v>E3 (34 Mbps)</v>
      </c>
      <c r="V664" s="335">
        <v>0</v>
      </c>
      <c r="W664" s="335">
        <v>0</v>
      </c>
      <c r="X664" s="335">
        <v>0</v>
      </c>
      <c r="Y664" s="335">
        <v>0</v>
      </c>
      <c r="Z664" s="335">
        <v>0</v>
      </c>
      <c r="AA664" s="335">
        <v>0</v>
      </c>
      <c r="AB664" s="473"/>
      <c r="AC664" s="473"/>
      <c r="AD664" s="473"/>
      <c r="AE664" s="473"/>
      <c r="AF664" s="473"/>
      <c r="AK664" s="331" t="str">
        <v>E3 (34 Mbps)</v>
      </c>
      <c r="AM664" s="335">
        <v>0</v>
      </c>
      <c r="AN664" s="335">
        <v>0</v>
      </c>
      <c r="AO664" s="335">
        <v>0</v>
      </c>
      <c r="AP664" s="335">
        <v>0</v>
      </c>
      <c r="AQ664" s="335">
        <v>0</v>
      </c>
      <c r="AR664" s="335">
        <v>0</v>
      </c>
      <c r="AS664" s="473"/>
      <c r="AT664" s="473"/>
      <c r="AU664" s="473"/>
      <c r="AV664" s="473"/>
      <c r="AW664" s="473"/>
    </row>
    <row r="665" spans="3:49" s="299" customFormat="1">
      <c r="C665" s="331" t="str">
        <v>STM-1 (155 Mbps)</v>
      </c>
      <c r="E665" s="335">
        <v>0</v>
      </c>
      <c r="F665" s="335">
        <v>0</v>
      </c>
      <c r="G665" s="335">
        <v>0</v>
      </c>
      <c r="H665" s="335">
        <v>0</v>
      </c>
      <c r="I665" s="335">
        <v>0</v>
      </c>
      <c r="J665" s="335">
        <v>0</v>
      </c>
      <c r="K665" s="473"/>
      <c r="L665" s="473"/>
      <c r="M665" s="473"/>
      <c r="N665" s="473"/>
      <c r="O665" s="473"/>
      <c r="T665" s="331" t="str">
        <v>STM-1 (155 Mbps)</v>
      </c>
      <c r="V665" s="335">
        <v>0</v>
      </c>
      <c r="W665" s="335">
        <v>0</v>
      </c>
      <c r="X665" s="335">
        <v>0</v>
      </c>
      <c r="Y665" s="335">
        <v>0</v>
      </c>
      <c r="Z665" s="335">
        <v>0</v>
      </c>
      <c r="AA665" s="335">
        <v>0</v>
      </c>
      <c r="AB665" s="473"/>
      <c r="AC665" s="473"/>
      <c r="AD665" s="473"/>
      <c r="AE665" s="473"/>
      <c r="AF665" s="473"/>
      <c r="AK665" s="331" t="str">
        <v>STM-1 (155 Mbps)</v>
      </c>
      <c r="AM665" s="335">
        <v>0</v>
      </c>
      <c r="AN665" s="335">
        <v>0</v>
      </c>
      <c r="AO665" s="335">
        <v>0</v>
      </c>
      <c r="AP665" s="335">
        <v>0</v>
      </c>
      <c r="AQ665" s="335">
        <v>0</v>
      </c>
      <c r="AR665" s="335">
        <v>0</v>
      </c>
      <c r="AS665" s="473"/>
      <c r="AT665" s="473"/>
      <c r="AU665" s="473"/>
      <c r="AV665" s="473"/>
      <c r="AW665" s="473"/>
    </row>
    <row r="666" spans="3:49" s="299" customFormat="1">
      <c r="C666" s="310" t="str">
        <v>STM-4 (622.08 Mbps)</v>
      </c>
      <c r="E666" s="335">
        <v>0</v>
      </c>
      <c r="F666" s="335">
        <v>0</v>
      </c>
      <c r="G666" s="335">
        <v>0</v>
      </c>
      <c r="H666" s="335">
        <v>0</v>
      </c>
      <c r="I666" s="335">
        <v>0</v>
      </c>
      <c r="J666" s="335">
        <v>0</v>
      </c>
      <c r="K666" s="473"/>
      <c r="L666" s="473"/>
      <c r="M666" s="473"/>
      <c r="N666" s="473"/>
      <c r="O666" s="473"/>
      <c r="T666" s="310" t="str">
        <v>STM-4 (622.08 Mbps)</v>
      </c>
      <c r="V666" s="335">
        <v>0</v>
      </c>
      <c r="W666" s="335">
        <v>0</v>
      </c>
      <c r="X666" s="335">
        <v>0</v>
      </c>
      <c r="Y666" s="335">
        <v>0</v>
      </c>
      <c r="Z666" s="335">
        <v>0</v>
      </c>
      <c r="AA666" s="335">
        <v>0</v>
      </c>
      <c r="AB666" s="473"/>
      <c r="AC666" s="473"/>
      <c r="AD666" s="473"/>
      <c r="AE666" s="473"/>
      <c r="AF666" s="473"/>
      <c r="AK666" s="310" t="str">
        <v>STM-4 (622.08 Mbps)</v>
      </c>
      <c r="AM666" s="335">
        <v>0</v>
      </c>
      <c r="AN666" s="335">
        <v>0</v>
      </c>
      <c r="AO666" s="335">
        <v>0</v>
      </c>
      <c r="AP666" s="335">
        <v>0</v>
      </c>
      <c r="AQ666" s="335">
        <v>0</v>
      </c>
      <c r="AR666" s="335">
        <v>0</v>
      </c>
      <c r="AS666" s="473"/>
      <c r="AT666" s="473"/>
      <c r="AU666" s="473"/>
      <c r="AV666" s="473"/>
      <c r="AW666" s="473"/>
    </row>
    <row r="667" spans="3:49" s="299" customFormat="1">
      <c r="C667" s="310" t="str">
        <v>STM-16 (2488.32Mbps)</v>
      </c>
      <c r="E667" s="335">
        <v>0</v>
      </c>
      <c r="F667" s="335">
        <v>0</v>
      </c>
      <c r="G667" s="335">
        <v>0</v>
      </c>
      <c r="H667" s="335">
        <v>0</v>
      </c>
      <c r="I667" s="335">
        <v>0</v>
      </c>
      <c r="J667" s="335">
        <v>0</v>
      </c>
      <c r="K667" s="473"/>
      <c r="L667" s="473"/>
      <c r="M667" s="473"/>
      <c r="N667" s="473"/>
      <c r="O667" s="473"/>
      <c r="T667" s="310" t="str">
        <v>STM-16 (2488.32Mbps)</v>
      </c>
      <c r="V667" s="335">
        <v>0</v>
      </c>
      <c r="W667" s="335">
        <v>0</v>
      </c>
      <c r="X667" s="335">
        <v>0</v>
      </c>
      <c r="Y667" s="335">
        <v>0</v>
      </c>
      <c r="Z667" s="335">
        <v>0</v>
      </c>
      <c r="AA667" s="335">
        <v>0</v>
      </c>
      <c r="AB667" s="473"/>
      <c r="AC667" s="473"/>
      <c r="AD667" s="473"/>
      <c r="AE667" s="473"/>
      <c r="AF667" s="473"/>
      <c r="AK667" s="310" t="str">
        <v>STM-16 (2488.32Mbps)</v>
      </c>
      <c r="AM667" s="335">
        <v>0</v>
      </c>
      <c r="AN667" s="335">
        <v>0</v>
      </c>
      <c r="AO667" s="335">
        <v>0</v>
      </c>
      <c r="AP667" s="335">
        <v>0</v>
      </c>
      <c r="AQ667" s="335">
        <v>0</v>
      </c>
      <c r="AR667" s="335">
        <v>0</v>
      </c>
      <c r="AS667" s="473"/>
      <c r="AT667" s="473"/>
      <c r="AU667" s="473"/>
      <c r="AV667" s="473"/>
      <c r="AW667" s="473"/>
    </row>
    <row r="668" spans="3:49" s="299" customFormat="1">
      <c r="C668" s="310" t="str">
        <v>STM-64 (9953.28Mbps)</v>
      </c>
      <c r="E668" s="335">
        <v>0</v>
      </c>
      <c r="F668" s="335">
        <v>0</v>
      </c>
      <c r="G668" s="335">
        <v>0</v>
      </c>
      <c r="H668" s="335">
        <v>0</v>
      </c>
      <c r="I668" s="335">
        <v>0</v>
      </c>
      <c r="J668" s="335">
        <v>0</v>
      </c>
      <c r="K668" s="473"/>
      <c r="L668" s="473"/>
      <c r="M668" s="473"/>
      <c r="N668" s="473"/>
      <c r="O668" s="473"/>
      <c r="T668" s="310" t="str">
        <v>STM-64 (9953.28Mbps)</v>
      </c>
      <c r="V668" s="335">
        <v>0</v>
      </c>
      <c r="W668" s="335">
        <v>0</v>
      </c>
      <c r="X668" s="335">
        <v>0</v>
      </c>
      <c r="Y668" s="335">
        <v>0</v>
      </c>
      <c r="Z668" s="335">
        <v>0</v>
      </c>
      <c r="AA668" s="335">
        <v>0</v>
      </c>
      <c r="AB668" s="473"/>
      <c r="AC668" s="473"/>
      <c r="AD668" s="473"/>
      <c r="AE668" s="473"/>
      <c r="AF668" s="473"/>
      <c r="AK668" s="310" t="str">
        <v>STM-64 (9953.28Mbps)</v>
      </c>
      <c r="AM668" s="335">
        <v>0</v>
      </c>
      <c r="AN668" s="335">
        <v>0</v>
      </c>
      <c r="AO668" s="335">
        <v>0</v>
      </c>
      <c r="AP668" s="335">
        <v>0</v>
      </c>
      <c r="AQ668" s="335">
        <v>0</v>
      </c>
      <c r="AR668" s="335">
        <v>0</v>
      </c>
      <c r="AS668" s="473"/>
      <c r="AT668" s="473"/>
      <c r="AU668" s="473"/>
      <c r="AV668" s="473"/>
      <c r="AW668" s="473"/>
    </row>
    <row r="669" spans="3:49" s="299" customFormat="1">
      <c r="C669" s="310" t="str">
        <v>STM-256 (39813.12 Mbps)*</v>
      </c>
      <c r="E669" s="335">
        <v>0</v>
      </c>
      <c r="F669" s="335">
        <v>0</v>
      </c>
      <c r="G669" s="335">
        <v>0</v>
      </c>
      <c r="H669" s="335">
        <v>0</v>
      </c>
      <c r="I669" s="335">
        <v>0</v>
      </c>
      <c r="J669" s="335">
        <v>0</v>
      </c>
      <c r="K669" s="473"/>
      <c r="L669" s="473"/>
      <c r="M669" s="473"/>
      <c r="N669" s="473"/>
      <c r="O669" s="473"/>
      <c r="T669" s="310" t="str">
        <v>STM-256 (39813.12 Mbps)*</v>
      </c>
      <c r="V669" s="335">
        <v>0</v>
      </c>
      <c r="W669" s="335">
        <v>0</v>
      </c>
      <c r="X669" s="335">
        <v>0</v>
      </c>
      <c r="Y669" s="335">
        <v>0</v>
      </c>
      <c r="Z669" s="335">
        <v>0</v>
      </c>
      <c r="AA669" s="335">
        <v>0</v>
      </c>
      <c r="AB669" s="473"/>
      <c r="AC669" s="473"/>
      <c r="AD669" s="473"/>
      <c r="AE669" s="473"/>
      <c r="AF669" s="473"/>
      <c r="AK669" s="310" t="str">
        <v>STM-256 (39813.12 Mbps)*</v>
      </c>
      <c r="AM669" s="335">
        <v>0</v>
      </c>
      <c r="AN669" s="335">
        <v>0</v>
      </c>
      <c r="AO669" s="335">
        <v>0</v>
      </c>
      <c r="AP669" s="335">
        <v>0</v>
      </c>
      <c r="AQ669" s="335">
        <v>0</v>
      </c>
      <c r="AR669" s="335">
        <v>0</v>
      </c>
      <c r="AS669" s="473"/>
      <c r="AT669" s="473"/>
      <c r="AU669" s="473"/>
      <c r="AV669" s="473"/>
      <c r="AW669" s="473"/>
    </row>
    <row r="670" spans="3:49" s="299" customFormat="1">
      <c r="C670" s="310" t="str">
        <v>Ethernet (10Mbps)</v>
      </c>
      <c r="E670" s="335">
        <v>0</v>
      </c>
      <c r="F670" s="335">
        <v>0</v>
      </c>
      <c r="G670" s="335">
        <v>0</v>
      </c>
      <c r="H670" s="335">
        <v>0</v>
      </c>
      <c r="I670" s="335">
        <v>0</v>
      </c>
      <c r="J670" s="335">
        <v>0</v>
      </c>
      <c r="K670" s="473"/>
      <c r="L670" s="473"/>
      <c r="M670" s="473"/>
      <c r="N670" s="473"/>
      <c r="O670" s="473"/>
      <c r="T670" s="310" t="str">
        <v>Ethernet (10Mbps)</v>
      </c>
      <c r="V670" s="335">
        <v>0</v>
      </c>
      <c r="W670" s="335">
        <v>0</v>
      </c>
      <c r="X670" s="335">
        <v>0</v>
      </c>
      <c r="Y670" s="335">
        <v>0</v>
      </c>
      <c r="Z670" s="335">
        <v>0</v>
      </c>
      <c r="AA670" s="335">
        <v>0</v>
      </c>
      <c r="AB670" s="473"/>
      <c r="AC670" s="473"/>
      <c r="AD670" s="473"/>
      <c r="AE670" s="473"/>
      <c r="AF670" s="473"/>
      <c r="AK670" s="310" t="str">
        <v>Ethernet (10Mbps)</v>
      </c>
      <c r="AM670" s="335">
        <v>0</v>
      </c>
      <c r="AN670" s="335">
        <v>0</v>
      </c>
      <c r="AO670" s="335">
        <v>0</v>
      </c>
      <c r="AP670" s="335">
        <v>0</v>
      </c>
      <c r="AQ670" s="335">
        <v>0</v>
      </c>
      <c r="AR670" s="335">
        <v>0</v>
      </c>
      <c r="AS670" s="473"/>
      <c r="AT670" s="473"/>
      <c r="AU670" s="473"/>
      <c r="AV670" s="473"/>
      <c r="AW670" s="473"/>
    </row>
    <row r="671" spans="3:49" s="299" customFormat="1">
      <c r="C671" s="310" t="str">
        <v>Ethernet (20Mbps)</v>
      </c>
      <c r="E671" s="335">
        <v>0</v>
      </c>
      <c r="F671" s="335">
        <v>0</v>
      </c>
      <c r="G671" s="335">
        <v>0</v>
      </c>
      <c r="H671" s="335">
        <v>0</v>
      </c>
      <c r="I671" s="335">
        <v>0</v>
      </c>
      <c r="J671" s="335">
        <v>0</v>
      </c>
      <c r="K671" s="473"/>
      <c r="L671" s="473"/>
      <c r="M671" s="473"/>
      <c r="N671" s="473"/>
      <c r="O671" s="473"/>
      <c r="T671" s="310" t="str">
        <v>Ethernet (20Mbps)</v>
      </c>
      <c r="V671" s="335">
        <v>0</v>
      </c>
      <c r="W671" s="335">
        <v>0</v>
      </c>
      <c r="X671" s="335">
        <v>0</v>
      </c>
      <c r="Y671" s="335">
        <v>0</v>
      </c>
      <c r="Z671" s="335">
        <v>0</v>
      </c>
      <c r="AA671" s="335">
        <v>0</v>
      </c>
      <c r="AB671" s="473"/>
      <c r="AC671" s="473"/>
      <c r="AD671" s="473"/>
      <c r="AE671" s="473"/>
      <c r="AF671" s="473"/>
      <c r="AK671" s="310" t="str">
        <v>Ethernet (20Mbps)</v>
      </c>
      <c r="AM671" s="335">
        <v>0</v>
      </c>
      <c r="AN671" s="335">
        <v>0</v>
      </c>
      <c r="AO671" s="335">
        <v>0</v>
      </c>
      <c r="AP671" s="335">
        <v>0</v>
      </c>
      <c r="AQ671" s="335">
        <v>0</v>
      </c>
      <c r="AR671" s="335">
        <v>0</v>
      </c>
      <c r="AS671" s="473"/>
      <c r="AT671" s="473"/>
      <c r="AU671" s="473"/>
      <c r="AV671" s="473"/>
      <c r="AW671" s="473"/>
    </row>
    <row r="672" spans="3:49" s="299" customFormat="1">
      <c r="C672" s="310" t="str">
        <v>Ethernet (30Mbps)</v>
      </c>
      <c r="E672" s="335">
        <v>0</v>
      </c>
      <c r="F672" s="335">
        <v>0</v>
      </c>
      <c r="G672" s="335">
        <v>0</v>
      </c>
      <c r="H672" s="335">
        <v>0</v>
      </c>
      <c r="I672" s="335">
        <v>0</v>
      </c>
      <c r="J672" s="335">
        <v>0</v>
      </c>
      <c r="K672" s="473"/>
      <c r="L672" s="473"/>
      <c r="M672" s="473"/>
      <c r="N672" s="473"/>
      <c r="O672" s="473"/>
      <c r="T672" s="310" t="str">
        <v>Ethernet (30Mbps)</v>
      </c>
      <c r="V672" s="335">
        <v>0</v>
      </c>
      <c r="W672" s="335">
        <v>0</v>
      </c>
      <c r="X672" s="335">
        <v>0</v>
      </c>
      <c r="Y672" s="335">
        <v>0</v>
      </c>
      <c r="Z672" s="335">
        <v>0</v>
      </c>
      <c r="AA672" s="335">
        <v>0</v>
      </c>
      <c r="AB672" s="473"/>
      <c r="AC672" s="473"/>
      <c r="AD672" s="473"/>
      <c r="AE672" s="473"/>
      <c r="AF672" s="473"/>
      <c r="AK672" s="310" t="str">
        <v>Ethernet (30Mbps)</v>
      </c>
      <c r="AM672" s="335">
        <v>0</v>
      </c>
      <c r="AN672" s="335">
        <v>0</v>
      </c>
      <c r="AO672" s="335">
        <v>0</v>
      </c>
      <c r="AP672" s="335">
        <v>0</v>
      </c>
      <c r="AQ672" s="335">
        <v>0</v>
      </c>
      <c r="AR672" s="335">
        <v>0</v>
      </c>
      <c r="AS672" s="473"/>
      <c r="AT672" s="473"/>
      <c r="AU672" s="473"/>
      <c r="AV672" s="473"/>
      <c r="AW672" s="473"/>
    </row>
    <row r="673" spans="3:49" s="299" customFormat="1">
      <c r="C673" s="310" t="str">
        <v>Ethernet (40Mbps)</v>
      </c>
      <c r="E673" s="335">
        <v>0</v>
      </c>
      <c r="F673" s="335">
        <v>0</v>
      </c>
      <c r="G673" s="335">
        <v>0</v>
      </c>
      <c r="H673" s="335">
        <v>0</v>
      </c>
      <c r="I673" s="335">
        <v>0</v>
      </c>
      <c r="J673" s="335">
        <v>0</v>
      </c>
      <c r="K673" s="473"/>
      <c r="L673" s="473"/>
      <c r="M673" s="473"/>
      <c r="N673" s="473"/>
      <c r="O673" s="473"/>
      <c r="T673" s="310" t="str">
        <v>Ethernet (40Mbps)</v>
      </c>
      <c r="V673" s="335">
        <v>0</v>
      </c>
      <c r="W673" s="335">
        <v>0</v>
      </c>
      <c r="X673" s="335">
        <v>0</v>
      </c>
      <c r="Y673" s="335">
        <v>0</v>
      </c>
      <c r="Z673" s="335">
        <v>0</v>
      </c>
      <c r="AA673" s="335">
        <v>0</v>
      </c>
      <c r="AB673" s="473"/>
      <c r="AC673" s="473"/>
      <c r="AD673" s="473"/>
      <c r="AE673" s="473"/>
      <c r="AF673" s="473"/>
      <c r="AK673" s="310" t="str">
        <v>Ethernet (40Mbps)</v>
      </c>
      <c r="AM673" s="335">
        <v>0</v>
      </c>
      <c r="AN673" s="335">
        <v>0</v>
      </c>
      <c r="AO673" s="335">
        <v>0</v>
      </c>
      <c r="AP673" s="335">
        <v>0</v>
      </c>
      <c r="AQ673" s="335">
        <v>0</v>
      </c>
      <c r="AR673" s="335">
        <v>0</v>
      </c>
      <c r="AS673" s="473"/>
      <c r="AT673" s="473"/>
      <c r="AU673" s="473"/>
      <c r="AV673" s="473"/>
      <c r="AW673" s="473"/>
    </row>
    <row r="674" spans="3:49" s="299" customFormat="1">
      <c r="C674" s="310" t="str">
        <v>Ethernet (50Mbps)</v>
      </c>
      <c r="E674" s="335">
        <v>0</v>
      </c>
      <c r="F674" s="335">
        <v>0</v>
      </c>
      <c r="G674" s="335">
        <v>0</v>
      </c>
      <c r="H674" s="335">
        <v>0</v>
      </c>
      <c r="I674" s="335">
        <v>0</v>
      </c>
      <c r="J674" s="335">
        <v>0</v>
      </c>
      <c r="K674" s="473"/>
      <c r="L674" s="473"/>
      <c r="M674" s="473"/>
      <c r="N674" s="473"/>
      <c r="O674" s="473"/>
      <c r="T674" s="310" t="str">
        <v>Ethernet (50Mbps)</v>
      </c>
      <c r="V674" s="335">
        <v>0</v>
      </c>
      <c r="W674" s="335">
        <v>0</v>
      </c>
      <c r="X674" s="335">
        <v>0</v>
      </c>
      <c r="Y674" s="335">
        <v>0</v>
      </c>
      <c r="Z674" s="335">
        <v>0</v>
      </c>
      <c r="AA674" s="335">
        <v>0</v>
      </c>
      <c r="AB674" s="473"/>
      <c r="AC674" s="473"/>
      <c r="AD674" s="473"/>
      <c r="AE674" s="473"/>
      <c r="AF674" s="473"/>
      <c r="AK674" s="310" t="str">
        <v>Ethernet (50Mbps)</v>
      </c>
      <c r="AM674" s="335">
        <v>0</v>
      </c>
      <c r="AN674" s="335">
        <v>0</v>
      </c>
      <c r="AO674" s="335">
        <v>0</v>
      </c>
      <c r="AP674" s="335">
        <v>0</v>
      </c>
      <c r="AQ674" s="335">
        <v>0</v>
      </c>
      <c r="AR674" s="335">
        <v>0</v>
      </c>
      <c r="AS674" s="473"/>
      <c r="AT674" s="473"/>
      <c r="AU674" s="473"/>
      <c r="AV674" s="473"/>
      <c r="AW674" s="473"/>
    </row>
    <row r="675" spans="3:49" s="299" customFormat="1">
      <c r="C675" s="310" t="str">
        <v>Ethernet (60Mbps)</v>
      </c>
      <c r="E675" s="335">
        <v>0</v>
      </c>
      <c r="F675" s="335">
        <v>0</v>
      </c>
      <c r="G675" s="335">
        <v>0</v>
      </c>
      <c r="H675" s="335">
        <v>0</v>
      </c>
      <c r="I675" s="335">
        <v>0</v>
      </c>
      <c r="J675" s="335">
        <v>0</v>
      </c>
      <c r="K675" s="473"/>
      <c r="L675" s="473"/>
      <c r="M675" s="473"/>
      <c r="N675" s="473"/>
      <c r="O675" s="473"/>
      <c r="T675" s="310" t="str">
        <v>Ethernet (60Mbps)</v>
      </c>
      <c r="V675" s="335">
        <v>0</v>
      </c>
      <c r="W675" s="335">
        <v>0</v>
      </c>
      <c r="X675" s="335">
        <v>0</v>
      </c>
      <c r="Y675" s="335">
        <v>0</v>
      </c>
      <c r="Z675" s="335">
        <v>0</v>
      </c>
      <c r="AA675" s="335">
        <v>0</v>
      </c>
      <c r="AB675" s="473"/>
      <c r="AC675" s="473"/>
      <c r="AD675" s="473"/>
      <c r="AE675" s="473"/>
      <c r="AF675" s="473"/>
      <c r="AK675" s="310" t="str">
        <v>Ethernet (60Mbps)</v>
      </c>
      <c r="AM675" s="335">
        <v>0</v>
      </c>
      <c r="AN675" s="335">
        <v>0</v>
      </c>
      <c r="AO675" s="335">
        <v>0</v>
      </c>
      <c r="AP675" s="335">
        <v>0</v>
      </c>
      <c r="AQ675" s="335">
        <v>0</v>
      </c>
      <c r="AR675" s="335">
        <v>0</v>
      </c>
      <c r="AS675" s="473"/>
      <c r="AT675" s="473"/>
      <c r="AU675" s="473"/>
      <c r="AV675" s="473"/>
      <c r="AW675" s="473"/>
    </row>
    <row r="676" spans="3:49" s="299" customFormat="1">
      <c r="C676" s="310" t="str">
        <v>Ethernet (70Mbps)</v>
      </c>
      <c r="E676" s="335">
        <v>0</v>
      </c>
      <c r="F676" s="335">
        <v>0</v>
      </c>
      <c r="G676" s="335">
        <v>0</v>
      </c>
      <c r="H676" s="335">
        <v>0</v>
      </c>
      <c r="I676" s="335">
        <v>0</v>
      </c>
      <c r="J676" s="335">
        <v>0</v>
      </c>
      <c r="K676" s="473"/>
      <c r="L676" s="473"/>
      <c r="M676" s="473"/>
      <c r="N676" s="473"/>
      <c r="O676" s="473"/>
      <c r="T676" s="310" t="str">
        <v>Ethernet (70Mbps)</v>
      </c>
      <c r="V676" s="335">
        <v>0</v>
      </c>
      <c r="W676" s="335">
        <v>0</v>
      </c>
      <c r="X676" s="335">
        <v>0</v>
      </c>
      <c r="Y676" s="335">
        <v>0</v>
      </c>
      <c r="Z676" s="335">
        <v>0</v>
      </c>
      <c r="AA676" s="335">
        <v>0</v>
      </c>
      <c r="AB676" s="473"/>
      <c r="AC676" s="473"/>
      <c r="AD676" s="473"/>
      <c r="AE676" s="473"/>
      <c r="AF676" s="473"/>
      <c r="AK676" s="310" t="str">
        <v>Ethernet (70Mbps)</v>
      </c>
      <c r="AM676" s="335">
        <v>0</v>
      </c>
      <c r="AN676" s="335">
        <v>0</v>
      </c>
      <c r="AO676" s="335">
        <v>0</v>
      </c>
      <c r="AP676" s="335">
        <v>0</v>
      </c>
      <c r="AQ676" s="335">
        <v>0</v>
      </c>
      <c r="AR676" s="335">
        <v>0</v>
      </c>
      <c r="AS676" s="473"/>
      <c r="AT676" s="473"/>
      <c r="AU676" s="473"/>
      <c r="AV676" s="473"/>
      <c r="AW676" s="473"/>
    </row>
    <row r="677" spans="3:49" s="299" customFormat="1">
      <c r="C677" s="310" t="str">
        <v>Ethernet (80Mbps)</v>
      </c>
      <c r="E677" s="335">
        <v>0</v>
      </c>
      <c r="F677" s="335">
        <v>0</v>
      </c>
      <c r="G677" s="335">
        <v>0</v>
      </c>
      <c r="H677" s="335">
        <v>0</v>
      </c>
      <c r="I677" s="335">
        <v>0</v>
      </c>
      <c r="J677" s="335">
        <v>0</v>
      </c>
      <c r="K677" s="473"/>
      <c r="L677" s="473"/>
      <c r="M677" s="473"/>
      <c r="N677" s="473"/>
      <c r="O677" s="473"/>
      <c r="T677" s="310" t="str">
        <v>Ethernet (80Mbps)</v>
      </c>
      <c r="V677" s="335">
        <v>0</v>
      </c>
      <c r="W677" s="335">
        <v>0</v>
      </c>
      <c r="X677" s="335">
        <v>0</v>
      </c>
      <c r="Y677" s="335">
        <v>0</v>
      </c>
      <c r="Z677" s="335">
        <v>0</v>
      </c>
      <c r="AA677" s="335">
        <v>0</v>
      </c>
      <c r="AB677" s="473"/>
      <c r="AC677" s="473"/>
      <c r="AD677" s="473"/>
      <c r="AE677" s="473"/>
      <c r="AF677" s="473"/>
      <c r="AK677" s="310" t="str">
        <v>Ethernet (80Mbps)</v>
      </c>
      <c r="AM677" s="335">
        <v>0</v>
      </c>
      <c r="AN677" s="335">
        <v>0</v>
      </c>
      <c r="AO677" s="335">
        <v>0</v>
      </c>
      <c r="AP677" s="335">
        <v>0</v>
      </c>
      <c r="AQ677" s="335">
        <v>0</v>
      </c>
      <c r="AR677" s="335">
        <v>0</v>
      </c>
      <c r="AS677" s="473"/>
      <c r="AT677" s="473"/>
      <c r="AU677" s="473"/>
      <c r="AV677" s="473"/>
      <c r="AW677" s="473"/>
    </row>
    <row r="678" spans="3:49" s="299" customFormat="1">
      <c r="C678" s="310" t="str">
        <v>Ethernet (90Mbps)</v>
      </c>
      <c r="E678" s="335">
        <v>0</v>
      </c>
      <c r="F678" s="335">
        <v>0</v>
      </c>
      <c r="G678" s="335">
        <v>0</v>
      </c>
      <c r="H678" s="335">
        <v>0</v>
      </c>
      <c r="I678" s="335">
        <v>0</v>
      </c>
      <c r="J678" s="335">
        <v>0</v>
      </c>
      <c r="K678" s="473"/>
      <c r="L678" s="473"/>
      <c r="M678" s="473"/>
      <c r="N678" s="473"/>
      <c r="O678" s="473"/>
      <c r="T678" s="310" t="str">
        <v>Ethernet (90Mbps)</v>
      </c>
      <c r="V678" s="335">
        <v>0</v>
      </c>
      <c r="W678" s="335">
        <v>0</v>
      </c>
      <c r="X678" s="335">
        <v>0</v>
      </c>
      <c r="Y678" s="335">
        <v>0</v>
      </c>
      <c r="Z678" s="335">
        <v>0</v>
      </c>
      <c r="AA678" s="335">
        <v>0</v>
      </c>
      <c r="AB678" s="473"/>
      <c r="AC678" s="473"/>
      <c r="AD678" s="473"/>
      <c r="AE678" s="473"/>
      <c r="AF678" s="473"/>
      <c r="AK678" s="310" t="str">
        <v>Ethernet (90Mbps)</v>
      </c>
      <c r="AM678" s="335">
        <v>0</v>
      </c>
      <c r="AN678" s="335">
        <v>0</v>
      </c>
      <c r="AO678" s="335">
        <v>0</v>
      </c>
      <c r="AP678" s="335">
        <v>0</v>
      </c>
      <c r="AQ678" s="335">
        <v>0</v>
      </c>
      <c r="AR678" s="335">
        <v>0</v>
      </c>
      <c r="AS678" s="473"/>
      <c r="AT678" s="473"/>
      <c r="AU678" s="473"/>
      <c r="AV678" s="473"/>
      <c r="AW678" s="473"/>
    </row>
    <row r="679" spans="3:49" s="299" customFormat="1">
      <c r="C679" s="310" t="str">
        <v>GigaEthernet (100Mbps)</v>
      </c>
      <c r="E679" s="335">
        <v>0</v>
      </c>
      <c r="F679" s="335">
        <v>0</v>
      </c>
      <c r="G679" s="335">
        <v>0</v>
      </c>
      <c r="H679" s="335">
        <v>0</v>
      </c>
      <c r="I679" s="335">
        <v>0</v>
      </c>
      <c r="J679" s="335">
        <v>0</v>
      </c>
      <c r="K679" s="473"/>
      <c r="L679" s="473"/>
      <c r="M679" s="473"/>
      <c r="N679" s="473"/>
      <c r="O679" s="473"/>
      <c r="T679" s="310" t="str">
        <v>GigaEthernet (100Mbps)</v>
      </c>
      <c r="V679" s="335">
        <v>0</v>
      </c>
      <c r="W679" s="335">
        <v>0</v>
      </c>
      <c r="X679" s="335">
        <v>0</v>
      </c>
      <c r="Y679" s="335">
        <v>0</v>
      </c>
      <c r="Z679" s="335">
        <v>0</v>
      </c>
      <c r="AA679" s="335">
        <v>0</v>
      </c>
      <c r="AB679" s="473"/>
      <c r="AC679" s="473"/>
      <c r="AD679" s="473"/>
      <c r="AE679" s="473"/>
      <c r="AF679" s="473"/>
      <c r="AK679" s="310" t="str">
        <v>GigaEthernet (100Mbps)</v>
      </c>
      <c r="AM679" s="335">
        <v>0</v>
      </c>
      <c r="AN679" s="335">
        <v>0</v>
      </c>
      <c r="AO679" s="335">
        <v>0</v>
      </c>
      <c r="AP679" s="335">
        <v>0</v>
      </c>
      <c r="AQ679" s="335">
        <v>0</v>
      </c>
      <c r="AR679" s="335">
        <v>0</v>
      </c>
      <c r="AS679" s="473"/>
      <c r="AT679" s="473"/>
      <c r="AU679" s="473"/>
      <c r="AV679" s="473"/>
      <c r="AW679" s="473"/>
    </row>
    <row r="680" spans="3:49" s="299" customFormat="1">
      <c r="C680" s="310" t="str">
        <v>GigaEthernet (150Mbps)</v>
      </c>
      <c r="E680" s="335">
        <v>0</v>
      </c>
      <c r="F680" s="335">
        <v>0</v>
      </c>
      <c r="G680" s="335">
        <v>0</v>
      </c>
      <c r="H680" s="335">
        <v>0</v>
      </c>
      <c r="I680" s="335">
        <v>0</v>
      </c>
      <c r="J680" s="335">
        <v>0</v>
      </c>
      <c r="K680" s="473"/>
      <c r="L680" s="473"/>
      <c r="M680" s="473"/>
      <c r="N680" s="473"/>
      <c r="O680" s="473"/>
      <c r="T680" s="310" t="str">
        <v>GigaEthernet (150Mbps)</v>
      </c>
      <c r="V680" s="335">
        <v>0</v>
      </c>
      <c r="W680" s="335">
        <v>0</v>
      </c>
      <c r="X680" s="335">
        <v>0</v>
      </c>
      <c r="Y680" s="335">
        <v>0</v>
      </c>
      <c r="Z680" s="335">
        <v>0</v>
      </c>
      <c r="AA680" s="335">
        <v>0</v>
      </c>
      <c r="AB680" s="473"/>
      <c r="AC680" s="473"/>
      <c r="AD680" s="473"/>
      <c r="AE680" s="473"/>
      <c r="AF680" s="473"/>
      <c r="AK680" s="310" t="str">
        <v>GigaEthernet (150Mbps)</v>
      </c>
      <c r="AM680" s="335">
        <v>0</v>
      </c>
      <c r="AN680" s="335">
        <v>0</v>
      </c>
      <c r="AO680" s="335">
        <v>0</v>
      </c>
      <c r="AP680" s="335">
        <v>0</v>
      </c>
      <c r="AQ680" s="335">
        <v>0</v>
      </c>
      <c r="AR680" s="335">
        <v>0</v>
      </c>
      <c r="AS680" s="473"/>
      <c r="AT680" s="473"/>
      <c r="AU680" s="473"/>
      <c r="AV680" s="473"/>
      <c r="AW680" s="473"/>
    </row>
    <row r="681" spans="3:49" s="299" customFormat="1">
      <c r="C681" s="310" t="str">
        <v>GigaEthernet (200Mbps)</v>
      </c>
      <c r="E681" s="335">
        <v>0</v>
      </c>
      <c r="F681" s="335">
        <v>0</v>
      </c>
      <c r="G681" s="335">
        <v>0</v>
      </c>
      <c r="H681" s="335">
        <v>0</v>
      </c>
      <c r="I681" s="335">
        <v>0</v>
      </c>
      <c r="J681" s="335">
        <v>0</v>
      </c>
      <c r="K681" s="473"/>
      <c r="L681" s="473"/>
      <c r="M681" s="473"/>
      <c r="N681" s="473"/>
      <c r="O681" s="473"/>
      <c r="T681" s="310" t="str">
        <v>GigaEthernet (200Mbps)</v>
      </c>
      <c r="V681" s="335">
        <v>0</v>
      </c>
      <c r="W681" s="335">
        <v>0</v>
      </c>
      <c r="X681" s="335">
        <v>0</v>
      </c>
      <c r="Y681" s="335">
        <v>0</v>
      </c>
      <c r="Z681" s="335">
        <v>0</v>
      </c>
      <c r="AA681" s="335">
        <v>0</v>
      </c>
      <c r="AB681" s="473"/>
      <c r="AC681" s="473"/>
      <c r="AD681" s="473"/>
      <c r="AE681" s="473"/>
      <c r="AF681" s="473"/>
      <c r="AK681" s="310" t="str">
        <v>GigaEthernet (200Mbps)</v>
      </c>
      <c r="AM681" s="335">
        <v>0</v>
      </c>
      <c r="AN681" s="335">
        <v>0</v>
      </c>
      <c r="AO681" s="335">
        <v>0</v>
      </c>
      <c r="AP681" s="335">
        <v>0</v>
      </c>
      <c r="AQ681" s="335">
        <v>0</v>
      </c>
      <c r="AR681" s="335">
        <v>0</v>
      </c>
      <c r="AS681" s="473"/>
      <c r="AT681" s="473"/>
      <c r="AU681" s="473"/>
      <c r="AV681" s="473"/>
      <c r="AW681" s="473"/>
    </row>
    <row r="682" spans="3:49" s="299" customFormat="1">
      <c r="C682" s="310" t="str">
        <v>GigaEthernet (250Mbps)</v>
      </c>
      <c r="E682" s="335">
        <v>0</v>
      </c>
      <c r="F682" s="335">
        <v>0</v>
      </c>
      <c r="G682" s="335">
        <v>0</v>
      </c>
      <c r="H682" s="335">
        <v>0</v>
      </c>
      <c r="I682" s="335">
        <v>0</v>
      </c>
      <c r="J682" s="335">
        <v>0</v>
      </c>
      <c r="K682" s="473"/>
      <c r="L682" s="473"/>
      <c r="M682" s="473"/>
      <c r="N682" s="473"/>
      <c r="O682" s="473"/>
      <c r="T682" s="310" t="str">
        <v>GigaEthernet (250Mbps)</v>
      </c>
      <c r="V682" s="335">
        <v>0</v>
      </c>
      <c r="W682" s="335">
        <v>0</v>
      </c>
      <c r="X682" s="335">
        <v>0</v>
      </c>
      <c r="Y682" s="335">
        <v>0</v>
      </c>
      <c r="Z682" s="335">
        <v>0</v>
      </c>
      <c r="AA682" s="335">
        <v>0</v>
      </c>
      <c r="AB682" s="473"/>
      <c r="AC682" s="473"/>
      <c r="AD682" s="473"/>
      <c r="AE682" s="473"/>
      <c r="AF682" s="473"/>
      <c r="AK682" s="310" t="str">
        <v>GigaEthernet (250Mbps)</v>
      </c>
      <c r="AM682" s="335">
        <v>0</v>
      </c>
      <c r="AN682" s="335">
        <v>0</v>
      </c>
      <c r="AO682" s="335">
        <v>0</v>
      </c>
      <c r="AP682" s="335">
        <v>0</v>
      </c>
      <c r="AQ682" s="335">
        <v>0</v>
      </c>
      <c r="AR682" s="335">
        <v>0</v>
      </c>
      <c r="AS682" s="473"/>
      <c r="AT682" s="473"/>
      <c r="AU682" s="473"/>
      <c r="AV682" s="473"/>
      <c r="AW682" s="473"/>
    </row>
    <row r="683" spans="3:49" s="299" customFormat="1">
      <c r="C683" s="310" t="str">
        <v>GigaEthernet (300Mbps)</v>
      </c>
      <c r="E683" s="335">
        <v>0</v>
      </c>
      <c r="F683" s="335">
        <v>0</v>
      </c>
      <c r="G683" s="335">
        <v>0</v>
      </c>
      <c r="H683" s="335">
        <v>0</v>
      </c>
      <c r="I683" s="335">
        <v>0</v>
      </c>
      <c r="J683" s="335">
        <v>0</v>
      </c>
      <c r="K683" s="473"/>
      <c r="L683" s="473"/>
      <c r="M683" s="473"/>
      <c r="N683" s="473"/>
      <c r="O683" s="473"/>
      <c r="T683" s="310" t="str">
        <v>GigaEthernet (300Mbps)</v>
      </c>
      <c r="V683" s="335">
        <v>0</v>
      </c>
      <c r="W683" s="335">
        <v>0</v>
      </c>
      <c r="X683" s="335">
        <v>0</v>
      </c>
      <c r="Y683" s="335">
        <v>0</v>
      </c>
      <c r="Z683" s="335">
        <v>0</v>
      </c>
      <c r="AA683" s="335">
        <v>0</v>
      </c>
      <c r="AB683" s="473"/>
      <c r="AC683" s="473"/>
      <c r="AD683" s="473"/>
      <c r="AE683" s="473"/>
      <c r="AF683" s="473"/>
      <c r="AK683" s="310" t="str">
        <v>GigaEthernet (300Mbps)</v>
      </c>
      <c r="AM683" s="335">
        <v>0</v>
      </c>
      <c r="AN683" s="335">
        <v>0</v>
      </c>
      <c r="AO683" s="335">
        <v>0</v>
      </c>
      <c r="AP683" s="335">
        <v>0</v>
      </c>
      <c r="AQ683" s="335">
        <v>0</v>
      </c>
      <c r="AR683" s="335">
        <v>0</v>
      </c>
      <c r="AS683" s="473"/>
      <c r="AT683" s="473"/>
      <c r="AU683" s="473"/>
      <c r="AV683" s="473"/>
      <c r="AW683" s="473"/>
    </row>
    <row r="684" spans="3:49" s="299" customFormat="1">
      <c r="C684" s="310" t="str">
        <v>GigaEthernet (350Mbps)</v>
      </c>
      <c r="E684" s="335">
        <v>0</v>
      </c>
      <c r="F684" s="335">
        <v>0</v>
      </c>
      <c r="G684" s="335">
        <v>0</v>
      </c>
      <c r="H684" s="335">
        <v>0</v>
      </c>
      <c r="I684" s="335">
        <v>0</v>
      </c>
      <c r="J684" s="335">
        <v>0</v>
      </c>
      <c r="K684" s="473"/>
      <c r="L684" s="473"/>
      <c r="M684" s="473"/>
      <c r="N684" s="473"/>
      <c r="O684" s="473"/>
      <c r="T684" s="310" t="str">
        <v>GigaEthernet (350Mbps)</v>
      </c>
      <c r="V684" s="335">
        <v>0</v>
      </c>
      <c r="W684" s="335">
        <v>0</v>
      </c>
      <c r="X684" s="335">
        <v>0</v>
      </c>
      <c r="Y684" s="335">
        <v>0</v>
      </c>
      <c r="Z684" s="335">
        <v>0</v>
      </c>
      <c r="AA684" s="335">
        <v>0</v>
      </c>
      <c r="AB684" s="473"/>
      <c r="AC684" s="473"/>
      <c r="AD684" s="473"/>
      <c r="AE684" s="473"/>
      <c r="AF684" s="473"/>
      <c r="AK684" s="310" t="str">
        <v>GigaEthernet (350Mbps)</v>
      </c>
      <c r="AM684" s="335">
        <v>0</v>
      </c>
      <c r="AN684" s="335">
        <v>0</v>
      </c>
      <c r="AO684" s="335">
        <v>0</v>
      </c>
      <c r="AP684" s="335">
        <v>0</v>
      </c>
      <c r="AQ684" s="335">
        <v>0</v>
      </c>
      <c r="AR684" s="335">
        <v>0</v>
      </c>
      <c r="AS684" s="473"/>
      <c r="AT684" s="473"/>
      <c r="AU684" s="473"/>
      <c r="AV684" s="473"/>
      <c r="AW684" s="473"/>
    </row>
    <row r="685" spans="3:49" s="299" customFormat="1">
      <c r="C685" s="310" t="str">
        <v>GigaEthernet (400Mbps)</v>
      </c>
      <c r="E685" s="335">
        <v>0</v>
      </c>
      <c r="F685" s="335">
        <v>0</v>
      </c>
      <c r="G685" s="335">
        <v>0</v>
      </c>
      <c r="H685" s="335">
        <v>0</v>
      </c>
      <c r="I685" s="335">
        <v>0</v>
      </c>
      <c r="J685" s="335">
        <v>0</v>
      </c>
      <c r="K685" s="473"/>
      <c r="L685" s="473"/>
      <c r="M685" s="473"/>
      <c r="N685" s="473"/>
      <c r="O685" s="473"/>
      <c r="T685" s="310" t="str">
        <v>GigaEthernet (400Mbps)</v>
      </c>
      <c r="V685" s="335">
        <v>0</v>
      </c>
      <c r="W685" s="335">
        <v>0</v>
      </c>
      <c r="X685" s="335">
        <v>0</v>
      </c>
      <c r="Y685" s="335">
        <v>0</v>
      </c>
      <c r="Z685" s="335">
        <v>0</v>
      </c>
      <c r="AA685" s="335">
        <v>0</v>
      </c>
      <c r="AB685" s="473"/>
      <c r="AC685" s="473"/>
      <c r="AD685" s="473"/>
      <c r="AE685" s="473"/>
      <c r="AF685" s="473"/>
      <c r="AK685" s="310" t="str">
        <v>GigaEthernet (400Mbps)</v>
      </c>
      <c r="AM685" s="335">
        <v>0</v>
      </c>
      <c r="AN685" s="335">
        <v>0</v>
      </c>
      <c r="AO685" s="335">
        <v>0</v>
      </c>
      <c r="AP685" s="335">
        <v>0</v>
      </c>
      <c r="AQ685" s="335">
        <v>0</v>
      </c>
      <c r="AR685" s="335">
        <v>0</v>
      </c>
      <c r="AS685" s="473"/>
      <c r="AT685" s="473"/>
      <c r="AU685" s="473"/>
      <c r="AV685" s="473"/>
      <c r="AW685" s="473"/>
    </row>
    <row r="686" spans="3:49" s="299" customFormat="1">
      <c r="C686" s="310" t="str">
        <v>GigaEthernet (450Mbps)</v>
      </c>
      <c r="E686" s="335">
        <v>0</v>
      </c>
      <c r="F686" s="335">
        <v>0</v>
      </c>
      <c r="G686" s="335">
        <v>0</v>
      </c>
      <c r="H686" s="335">
        <v>0</v>
      </c>
      <c r="I686" s="335">
        <v>0</v>
      </c>
      <c r="J686" s="335">
        <v>0</v>
      </c>
      <c r="K686" s="473"/>
      <c r="L686" s="473"/>
      <c r="M686" s="473"/>
      <c r="N686" s="473"/>
      <c r="O686" s="473"/>
      <c r="T686" s="310" t="str">
        <v>GigaEthernet (450Mbps)</v>
      </c>
      <c r="V686" s="335">
        <v>0</v>
      </c>
      <c r="W686" s="335">
        <v>0</v>
      </c>
      <c r="X686" s="335">
        <v>0</v>
      </c>
      <c r="Y686" s="335">
        <v>0</v>
      </c>
      <c r="Z686" s="335">
        <v>0</v>
      </c>
      <c r="AA686" s="335">
        <v>0</v>
      </c>
      <c r="AB686" s="473"/>
      <c r="AC686" s="473"/>
      <c r="AD686" s="473"/>
      <c r="AE686" s="473"/>
      <c r="AF686" s="473"/>
      <c r="AK686" s="310" t="str">
        <v>GigaEthernet (450Mbps)</v>
      </c>
      <c r="AM686" s="335">
        <v>0</v>
      </c>
      <c r="AN686" s="335">
        <v>0</v>
      </c>
      <c r="AO686" s="335">
        <v>0</v>
      </c>
      <c r="AP686" s="335">
        <v>0</v>
      </c>
      <c r="AQ686" s="335">
        <v>0</v>
      </c>
      <c r="AR686" s="335">
        <v>0</v>
      </c>
      <c r="AS686" s="473"/>
      <c r="AT686" s="473"/>
      <c r="AU686" s="473"/>
      <c r="AV686" s="473"/>
      <c r="AW686" s="473"/>
    </row>
    <row r="687" spans="3:49" s="299" customFormat="1">
      <c r="C687" s="310" t="str">
        <v>GigaEthernet (500Mbps)</v>
      </c>
      <c r="E687" s="335">
        <v>0</v>
      </c>
      <c r="F687" s="335">
        <v>0</v>
      </c>
      <c r="G687" s="335">
        <v>0</v>
      </c>
      <c r="H687" s="335">
        <v>0</v>
      </c>
      <c r="I687" s="335">
        <v>0</v>
      </c>
      <c r="J687" s="335">
        <v>0</v>
      </c>
      <c r="K687" s="473"/>
      <c r="L687" s="473"/>
      <c r="M687" s="473"/>
      <c r="N687" s="473"/>
      <c r="O687" s="473"/>
      <c r="T687" s="310" t="str">
        <v>GigaEthernet (500Mbps)</v>
      </c>
      <c r="V687" s="335">
        <v>0</v>
      </c>
      <c r="W687" s="335">
        <v>0</v>
      </c>
      <c r="X687" s="335">
        <v>0</v>
      </c>
      <c r="Y687" s="335">
        <v>0</v>
      </c>
      <c r="Z687" s="335">
        <v>0</v>
      </c>
      <c r="AA687" s="335">
        <v>0</v>
      </c>
      <c r="AB687" s="473"/>
      <c r="AC687" s="473"/>
      <c r="AD687" s="473"/>
      <c r="AE687" s="473"/>
      <c r="AF687" s="473"/>
      <c r="AK687" s="310" t="str">
        <v>GigaEthernet (500Mbps)</v>
      </c>
      <c r="AM687" s="335">
        <v>0</v>
      </c>
      <c r="AN687" s="335">
        <v>0</v>
      </c>
      <c r="AO687" s="335">
        <v>0</v>
      </c>
      <c r="AP687" s="335">
        <v>0</v>
      </c>
      <c r="AQ687" s="335">
        <v>0</v>
      </c>
      <c r="AR687" s="335">
        <v>0</v>
      </c>
      <c r="AS687" s="473"/>
      <c r="AT687" s="473"/>
      <c r="AU687" s="473"/>
      <c r="AV687" s="473"/>
      <c r="AW687" s="473"/>
    </row>
    <row r="688" spans="3:49" s="299" customFormat="1">
      <c r="C688" s="310" t="str">
        <v>GigaEthernet (550Mbps)</v>
      </c>
      <c r="E688" s="336">
        <v>0</v>
      </c>
      <c r="F688" s="335">
        <v>0</v>
      </c>
      <c r="G688" s="335">
        <v>0</v>
      </c>
      <c r="H688" s="335">
        <v>0</v>
      </c>
      <c r="I688" s="335">
        <v>0</v>
      </c>
      <c r="J688" s="335">
        <v>0</v>
      </c>
      <c r="K688" s="473"/>
      <c r="L688" s="473"/>
      <c r="M688" s="473"/>
      <c r="N688" s="473"/>
      <c r="O688" s="473"/>
      <c r="T688" s="310" t="str">
        <v>GigaEthernet (550Mbps)</v>
      </c>
      <c r="V688" s="336">
        <v>0</v>
      </c>
      <c r="W688" s="335">
        <v>0</v>
      </c>
      <c r="X688" s="335">
        <v>0</v>
      </c>
      <c r="Y688" s="335">
        <v>0</v>
      </c>
      <c r="Z688" s="335">
        <v>0</v>
      </c>
      <c r="AA688" s="335">
        <v>0</v>
      </c>
      <c r="AB688" s="473"/>
      <c r="AC688" s="473"/>
      <c r="AD688" s="473"/>
      <c r="AE688" s="473"/>
      <c r="AF688" s="473"/>
      <c r="AK688" s="310" t="str">
        <v>GigaEthernet (550Mbps)</v>
      </c>
      <c r="AM688" s="336">
        <v>0</v>
      </c>
      <c r="AN688" s="335">
        <v>0</v>
      </c>
      <c r="AO688" s="335">
        <v>0</v>
      </c>
      <c r="AP688" s="335">
        <v>0</v>
      </c>
      <c r="AQ688" s="335">
        <v>0</v>
      </c>
      <c r="AR688" s="335">
        <v>0</v>
      </c>
      <c r="AS688" s="473"/>
      <c r="AT688" s="473"/>
      <c r="AU688" s="473"/>
      <c r="AV688" s="473"/>
      <c r="AW688" s="473"/>
    </row>
    <row r="689" spans="3:52" s="299" customFormat="1">
      <c r="C689" s="310" t="str">
        <v>GigaEthernet (600Mbps)</v>
      </c>
      <c r="E689" s="335">
        <v>0</v>
      </c>
      <c r="F689" s="335">
        <v>0</v>
      </c>
      <c r="G689" s="335">
        <v>0</v>
      </c>
      <c r="H689" s="335">
        <v>0</v>
      </c>
      <c r="I689" s="335">
        <v>0</v>
      </c>
      <c r="J689" s="335">
        <v>0</v>
      </c>
      <c r="K689" s="473"/>
      <c r="L689" s="473"/>
      <c r="M689" s="473"/>
      <c r="N689" s="473"/>
      <c r="O689" s="473"/>
      <c r="T689" s="310" t="str">
        <v>GigaEthernet (600Mbps)</v>
      </c>
      <c r="V689" s="335">
        <v>0</v>
      </c>
      <c r="W689" s="335">
        <v>0</v>
      </c>
      <c r="X689" s="335">
        <v>0</v>
      </c>
      <c r="Y689" s="335">
        <v>0</v>
      </c>
      <c r="Z689" s="335">
        <v>0</v>
      </c>
      <c r="AA689" s="335">
        <v>0</v>
      </c>
      <c r="AB689" s="473"/>
      <c r="AC689" s="473"/>
      <c r="AD689" s="473"/>
      <c r="AE689" s="473"/>
      <c r="AF689" s="473"/>
      <c r="AK689" s="310" t="str">
        <v>GigaEthernet (600Mbps)</v>
      </c>
      <c r="AM689" s="335">
        <v>0</v>
      </c>
      <c r="AN689" s="335">
        <v>0</v>
      </c>
      <c r="AO689" s="335">
        <v>0</v>
      </c>
      <c r="AP689" s="335">
        <v>0</v>
      </c>
      <c r="AQ689" s="335">
        <v>0</v>
      </c>
      <c r="AR689" s="335">
        <v>0</v>
      </c>
      <c r="AS689" s="473"/>
      <c r="AT689" s="473"/>
      <c r="AU689" s="473"/>
      <c r="AV689" s="473"/>
      <c r="AW689" s="473"/>
    </row>
    <row r="690" spans="3:52" s="299" customFormat="1">
      <c r="C690" s="310" t="str">
        <v>GigaEthernet (750Mbps)</v>
      </c>
      <c r="E690" s="335">
        <v>0</v>
      </c>
      <c r="F690" s="335">
        <v>0</v>
      </c>
      <c r="G690" s="335">
        <v>0</v>
      </c>
      <c r="H690" s="335">
        <v>0</v>
      </c>
      <c r="I690" s="335">
        <v>0</v>
      </c>
      <c r="J690" s="335">
        <v>0</v>
      </c>
      <c r="K690" s="473"/>
      <c r="L690" s="473"/>
      <c r="M690" s="473"/>
      <c r="N690" s="473"/>
      <c r="O690" s="473"/>
      <c r="T690" s="310" t="str">
        <v>GigaEthernet (750Mbps)</v>
      </c>
      <c r="V690" s="335">
        <v>0</v>
      </c>
      <c r="W690" s="335">
        <v>0</v>
      </c>
      <c r="X690" s="335">
        <v>0</v>
      </c>
      <c r="Y690" s="335">
        <v>0</v>
      </c>
      <c r="Z690" s="335">
        <v>0</v>
      </c>
      <c r="AA690" s="335">
        <v>0</v>
      </c>
      <c r="AB690" s="473"/>
      <c r="AC690" s="473"/>
      <c r="AD690" s="473"/>
      <c r="AE690" s="473"/>
      <c r="AF690" s="473"/>
      <c r="AK690" s="310" t="str">
        <v>GigaEthernet (750Mbps)</v>
      </c>
      <c r="AM690" s="335">
        <v>0</v>
      </c>
      <c r="AN690" s="335">
        <v>0</v>
      </c>
      <c r="AO690" s="335">
        <v>0</v>
      </c>
      <c r="AP690" s="335">
        <v>0</v>
      </c>
      <c r="AQ690" s="335">
        <v>0</v>
      </c>
      <c r="AR690" s="335">
        <v>0</v>
      </c>
      <c r="AS690" s="473"/>
      <c r="AT690" s="473"/>
      <c r="AU690" s="473"/>
      <c r="AV690" s="473"/>
      <c r="AW690" s="473"/>
    </row>
    <row r="691" spans="3:52" s="299" customFormat="1">
      <c r="C691" s="310" t="str">
        <v>GigaEthernet (1 Gbps)</v>
      </c>
      <c r="E691" s="335">
        <v>0</v>
      </c>
      <c r="F691" s="335">
        <v>0</v>
      </c>
      <c r="G691" s="335">
        <v>0</v>
      </c>
      <c r="H691" s="335">
        <v>0</v>
      </c>
      <c r="I691" s="335">
        <v>0</v>
      </c>
      <c r="J691" s="335">
        <v>0</v>
      </c>
      <c r="K691" s="473"/>
      <c r="L691" s="473"/>
      <c r="M691" s="473"/>
      <c r="N691" s="473"/>
      <c r="O691" s="473"/>
      <c r="Q691" s="326" t="s">
        <v>500</v>
      </c>
      <c r="T691" s="310" t="str">
        <v>GigaEthernet (1 Gbps)</v>
      </c>
      <c r="V691" s="335">
        <v>0</v>
      </c>
      <c r="W691" s="335">
        <v>0</v>
      </c>
      <c r="X691" s="335">
        <v>0</v>
      </c>
      <c r="Y691" s="335">
        <v>0</v>
      </c>
      <c r="Z691" s="335">
        <v>0</v>
      </c>
      <c r="AA691" s="335">
        <v>0</v>
      </c>
      <c r="AB691" s="473"/>
      <c r="AC691" s="473"/>
      <c r="AD691" s="473"/>
      <c r="AE691" s="473"/>
      <c r="AF691" s="473"/>
      <c r="AH691" s="338" t="s">
        <v>500</v>
      </c>
      <c r="AK691" s="310" t="str">
        <v>GigaEthernet (1 Gbps)</v>
      </c>
      <c r="AM691" s="335">
        <v>0</v>
      </c>
      <c r="AN691" s="335">
        <v>0</v>
      </c>
      <c r="AO691" s="335">
        <v>0</v>
      </c>
      <c r="AP691" s="335">
        <v>0</v>
      </c>
      <c r="AQ691" s="335">
        <v>0</v>
      </c>
      <c r="AR691" s="335">
        <v>0</v>
      </c>
      <c r="AS691" s="473"/>
      <c r="AT691" s="473"/>
      <c r="AU691" s="473"/>
      <c r="AV691" s="473"/>
      <c r="AW691" s="473"/>
      <c r="AY691" s="338" t="s">
        <v>500</v>
      </c>
    </row>
    <row r="692" spans="3:52" s="299" customFormat="1">
      <c r="C692"/>
      <c r="E692" s="337">
        <f>SUM(E654:E691)</f>
        <v>173.52000000000004</v>
      </c>
      <c r="F692" s="337">
        <f t="shared" ref="F692" si="66">SUM(F654:F691)</f>
        <v>140.78</v>
      </c>
      <c r="G692" s="337">
        <f t="shared" ref="G692" si="67">SUM(G654:G691)</f>
        <v>110.29999999999998</v>
      </c>
      <c r="H692" s="337">
        <f t="shared" ref="H692" si="68">SUM(H654:H691)</f>
        <v>105.03</v>
      </c>
      <c r="I692" s="337">
        <f t="shared" ref="I692" si="69">SUM(I654:I691)</f>
        <v>61.779999999999994</v>
      </c>
      <c r="J692" s="337">
        <f t="shared" ref="J692:O692" si="70">SUM(J654:J691)</f>
        <v>52.620000000000005</v>
      </c>
      <c r="K692" s="337">
        <f t="shared" si="70"/>
        <v>0</v>
      </c>
      <c r="L692" s="337">
        <f t="shared" si="70"/>
        <v>0</v>
      </c>
      <c r="M692" s="337">
        <f t="shared" si="70"/>
        <v>0</v>
      </c>
      <c r="N692" s="337">
        <f t="shared" si="70"/>
        <v>0</v>
      </c>
      <c r="O692" s="337">
        <f t="shared" si="70"/>
        <v>0</v>
      </c>
      <c r="P692" s="307" t="s">
        <v>533</v>
      </c>
      <c r="Q692" s="334">
        <f>(J692/E692)^(1/(J653-E653))-1</f>
        <v>-0.21230106017136163</v>
      </c>
      <c r="V692" s="337">
        <f>SUM(V654:V691)</f>
        <v>179</v>
      </c>
      <c r="W692" s="337">
        <f t="shared" ref="W692:AA692" si="71">SUM(W654:W691)</f>
        <v>147</v>
      </c>
      <c r="X692" s="337">
        <f t="shared" si="71"/>
        <v>118</v>
      </c>
      <c r="Y692" s="337">
        <f t="shared" si="71"/>
        <v>110</v>
      </c>
      <c r="Z692" s="337">
        <f t="shared" si="71"/>
        <v>66</v>
      </c>
      <c r="AA692" s="337">
        <f t="shared" si="71"/>
        <v>58</v>
      </c>
      <c r="AB692" s="337">
        <f t="shared" ref="AB692:AF692" si="72">SUM(AB654:AB691)</f>
        <v>0</v>
      </c>
      <c r="AC692" s="337">
        <f t="shared" si="72"/>
        <v>0</v>
      </c>
      <c r="AD692" s="337">
        <f t="shared" si="72"/>
        <v>0</v>
      </c>
      <c r="AE692" s="337">
        <f t="shared" si="72"/>
        <v>0</v>
      </c>
      <c r="AF692" s="337">
        <f t="shared" si="72"/>
        <v>0</v>
      </c>
      <c r="AG692" s="307" t="s">
        <v>611</v>
      </c>
      <c r="AH692" s="334">
        <f>(AA692/V692)^(1/(AA653-V653))-1</f>
        <v>-0.20179399167963319</v>
      </c>
      <c r="AM692" s="337">
        <f>SUM(AM654:AM691)</f>
        <v>352.52000000000004</v>
      </c>
      <c r="AN692" s="337">
        <f t="shared" ref="AN692:AR692" si="73">SUM(AN654:AN691)</f>
        <v>287.77999999999997</v>
      </c>
      <c r="AO692" s="337">
        <f t="shared" si="73"/>
        <v>228.29999999999998</v>
      </c>
      <c r="AP692" s="337">
        <f t="shared" si="73"/>
        <v>215.03</v>
      </c>
      <c r="AQ692" s="337">
        <f t="shared" si="73"/>
        <v>127.78</v>
      </c>
      <c r="AR692" s="337">
        <f t="shared" si="73"/>
        <v>110.62</v>
      </c>
      <c r="AS692" s="337">
        <f t="shared" ref="AS692:AW692" si="74">SUM(AS654:AS691)</f>
        <v>0</v>
      </c>
      <c r="AT692" s="337">
        <f t="shared" si="74"/>
        <v>0</v>
      </c>
      <c r="AU692" s="337">
        <f t="shared" si="74"/>
        <v>0</v>
      </c>
      <c r="AV692" s="337">
        <f t="shared" si="74"/>
        <v>0</v>
      </c>
      <c r="AW692" s="337">
        <f t="shared" si="74"/>
        <v>0</v>
      </c>
      <c r="AX692" s="307" t="s">
        <v>604</v>
      </c>
      <c r="AY692" s="334">
        <f>(AR692/AM692)^(1/(AR653-AM653))-1</f>
        <v>-0.20689629529444853</v>
      </c>
    </row>
    <row r="693" spans="3:52" s="299" customFormat="1"/>
    <row r="694" spans="3:52" s="299" customFormat="1" ht="15">
      <c r="C694" s="332" t="s">
        <v>502</v>
      </c>
      <c r="T694" s="332" t="s">
        <v>502</v>
      </c>
      <c r="AK694" s="332" t="s">
        <v>502</v>
      </c>
    </row>
    <row r="695" spans="3:52" s="299" customFormat="1" ht="15">
      <c r="C695" s="332" t="s">
        <v>501</v>
      </c>
      <c r="T695" s="332" t="s">
        <v>501</v>
      </c>
      <c r="AK695" s="332" t="s">
        <v>501</v>
      </c>
    </row>
    <row r="696" spans="3:52" s="299" customFormat="1">
      <c r="AH696"/>
      <c r="AI696"/>
      <c r="AY696"/>
      <c r="AZ696"/>
    </row>
    <row r="697" spans="3:52" s="299" customFormat="1">
      <c r="C697" s="326" t="s">
        <v>442</v>
      </c>
      <c r="D697" s="326">
        <f t="array" ref="D697:O697">TRANSPOSE(Years)</f>
        <v>2008</v>
      </c>
      <c r="E697" s="326">
        <v>2009</v>
      </c>
      <c r="F697" s="326">
        <v>2010</v>
      </c>
      <c r="G697" s="326">
        <v>2011</v>
      </c>
      <c r="H697" s="326">
        <v>2012</v>
      </c>
      <c r="I697" s="326">
        <v>2013</v>
      </c>
      <c r="J697" s="326">
        <v>2014</v>
      </c>
      <c r="K697" s="326">
        <v>2015</v>
      </c>
      <c r="L697" s="326">
        <v>2016</v>
      </c>
      <c r="M697" s="326">
        <v>2017</v>
      </c>
      <c r="N697" s="326">
        <v>2018</v>
      </c>
      <c r="O697" s="326">
        <v>2019</v>
      </c>
      <c r="T697" s="338" t="s">
        <v>442</v>
      </c>
      <c r="U697" s="338">
        <f t="array" ref="U697:AF697">TRANSPOSE(Years)</f>
        <v>2008</v>
      </c>
      <c r="V697" s="338">
        <v>2009</v>
      </c>
      <c r="W697" s="338">
        <v>2010</v>
      </c>
      <c r="X697" s="338">
        <v>2011</v>
      </c>
      <c r="Y697" s="338">
        <v>2012</v>
      </c>
      <c r="Z697" s="338">
        <v>2013</v>
      </c>
      <c r="AA697" s="338">
        <v>2014</v>
      </c>
      <c r="AB697" s="338">
        <v>2015</v>
      </c>
      <c r="AC697" s="338">
        <v>2016</v>
      </c>
      <c r="AD697" s="338">
        <v>2017</v>
      </c>
      <c r="AE697" s="338">
        <v>2018</v>
      </c>
      <c r="AF697" s="338">
        <v>2019</v>
      </c>
      <c r="AH697"/>
      <c r="AI697"/>
      <c r="AK697" s="338" t="s">
        <v>442</v>
      </c>
      <c r="AL697" s="338">
        <f t="array" ref="AL697:AW697">TRANSPOSE(Years)</f>
        <v>2008</v>
      </c>
      <c r="AM697" s="338">
        <v>2009</v>
      </c>
      <c r="AN697" s="338">
        <v>2010</v>
      </c>
      <c r="AO697" s="338">
        <v>2011</v>
      </c>
      <c r="AP697" s="338">
        <v>2012</v>
      </c>
      <c r="AQ697" s="338">
        <v>2013</v>
      </c>
      <c r="AR697" s="338">
        <v>2014</v>
      </c>
      <c r="AS697" s="338">
        <v>2015</v>
      </c>
      <c r="AT697" s="338">
        <v>2016</v>
      </c>
      <c r="AU697" s="338">
        <v>2017</v>
      </c>
      <c r="AV697" s="338">
        <v>2018</v>
      </c>
      <c r="AW697" s="338">
        <v>2019</v>
      </c>
      <c r="AY697"/>
      <c r="AZ697"/>
    </row>
    <row r="698" spans="3:52" s="299" customFormat="1">
      <c r="C698" s="310" t="str">
        <f t="array" ref="C698:C735">LL.list</f>
        <v>64 kbps</v>
      </c>
      <c r="E698" s="333">
        <f t="array" ref="E698:E735">E654:E691/E692</f>
        <v>7.8377132319041004E-2</v>
      </c>
      <c r="F698" s="333">
        <f t="array" ref="F698:F735">F654:F691/F692</f>
        <v>7.8136098877681484E-2</v>
      </c>
      <c r="G698" s="333">
        <f t="array" ref="G698:G735">G654:G691/G692</f>
        <v>7.9057116953762469E-2</v>
      </c>
      <c r="H698" s="333">
        <f t="array" ref="H698:H735">H654:H691/H692</f>
        <v>3.3514234028372843E-2</v>
      </c>
      <c r="I698" s="333">
        <f t="array" ref="I698:I735">I654:I691/I692</f>
        <v>6.4098413726124986E-2</v>
      </c>
      <c r="J698" s="333">
        <f t="array" ref="J698:J735">J654:J691/J692</f>
        <v>5.8532877232991255E-2</v>
      </c>
      <c r="K698" s="474"/>
      <c r="L698" s="474"/>
      <c r="M698" s="474"/>
      <c r="N698" s="474"/>
      <c r="O698" s="474"/>
      <c r="T698" s="310" t="str">
        <f t="array" ref="T698:T735">LL.list</f>
        <v>64 kbps</v>
      </c>
      <c r="V698" s="333">
        <f t="array" ref="V698:V735">V654:V691/V692</f>
        <v>7.8212290502793297E-2</v>
      </c>
      <c r="W698" s="333">
        <f t="array" ref="W698:W735">W654:W691/W692</f>
        <v>7.4829931972789115E-2</v>
      </c>
      <c r="X698" s="333">
        <f t="array" ref="X698:X735">X654:X691/X692</f>
        <v>8.4745762711864403E-2</v>
      </c>
      <c r="Y698" s="333">
        <f t="array" ref="Y698:Y735">Y654:Y691/Y692</f>
        <v>4.5454545454545456E-2</v>
      </c>
      <c r="Z698" s="333">
        <f t="array" ref="Z698:Z735">Z654:Z691/Z692</f>
        <v>7.575757575757576E-2</v>
      </c>
      <c r="AA698" s="333">
        <f t="array" ref="AA698:AA735">AA654:AA691/AA692</f>
        <v>8.6206896551724144E-2</v>
      </c>
      <c r="AB698" s="474"/>
      <c r="AC698" s="474"/>
      <c r="AD698" s="474"/>
      <c r="AE698" s="474"/>
      <c r="AF698" s="474"/>
      <c r="AH698"/>
      <c r="AI698"/>
      <c r="AK698" s="310" t="str">
        <f t="array" ref="AK698:AK735">LL.list</f>
        <v>64 kbps</v>
      </c>
      <c r="AM698" s="333">
        <f t="array" ref="AM698:AM735">AM654:AM691/AM692</f>
        <v>7.8293430159990907E-2</v>
      </c>
      <c r="AN698" s="333">
        <f t="array" ref="AN698:AN735">AN654:AN691/AN692</f>
        <v>7.6447286121342703E-2</v>
      </c>
      <c r="AO698" s="333">
        <f t="array" ref="AO698:AO735">AO654:AO691/AO692</f>
        <v>8.199737187910644E-2</v>
      </c>
      <c r="AP698" s="333">
        <f t="array" ref="AP698:AP735">AP654:AP691/AP692</f>
        <v>3.9622378272799144E-2</v>
      </c>
      <c r="AQ698" s="333">
        <f t="array" ref="AQ698:AQ735">AQ654:AQ691/AQ692</f>
        <v>7.0120519643136647E-2</v>
      </c>
      <c r="AR698" s="333">
        <f t="array" ref="AR698:AR735">AR654:AR691/AR692</f>
        <v>7.3042849394322901E-2</v>
      </c>
      <c r="AS698" s="474"/>
      <c r="AT698" s="474"/>
      <c r="AU698" s="474"/>
      <c r="AV698" s="474"/>
      <c r="AW698" s="474"/>
      <c r="AY698"/>
      <c r="AZ698"/>
    </row>
    <row r="699" spans="3:52" s="299" customFormat="1">
      <c r="C699" s="310" t="str">
        <v>128 kbps</v>
      </c>
      <c r="E699" s="333">
        <v>2.6164130935915169E-2</v>
      </c>
      <c r="F699" s="333">
        <v>1.0654922574229293E-2</v>
      </c>
      <c r="G699" s="333">
        <v>9.791477787851317E-3</v>
      </c>
      <c r="H699" s="333">
        <v>5.5222317433114357E-3</v>
      </c>
      <c r="I699" s="333">
        <v>4.5322110715441859E-3</v>
      </c>
      <c r="J699" s="333">
        <v>1.1402508551881414E-2</v>
      </c>
      <c r="K699" s="474"/>
      <c r="L699" s="474"/>
      <c r="M699" s="474"/>
      <c r="N699" s="474"/>
      <c r="O699" s="474"/>
      <c r="T699" s="310" t="str">
        <v>128 kbps</v>
      </c>
      <c r="V699" s="333">
        <v>2.7932960893854747E-2</v>
      </c>
      <c r="W699" s="333">
        <v>2.0408163265306121E-2</v>
      </c>
      <c r="X699" s="333">
        <v>2.5423728813559324E-2</v>
      </c>
      <c r="Y699" s="333">
        <v>9.0909090909090905E-3</v>
      </c>
      <c r="Z699" s="333">
        <v>3.0303030303030304E-2</v>
      </c>
      <c r="AA699" s="333">
        <v>1.7241379310344827E-2</v>
      </c>
      <c r="AB699" s="474"/>
      <c r="AC699" s="474"/>
      <c r="AD699" s="474"/>
      <c r="AE699" s="474"/>
      <c r="AF699" s="474"/>
      <c r="AH699"/>
      <c r="AI699"/>
      <c r="AK699" s="310" t="str">
        <v>128 kbps</v>
      </c>
      <c r="AM699" s="333">
        <v>2.7062294337909906E-2</v>
      </c>
      <c r="AN699" s="333">
        <v>1.5636944888456461E-2</v>
      </c>
      <c r="AO699" s="333">
        <v>1.7871222076215509E-2</v>
      </c>
      <c r="AP699" s="333">
        <v>7.3478119332186205E-3</v>
      </c>
      <c r="AQ699" s="333">
        <v>1.7843167944905303E-2</v>
      </c>
      <c r="AR699" s="333">
        <v>1.4463930573133249E-2</v>
      </c>
      <c r="AS699" s="474"/>
      <c r="AT699" s="474"/>
      <c r="AU699" s="474"/>
      <c r="AV699" s="474"/>
      <c r="AW699" s="474"/>
      <c r="AY699"/>
      <c r="AZ699"/>
    </row>
    <row r="700" spans="3:52" s="299" customFormat="1">
      <c r="C700" s="310" t="str">
        <v>192 kbps</v>
      </c>
      <c r="E700" s="333">
        <v>0</v>
      </c>
      <c r="F700" s="333">
        <v>0</v>
      </c>
      <c r="G700" s="333">
        <v>0</v>
      </c>
      <c r="H700" s="333">
        <v>0</v>
      </c>
      <c r="I700" s="333">
        <v>0</v>
      </c>
      <c r="J700" s="333">
        <v>0</v>
      </c>
      <c r="K700" s="474"/>
      <c r="L700" s="474"/>
      <c r="M700" s="474"/>
      <c r="N700" s="474"/>
      <c r="O700" s="474"/>
      <c r="T700" s="310" t="str">
        <v>192 kbps</v>
      </c>
      <c r="V700" s="333">
        <v>0</v>
      </c>
      <c r="W700" s="333">
        <v>0</v>
      </c>
      <c r="X700" s="333">
        <v>0</v>
      </c>
      <c r="Y700" s="333">
        <v>0</v>
      </c>
      <c r="Z700" s="333">
        <v>0</v>
      </c>
      <c r="AA700" s="333">
        <v>0</v>
      </c>
      <c r="AB700" s="474"/>
      <c r="AC700" s="474"/>
      <c r="AD700" s="474"/>
      <c r="AE700" s="474"/>
      <c r="AF700" s="474"/>
      <c r="AH700"/>
      <c r="AI700"/>
      <c r="AK700" s="310" t="str">
        <v>192 kbps</v>
      </c>
      <c r="AM700" s="333">
        <v>0</v>
      </c>
      <c r="AN700" s="333">
        <v>0</v>
      </c>
      <c r="AO700" s="333">
        <v>0</v>
      </c>
      <c r="AP700" s="333">
        <v>0</v>
      </c>
      <c r="AQ700" s="333">
        <v>0</v>
      </c>
      <c r="AR700" s="333">
        <v>0</v>
      </c>
      <c r="AS700" s="474"/>
      <c r="AT700" s="474"/>
      <c r="AU700" s="474"/>
      <c r="AV700" s="474"/>
      <c r="AW700" s="474"/>
      <c r="AY700"/>
      <c r="AZ700"/>
    </row>
    <row r="701" spans="3:52" s="299" customFormat="1">
      <c r="C701" s="310" t="str">
        <v>256 kbps</v>
      </c>
      <c r="E701" s="333">
        <v>1.1987090825265096E-2</v>
      </c>
      <c r="F701" s="333">
        <v>1.6621679215797696E-2</v>
      </c>
      <c r="G701" s="333">
        <v>1.8585675430643701E-2</v>
      </c>
      <c r="H701" s="333">
        <v>2.6182995334666285E-2</v>
      </c>
      <c r="I701" s="333">
        <v>3.0754289414049864E-2</v>
      </c>
      <c r="J701" s="333">
        <v>5.7012542759407028E-3</v>
      </c>
      <c r="K701" s="474"/>
      <c r="L701" s="474"/>
      <c r="M701" s="474"/>
      <c r="N701" s="474"/>
      <c r="O701" s="474"/>
      <c r="T701" s="310" t="str">
        <v>256 kbps</v>
      </c>
      <c r="V701" s="333">
        <v>2.23463687150838E-2</v>
      </c>
      <c r="W701" s="333">
        <v>2.0408163265306121E-2</v>
      </c>
      <c r="X701" s="333">
        <v>3.3898305084745763E-2</v>
      </c>
      <c r="Y701" s="333">
        <v>2.7272727272727271E-2</v>
      </c>
      <c r="Z701" s="333">
        <v>3.0303030303030304E-2</v>
      </c>
      <c r="AA701" s="333">
        <v>3.4482758620689655E-2</v>
      </c>
      <c r="AB701" s="474"/>
      <c r="AC701" s="474"/>
      <c r="AD701" s="474"/>
      <c r="AE701" s="474"/>
      <c r="AF701" s="474"/>
      <c r="AH701"/>
      <c r="AI701"/>
      <c r="AK701" s="310" t="str">
        <v>256 kbps</v>
      </c>
      <c r="AM701" s="333">
        <v>1.7247248383070464E-2</v>
      </c>
      <c r="AN701" s="333">
        <v>1.8555841267635001E-2</v>
      </c>
      <c r="AO701" s="333">
        <v>2.6500219010074464E-2</v>
      </c>
      <c r="AP701" s="333">
        <v>2.674045482025764E-2</v>
      </c>
      <c r="AQ701" s="333">
        <v>3.0521208326811711E-2</v>
      </c>
      <c r="AR701" s="333">
        <v>2.0791900198879044E-2</v>
      </c>
      <c r="AS701" s="474"/>
      <c r="AT701" s="474"/>
      <c r="AU701" s="474"/>
      <c r="AV701" s="474"/>
      <c r="AW701" s="474"/>
      <c r="AY701"/>
      <c r="AZ701"/>
    </row>
    <row r="702" spans="3:52" s="299" customFormat="1">
      <c r="C702" s="310" t="str">
        <v>384 kbps</v>
      </c>
      <c r="E702" s="333">
        <v>0</v>
      </c>
      <c r="F702" s="333">
        <v>0</v>
      </c>
      <c r="G702" s="333">
        <v>0</v>
      </c>
      <c r="H702" s="333">
        <v>0</v>
      </c>
      <c r="I702" s="333">
        <v>0</v>
      </c>
      <c r="J702" s="333">
        <v>0</v>
      </c>
      <c r="K702" s="474"/>
      <c r="L702" s="474"/>
      <c r="M702" s="474"/>
      <c r="N702" s="474"/>
      <c r="O702" s="474"/>
      <c r="T702" s="310" t="str">
        <v>384 kbps</v>
      </c>
      <c r="V702" s="333">
        <v>0</v>
      </c>
      <c r="W702" s="333">
        <v>0</v>
      </c>
      <c r="X702" s="333">
        <v>0</v>
      </c>
      <c r="Y702" s="333">
        <v>0</v>
      </c>
      <c r="Z702" s="333">
        <v>0</v>
      </c>
      <c r="AA702" s="333">
        <v>0</v>
      </c>
      <c r="AB702" s="474"/>
      <c r="AC702" s="474"/>
      <c r="AD702" s="474"/>
      <c r="AE702" s="474"/>
      <c r="AF702" s="474"/>
      <c r="AH702"/>
      <c r="AI702"/>
      <c r="AK702" s="310" t="str">
        <v>384 kbps</v>
      </c>
      <c r="AM702" s="333">
        <v>0</v>
      </c>
      <c r="AN702" s="333">
        <v>0</v>
      </c>
      <c r="AO702" s="333">
        <v>0</v>
      </c>
      <c r="AP702" s="333">
        <v>0</v>
      </c>
      <c r="AQ702" s="333">
        <v>0</v>
      </c>
      <c r="AR702" s="333">
        <v>0</v>
      </c>
      <c r="AS702" s="474"/>
      <c r="AT702" s="474"/>
      <c r="AU702" s="474"/>
      <c r="AV702" s="474"/>
      <c r="AW702" s="474"/>
      <c r="AY702"/>
      <c r="AZ702"/>
    </row>
    <row r="703" spans="3:52" s="299" customFormat="1">
      <c r="C703" s="310" t="str">
        <v>512 kbps</v>
      </c>
      <c r="E703" s="333">
        <v>2.2936837252189941E-2</v>
      </c>
      <c r="F703" s="333">
        <v>1.5343088506890184E-2</v>
      </c>
      <c r="G703" s="333">
        <v>1.7679057116953768E-2</v>
      </c>
      <c r="H703" s="333">
        <v>1.3234314005522229E-2</v>
      </c>
      <c r="I703" s="333">
        <v>1.1006798316607317E-2</v>
      </c>
      <c r="J703" s="333">
        <v>8.361839604713036E-3</v>
      </c>
      <c r="K703" s="474"/>
      <c r="L703" s="474"/>
      <c r="M703" s="474"/>
      <c r="N703" s="474"/>
      <c r="O703" s="474"/>
      <c r="T703" s="310" t="str">
        <v>512 kbps</v>
      </c>
      <c r="V703" s="333">
        <v>2.23463687150838E-2</v>
      </c>
      <c r="W703" s="333">
        <v>2.0408163265306121E-2</v>
      </c>
      <c r="X703" s="333">
        <v>1.6949152542372881E-2</v>
      </c>
      <c r="Y703" s="333">
        <v>1.8181818181818181E-2</v>
      </c>
      <c r="Z703" s="333">
        <v>1.5151515151515152E-2</v>
      </c>
      <c r="AA703" s="333">
        <v>1.7241379310344827E-2</v>
      </c>
      <c r="AB703" s="474"/>
      <c r="AC703" s="474"/>
      <c r="AD703" s="474"/>
      <c r="AE703" s="474"/>
      <c r="AF703" s="474"/>
      <c r="AH703"/>
      <c r="AI703"/>
      <c r="AK703" s="310" t="str">
        <v>512 kbps</v>
      </c>
      <c r="AM703" s="333">
        <v>2.2637013502779982E-2</v>
      </c>
      <c r="AN703" s="333">
        <v>1.7930363472096741E-2</v>
      </c>
      <c r="AO703" s="333">
        <v>1.7301795882610601E-2</v>
      </c>
      <c r="AP703" s="333">
        <v>1.5765242059247547E-2</v>
      </c>
      <c r="AQ703" s="333">
        <v>1.314759743308812E-2</v>
      </c>
      <c r="AR703" s="333">
        <v>1.3017537515819922E-2</v>
      </c>
      <c r="AS703" s="474"/>
      <c r="AT703" s="474"/>
      <c r="AU703" s="474"/>
      <c r="AV703" s="474"/>
      <c r="AW703" s="474"/>
      <c r="AY703"/>
      <c r="AZ703"/>
    </row>
    <row r="704" spans="3:52" s="299" customFormat="1">
      <c r="C704" s="310" t="str">
        <v>768 kbps</v>
      </c>
      <c r="E704" s="333">
        <v>1.0373443983402483E-3</v>
      </c>
      <c r="F704" s="333">
        <v>-5.6826253729222876E-4</v>
      </c>
      <c r="G704" s="333">
        <v>1.2692656391659104E-3</v>
      </c>
      <c r="H704" s="333">
        <v>-1.7137960582690665E-3</v>
      </c>
      <c r="I704" s="333">
        <v>0</v>
      </c>
      <c r="J704" s="333">
        <v>0</v>
      </c>
      <c r="K704" s="474"/>
      <c r="L704" s="474"/>
      <c r="M704" s="474"/>
      <c r="N704" s="474"/>
      <c r="O704" s="474"/>
      <c r="T704" s="310" t="str">
        <v>768 kbps</v>
      </c>
      <c r="V704" s="333">
        <v>5.5865921787709499E-3</v>
      </c>
      <c r="W704" s="333">
        <v>6.8027210884353739E-3</v>
      </c>
      <c r="X704" s="333">
        <v>8.4745762711864406E-3</v>
      </c>
      <c r="Y704" s="333">
        <v>9.0909090909090905E-3</v>
      </c>
      <c r="Z704" s="333">
        <v>0</v>
      </c>
      <c r="AA704" s="333">
        <v>0</v>
      </c>
      <c r="AB704" s="474"/>
      <c r="AC704" s="474"/>
      <c r="AD704" s="474"/>
      <c r="AE704" s="474"/>
      <c r="AF704" s="474"/>
      <c r="AH704"/>
      <c r="AI704"/>
      <c r="AK704" s="310" t="str">
        <v>768 kbps</v>
      </c>
      <c r="AM704" s="333">
        <v>3.3473278111880171E-3</v>
      </c>
      <c r="AN704" s="333">
        <v>3.1968865105288765E-3</v>
      </c>
      <c r="AO704" s="333">
        <v>4.9934296977660973E-3</v>
      </c>
      <c r="AP704" s="333">
        <v>3.813421383062828E-3</v>
      </c>
      <c r="AQ704" s="333">
        <v>0</v>
      </c>
      <c r="AR704" s="333">
        <v>0</v>
      </c>
      <c r="AS704" s="474"/>
      <c r="AT704" s="474"/>
      <c r="AU704" s="474"/>
      <c r="AV704" s="474"/>
      <c r="AW704" s="474"/>
      <c r="AY704"/>
      <c r="AZ704"/>
    </row>
    <row r="705" spans="3:52" s="299" customFormat="1">
      <c r="C705" s="310" t="str">
        <v>1024 kbps</v>
      </c>
      <c r="E705" s="333">
        <v>1.0085292761641306E-2</v>
      </c>
      <c r="F705" s="333">
        <v>2.5571814178150295E-3</v>
      </c>
      <c r="G705" s="333">
        <v>0</v>
      </c>
      <c r="H705" s="333">
        <v>0</v>
      </c>
      <c r="I705" s="333">
        <v>0</v>
      </c>
      <c r="J705" s="333">
        <v>0</v>
      </c>
      <c r="K705" s="474"/>
      <c r="L705" s="474"/>
      <c r="M705" s="474"/>
      <c r="N705" s="474"/>
      <c r="O705" s="474"/>
      <c r="T705" s="310" t="str">
        <v>1024 kbps</v>
      </c>
      <c r="V705" s="333">
        <v>1.6759776536312849E-2</v>
      </c>
      <c r="W705" s="333">
        <v>1.3605442176870748E-2</v>
      </c>
      <c r="X705" s="333">
        <v>0</v>
      </c>
      <c r="Y705" s="333">
        <v>0</v>
      </c>
      <c r="Z705" s="333">
        <v>0</v>
      </c>
      <c r="AA705" s="333">
        <v>0</v>
      </c>
      <c r="AB705" s="474"/>
      <c r="AC705" s="474"/>
      <c r="AD705" s="474"/>
      <c r="AE705" s="474"/>
      <c r="AF705" s="474"/>
      <c r="AH705"/>
      <c r="AI705"/>
      <c r="AK705" s="310" t="str">
        <v>1024 kbps</v>
      </c>
      <c r="AM705" s="333">
        <v>1.3474412799273798E-2</v>
      </c>
      <c r="AN705" s="333">
        <v>8.2007088748349433E-3</v>
      </c>
      <c r="AO705" s="333">
        <v>0</v>
      </c>
      <c r="AP705" s="333">
        <v>0</v>
      </c>
      <c r="AQ705" s="333">
        <v>0</v>
      </c>
      <c r="AR705" s="333">
        <v>0</v>
      </c>
      <c r="AS705" s="474"/>
      <c r="AT705" s="474"/>
      <c r="AU705" s="474"/>
      <c r="AV705" s="474"/>
      <c r="AW705" s="474"/>
      <c r="AY705"/>
      <c r="AZ705"/>
    </row>
    <row r="706" spans="3:52" s="299" customFormat="1">
      <c r="C706" s="331" t="str">
        <v>E1 (2.04 Mbps)</v>
      </c>
      <c r="E706" s="333">
        <v>0.84941217150760728</v>
      </c>
      <c r="F706" s="333">
        <v>0.8772552919448785</v>
      </c>
      <c r="G706" s="333">
        <v>0.87361740707162283</v>
      </c>
      <c r="H706" s="333">
        <v>0.92326002094639625</v>
      </c>
      <c r="I706" s="333">
        <v>0.88960828747167364</v>
      </c>
      <c r="J706" s="333">
        <v>0.91600152033447357</v>
      </c>
      <c r="K706" s="474"/>
      <c r="L706" s="474"/>
      <c r="M706" s="474"/>
      <c r="N706" s="474"/>
      <c r="O706" s="474"/>
      <c r="T706" s="331" t="str">
        <v>E1 (2.04 Mbps)</v>
      </c>
      <c r="V706" s="333">
        <v>0.82681564245810057</v>
      </c>
      <c r="W706" s="333">
        <v>0.84353741496598644</v>
      </c>
      <c r="X706" s="333">
        <v>0.83050847457627119</v>
      </c>
      <c r="Y706" s="333">
        <v>0.89090909090909087</v>
      </c>
      <c r="Z706" s="333">
        <v>0.84848484848484851</v>
      </c>
      <c r="AA706" s="333">
        <v>0.84482758620689657</v>
      </c>
      <c r="AB706" s="474"/>
      <c r="AC706" s="474"/>
      <c r="AD706" s="474"/>
      <c r="AE706" s="474"/>
      <c r="AF706" s="474"/>
      <c r="AH706"/>
      <c r="AI706"/>
      <c r="AK706" s="331" t="str">
        <v>E1 (2.04 Mbps)</v>
      </c>
      <c r="AM706" s="333">
        <v>0.83793827300578694</v>
      </c>
      <c r="AN706" s="333">
        <v>0.86003196886510536</v>
      </c>
      <c r="AO706" s="333">
        <v>0.85133596145422685</v>
      </c>
      <c r="AP706" s="333">
        <v>0.90671069153141426</v>
      </c>
      <c r="AQ706" s="333">
        <v>0.8683675066520582</v>
      </c>
      <c r="AR706" s="333">
        <v>0.87868378231784483</v>
      </c>
      <c r="AS706" s="474"/>
      <c r="AT706" s="474"/>
      <c r="AU706" s="474"/>
      <c r="AV706" s="474"/>
      <c r="AW706" s="474"/>
      <c r="AY706"/>
      <c r="AZ706"/>
    </row>
    <row r="707" spans="3:52" s="299" customFormat="1">
      <c r="C707" s="331" t="str">
        <v>E2 *</v>
      </c>
      <c r="E707" s="333">
        <v>0</v>
      </c>
      <c r="F707" s="333">
        <v>0</v>
      </c>
      <c r="G707" s="333">
        <v>0</v>
      </c>
      <c r="H707" s="333">
        <v>0</v>
      </c>
      <c r="I707" s="333">
        <v>0</v>
      </c>
      <c r="J707" s="333">
        <v>0</v>
      </c>
      <c r="K707" s="474"/>
      <c r="L707" s="474"/>
      <c r="M707" s="474"/>
      <c r="N707" s="474"/>
      <c r="O707" s="474"/>
      <c r="T707" s="331" t="str">
        <v>E2 *</v>
      </c>
      <c r="V707" s="333">
        <v>0</v>
      </c>
      <c r="W707" s="333">
        <v>0</v>
      </c>
      <c r="X707" s="333">
        <v>0</v>
      </c>
      <c r="Y707" s="333">
        <v>0</v>
      </c>
      <c r="Z707" s="333">
        <v>0</v>
      </c>
      <c r="AA707" s="333">
        <v>0</v>
      </c>
      <c r="AB707" s="474"/>
      <c r="AC707" s="474"/>
      <c r="AD707" s="474"/>
      <c r="AE707" s="474"/>
      <c r="AF707" s="474"/>
      <c r="AH707"/>
      <c r="AI707"/>
      <c r="AK707" s="331" t="str">
        <v>E2 *</v>
      </c>
      <c r="AM707" s="333">
        <v>0</v>
      </c>
      <c r="AN707" s="333">
        <v>0</v>
      </c>
      <c r="AO707" s="333">
        <v>0</v>
      </c>
      <c r="AP707" s="333">
        <v>0</v>
      </c>
      <c r="AQ707" s="333">
        <v>0</v>
      </c>
      <c r="AR707" s="333">
        <v>0</v>
      </c>
      <c r="AS707" s="474"/>
      <c r="AT707" s="474"/>
      <c r="AU707" s="474"/>
      <c r="AV707" s="474"/>
      <c r="AW707" s="474"/>
      <c r="AY707"/>
      <c r="AZ707"/>
    </row>
    <row r="708" spans="3:52" s="299" customFormat="1">
      <c r="C708" s="331" t="str">
        <v>E3 (34 Mbps)</v>
      </c>
      <c r="E708" s="333">
        <v>0</v>
      </c>
      <c r="F708" s="333">
        <v>0</v>
      </c>
      <c r="G708" s="333">
        <v>0</v>
      </c>
      <c r="H708" s="333">
        <v>0</v>
      </c>
      <c r="I708" s="333">
        <v>0</v>
      </c>
      <c r="J708" s="333">
        <v>0</v>
      </c>
      <c r="K708" s="474"/>
      <c r="L708" s="474"/>
      <c r="M708" s="474"/>
      <c r="N708" s="474"/>
      <c r="O708" s="474"/>
      <c r="T708" s="331" t="str">
        <v>E3 (34 Mbps)</v>
      </c>
      <c r="V708" s="333">
        <v>0</v>
      </c>
      <c r="W708" s="333">
        <v>0</v>
      </c>
      <c r="X708" s="333">
        <v>0</v>
      </c>
      <c r="Y708" s="333">
        <v>0</v>
      </c>
      <c r="Z708" s="333">
        <v>0</v>
      </c>
      <c r="AA708" s="333">
        <v>0</v>
      </c>
      <c r="AB708" s="474"/>
      <c r="AC708" s="474"/>
      <c r="AD708" s="474"/>
      <c r="AE708" s="474"/>
      <c r="AF708" s="474"/>
      <c r="AH708"/>
      <c r="AI708"/>
      <c r="AK708" s="331" t="str">
        <v>E3 (34 Mbps)</v>
      </c>
      <c r="AM708" s="333">
        <v>0</v>
      </c>
      <c r="AN708" s="333">
        <v>0</v>
      </c>
      <c r="AO708" s="333">
        <v>0</v>
      </c>
      <c r="AP708" s="333">
        <v>0</v>
      </c>
      <c r="AQ708" s="333">
        <v>0</v>
      </c>
      <c r="AR708" s="333">
        <v>0</v>
      </c>
      <c r="AS708" s="474"/>
      <c r="AT708" s="474"/>
      <c r="AU708" s="474"/>
      <c r="AV708" s="474"/>
      <c r="AW708" s="474"/>
      <c r="AY708"/>
      <c r="AZ708"/>
    </row>
    <row r="709" spans="3:52" s="299" customFormat="1">
      <c r="C709" s="331" t="str">
        <v>STM-1 (155 Mbps)</v>
      </c>
      <c r="E709" s="333">
        <v>0</v>
      </c>
      <c r="F709" s="333">
        <v>0</v>
      </c>
      <c r="G709" s="333">
        <v>0</v>
      </c>
      <c r="H709" s="333">
        <v>0</v>
      </c>
      <c r="I709" s="333">
        <v>0</v>
      </c>
      <c r="J709" s="333">
        <v>0</v>
      </c>
      <c r="K709" s="474"/>
      <c r="L709" s="474"/>
      <c r="M709" s="474"/>
      <c r="N709" s="474"/>
      <c r="O709" s="474"/>
      <c r="T709" s="331" t="str">
        <v>STM-1 (155 Mbps)</v>
      </c>
      <c r="V709" s="333">
        <v>0</v>
      </c>
      <c r="W709" s="333">
        <v>0</v>
      </c>
      <c r="X709" s="333">
        <v>0</v>
      </c>
      <c r="Y709" s="333">
        <v>0</v>
      </c>
      <c r="Z709" s="333">
        <v>0</v>
      </c>
      <c r="AA709" s="333">
        <v>0</v>
      </c>
      <c r="AB709" s="474"/>
      <c r="AC709" s="474"/>
      <c r="AD709" s="474"/>
      <c r="AE709" s="474"/>
      <c r="AF709" s="474"/>
      <c r="AH709"/>
      <c r="AI709"/>
      <c r="AK709" s="331" t="str">
        <v>STM-1 (155 Mbps)</v>
      </c>
      <c r="AM709" s="333">
        <v>0</v>
      </c>
      <c r="AN709" s="333">
        <v>0</v>
      </c>
      <c r="AO709" s="333">
        <v>0</v>
      </c>
      <c r="AP709" s="333">
        <v>0</v>
      </c>
      <c r="AQ709" s="333">
        <v>0</v>
      </c>
      <c r="AR709" s="333">
        <v>0</v>
      </c>
      <c r="AS709" s="474"/>
      <c r="AT709" s="474"/>
      <c r="AU709" s="474"/>
      <c r="AV709" s="474"/>
      <c r="AW709" s="474"/>
      <c r="AY709"/>
      <c r="AZ709"/>
    </row>
    <row r="710" spans="3:52" s="299" customFormat="1">
      <c r="C710" s="310" t="str">
        <v>STM-4 (622.08 Mbps)</v>
      </c>
      <c r="E710" s="333">
        <v>0</v>
      </c>
      <c r="F710" s="333">
        <v>0</v>
      </c>
      <c r="G710" s="333">
        <v>0</v>
      </c>
      <c r="H710" s="333">
        <v>0</v>
      </c>
      <c r="I710" s="333">
        <v>0</v>
      </c>
      <c r="J710" s="333">
        <v>0</v>
      </c>
      <c r="K710" s="474"/>
      <c r="L710" s="474"/>
      <c r="M710" s="474"/>
      <c r="N710" s="474"/>
      <c r="O710" s="474"/>
      <c r="T710" s="310" t="str">
        <v>STM-4 (622.08 Mbps)</v>
      </c>
      <c r="V710" s="333">
        <v>0</v>
      </c>
      <c r="W710" s="333">
        <v>0</v>
      </c>
      <c r="X710" s="333">
        <v>0</v>
      </c>
      <c r="Y710" s="333">
        <v>0</v>
      </c>
      <c r="Z710" s="333">
        <v>0</v>
      </c>
      <c r="AA710" s="333">
        <v>0</v>
      </c>
      <c r="AB710" s="474"/>
      <c r="AC710" s="474"/>
      <c r="AD710" s="474"/>
      <c r="AE710" s="474"/>
      <c r="AF710" s="474"/>
      <c r="AH710"/>
      <c r="AI710"/>
      <c r="AK710" s="310" t="str">
        <v>STM-4 (622.08 Mbps)</v>
      </c>
      <c r="AM710" s="333">
        <v>0</v>
      </c>
      <c r="AN710" s="333">
        <v>0</v>
      </c>
      <c r="AO710" s="333">
        <v>0</v>
      </c>
      <c r="AP710" s="333">
        <v>0</v>
      </c>
      <c r="AQ710" s="333">
        <v>0</v>
      </c>
      <c r="AR710" s="333">
        <v>0</v>
      </c>
      <c r="AS710" s="474"/>
      <c r="AT710" s="474"/>
      <c r="AU710" s="474"/>
      <c r="AV710" s="474"/>
      <c r="AW710" s="474"/>
      <c r="AY710"/>
      <c r="AZ710"/>
    </row>
    <row r="711" spans="3:52" s="299" customFormat="1">
      <c r="C711" s="310" t="str">
        <v>STM-16 (2488.32Mbps)</v>
      </c>
      <c r="E711" s="333">
        <v>0</v>
      </c>
      <c r="F711" s="333">
        <v>0</v>
      </c>
      <c r="G711" s="333">
        <v>0</v>
      </c>
      <c r="H711" s="333">
        <v>0</v>
      </c>
      <c r="I711" s="333">
        <v>0</v>
      </c>
      <c r="J711" s="333">
        <v>0</v>
      </c>
      <c r="K711" s="474"/>
      <c r="L711" s="474"/>
      <c r="M711" s="474"/>
      <c r="N711" s="474"/>
      <c r="O711" s="474"/>
      <c r="T711" s="310" t="str">
        <v>STM-16 (2488.32Mbps)</v>
      </c>
      <c r="V711" s="333">
        <v>0</v>
      </c>
      <c r="W711" s="333">
        <v>0</v>
      </c>
      <c r="X711" s="333">
        <v>0</v>
      </c>
      <c r="Y711" s="333">
        <v>0</v>
      </c>
      <c r="Z711" s="333">
        <v>0</v>
      </c>
      <c r="AA711" s="333">
        <v>0</v>
      </c>
      <c r="AB711" s="474"/>
      <c r="AC711" s="474"/>
      <c r="AD711" s="474"/>
      <c r="AE711" s="474"/>
      <c r="AF711" s="474"/>
      <c r="AH711"/>
      <c r="AI711"/>
      <c r="AK711" s="310" t="str">
        <v>STM-16 (2488.32Mbps)</v>
      </c>
      <c r="AM711" s="333">
        <v>0</v>
      </c>
      <c r="AN711" s="333">
        <v>0</v>
      </c>
      <c r="AO711" s="333">
        <v>0</v>
      </c>
      <c r="AP711" s="333">
        <v>0</v>
      </c>
      <c r="AQ711" s="333">
        <v>0</v>
      </c>
      <c r="AR711" s="333">
        <v>0</v>
      </c>
      <c r="AS711" s="474"/>
      <c r="AT711" s="474"/>
      <c r="AU711" s="474"/>
      <c r="AV711" s="474"/>
      <c r="AW711" s="474"/>
      <c r="AY711"/>
      <c r="AZ711"/>
    </row>
    <row r="712" spans="3:52" s="299" customFormat="1">
      <c r="C712" s="310" t="str">
        <v>STM-64 (9953.28Mbps)</v>
      </c>
      <c r="E712" s="333">
        <v>0</v>
      </c>
      <c r="F712" s="333">
        <v>0</v>
      </c>
      <c r="G712" s="333">
        <v>0</v>
      </c>
      <c r="H712" s="333">
        <v>0</v>
      </c>
      <c r="I712" s="333">
        <v>0</v>
      </c>
      <c r="J712" s="333">
        <v>0</v>
      </c>
      <c r="K712" s="474"/>
      <c r="L712" s="474"/>
      <c r="M712" s="474"/>
      <c r="N712" s="474"/>
      <c r="O712" s="474"/>
      <c r="T712" s="310" t="str">
        <v>STM-64 (9953.28Mbps)</v>
      </c>
      <c r="V712" s="333">
        <v>0</v>
      </c>
      <c r="W712" s="333">
        <v>0</v>
      </c>
      <c r="X712" s="333">
        <v>0</v>
      </c>
      <c r="Y712" s="333">
        <v>0</v>
      </c>
      <c r="Z712" s="333">
        <v>0</v>
      </c>
      <c r="AA712" s="333">
        <v>0</v>
      </c>
      <c r="AB712" s="474"/>
      <c r="AC712" s="474"/>
      <c r="AD712" s="474"/>
      <c r="AE712" s="474"/>
      <c r="AF712" s="474"/>
      <c r="AH712"/>
      <c r="AI712"/>
      <c r="AK712" s="310" t="str">
        <v>STM-64 (9953.28Mbps)</v>
      </c>
      <c r="AM712" s="333">
        <v>0</v>
      </c>
      <c r="AN712" s="333">
        <v>0</v>
      </c>
      <c r="AO712" s="333">
        <v>0</v>
      </c>
      <c r="AP712" s="333">
        <v>0</v>
      </c>
      <c r="AQ712" s="333">
        <v>0</v>
      </c>
      <c r="AR712" s="333">
        <v>0</v>
      </c>
      <c r="AS712" s="474"/>
      <c r="AT712" s="474"/>
      <c r="AU712" s="474"/>
      <c r="AV712" s="474"/>
      <c r="AW712" s="474"/>
      <c r="AY712"/>
      <c r="AZ712"/>
    </row>
    <row r="713" spans="3:52" s="299" customFormat="1">
      <c r="C713" s="310" t="str">
        <v>STM-256 (39813.12 Mbps)*</v>
      </c>
      <c r="E713" s="333">
        <v>0</v>
      </c>
      <c r="F713" s="333">
        <v>0</v>
      </c>
      <c r="G713" s="333">
        <v>0</v>
      </c>
      <c r="H713" s="333">
        <v>0</v>
      </c>
      <c r="I713" s="333">
        <v>0</v>
      </c>
      <c r="J713" s="333">
        <v>0</v>
      </c>
      <c r="K713" s="474"/>
      <c r="L713" s="474"/>
      <c r="M713" s="474"/>
      <c r="N713" s="474"/>
      <c r="O713" s="474"/>
      <c r="T713" s="310" t="str">
        <v>STM-256 (39813.12 Mbps)*</v>
      </c>
      <c r="V713" s="333">
        <v>0</v>
      </c>
      <c r="W713" s="333">
        <v>0</v>
      </c>
      <c r="X713" s="333">
        <v>0</v>
      </c>
      <c r="Y713" s="333">
        <v>0</v>
      </c>
      <c r="Z713" s="333">
        <v>0</v>
      </c>
      <c r="AA713" s="333">
        <v>0</v>
      </c>
      <c r="AB713" s="474"/>
      <c r="AC713" s="474"/>
      <c r="AD713" s="474"/>
      <c r="AE713" s="474"/>
      <c r="AF713" s="474"/>
      <c r="AH713"/>
      <c r="AI713"/>
      <c r="AK713" s="310" t="str">
        <v>STM-256 (39813.12 Mbps)*</v>
      </c>
      <c r="AM713" s="333">
        <v>0</v>
      </c>
      <c r="AN713" s="333">
        <v>0</v>
      </c>
      <c r="AO713" s="333">
        <v>0</v>
      </c>
      <c r="AP713" s="333">
        <v>0</v>
      </c>
      <c r="AQ713" s="333">
        <v>0</v>
      </c>
      <c r="AR713" s="333">
        <v>0</v>
      </c>
      <c r="AS713" s="474"/>
      <c r="AT713" s="474"/>
      <c r="AU713" s="474"/>
      <c r="AV713" s="474"/>
      <c r="AW713" s="474"/>
      <c r="AY713"/>
      <c r="AZ713"/>
    </row>
    <row r="714" spans="3:52" s="299" customFormat="1">
      <c r="C714" s="310" t="str">
        <v>Ethernet (10Mbps)</v>
      </c>
      <c r="E714" s="333">
        <v>0</v>
      </c>
      <c r="F714" s="333">
        <v>0</v>
      </c>
      <c r="G714" s="333">
        <v>0</v>
      </c>
      <c r="H714" s="333">
        <v>0</v>
      </c>
      <c r="I714" s="333">
        <v>0</v>
      </c>
      <c r="J714" s="333">
        <v>0</v>
      </c>
      <c r="K714" s="474"/>
      <c r="L714" s="474"/>
      <c r="M714" s="474"/>
      <c r="N714" s="474"/>
      <c r="O714" s="474"/>
      <c r="T714" s="310" t="str">
        <v>Ethernet (10Mbps)</v>
      </c>
      <c r="V714" s="333">
        <v>0</v>
      </c>
      <c r="W714" s="333">
        <v>0</v>
      </c>
      <c r="X714" s="333">
        <v>0</v>
      </c>
      <c r="Y714" s="333">
        <v>0</v>
      </c>
      <c r="Z714" s="333">
        <v>0</v>
      </c>
      <c r="AA714" s="333">
        <v>0</v>
      </c>
      <c r="AB714" s="474"/>
      <c r="AC714" s="474"/>
      <c r="AD714" s="474"/>
      <c r="AE714" s="474"/>
      <c r="AF714" s="474"/>
      <c r="AH714"/>
      <c r="AI714"/>
      <c r="AK714" s="310" t="str">
        <v>Ethernet (10Mbps)</v>
      </c>
      <c r="AM714" s="333">
        <v>0</v>
      </c>
      <c r="AN714" s="333">
        <v>0</v>
      </c>
      <c r="AO714" s="333">
        <v>0</v>
      </c>
      <c r="AP714" s="333">
        <v>0</v>
      </c>
      <c r="AQ714" s="333">
        <v>0</v>
      </c>
      <c r="AR714" s="333">
        <v>0</v>
      </c>
      <c r="AS714" s="474"/>
      <c r="AT714" s="474"/>
      <c r="AU714" s="474"/>
      <c r="AV714" s="474"/>
      <c r="AW714" s="474"/>
      <c r="AY714"/>
      <c r="AZ714"/>
    </row>
    <row r="715" spans="3:52" s="299" customFormat="1">
      <c r="C715" s="310" t="str">
        <v>Ethernet (20Mbps)</v>
      </c>
      <c r="E715" s="333">
        <v>0</v>
      </c>
      <c r="F715" s="333">
        <v>0</v>
      </c>
      <c r="G715" s="333">
        <v>0</v>
      </c>
      <c r="H715" s="333">
        <v>0</v>
      </c>
      <c r="I715" s="333">
        <v>0</v>
      </c>
      <c r="J715" s="333">
        <v>0</v>
      </c>
      <c r="K715" s="474"/>
      <c r="L715" s="474"/>
      <c r="M715" s="474"/>
      <c r="N715" s="474"/>
      <c r="O715" s="474"/>
      <c r="T715" s="310" t="str">
        <v>Ethernet (20Mbps)</v>
      </c>
      <c r="V715" s="333">
        <v>0</v>
      </c>
      <c r="W715" s="333">
        <v>0</v>
      </c>
      <c r="X715" s="333">
        <v>0</v>
      </c>
      <c r="Y715" s="333">
        <v>0</v>
      </c>
      <c r="Z715" s="333">
        <v>0</v>
      </c>
      <c r="AA715" s="333">
        <v>0</v>
      </c>
      <c r="AB715" s="474"/>
      <c r="AC715" s="474"/>
      <c r="AD715" s="474"/>
      <c r="AE715" s="474"/>
      <c r="AF715" s="474"/>
      <c r="AH715"/>
      <c r="AI715"/>
      <c r="AK715" s="310" t="str">
        <v>Ethernet (20Mbps)</v>
      </c>
      <c r="AM715" s="333">
        <v>0</v>
      </c>
      <c r="AN715" s="333">
        <v>0</v>
      </c>
      <c r="AO715" s="333">
        <v>0</v>
      </c>
      <c r="AP715" s="333">
        <v>0</v>
      </c>
      <c r="AQ715" s="333">
        <v>0</v>
      </c>
      <c r="AR715" s="333">
        <v>0</v>
      </c>
      <c r="AS715" s="474"/>
      <c r="AT715" s="474"/>
      <c r="AU715" s="474"/>
      <c r="AV715" s="474"/>
      <c r="AW715" s="474"/>
      <c r="AY715"/>
      <c r="AZ715"/>
    </row>
    <row r="716" spans="3:52" s="299" customFormat="1">
      <c r="C716" s="310" t="str">
        <v>Ethernet (30Mbps)</v>
      </c>
      <c r="E716" s="333">
        <v>0</v>
      </c>
      <c r="F716" s="333">
        <v>0</v>
      </c>
      <c r="G716" s="333">
        <v>0</v>
      </c>
      <c r="H716" s="333">
        <v>0</v>
      </c>
      <c r="I716" s="333">
        <v>0</v>
      </c>
      <c r="J716" s="333">
        <v>0</v>
      </c>
      <c r="K716" s="474"/>
      <c r="L716" s="474"/>
      <c r="M716" s="474"/>
      <c r="N716" s="474"/>
      <c r="O716" s="474"/>
      <c r="T716" s="310" t="str">
        <v>Ethernet (30Mbps)</v>
      </c>
      <c r="V716" s="333">
        <v>0</v>
      </c>
      <c r="W716" s="333">
        <v>0</v>
      </c>
      <c r="X716" s="333">
        <v>0</v>
      </c>
      <c r="Y716" s="333">
        <v>0</v>
      </c>
      <c r="Z716" s="333">
        <v>0</v>
      </c>
      <c r="AA716" s="333">
        <v>0</v>
      </c>
      <c r="AB716" s="474"/>
      <c r="AC716" s="474"/>
      <c r="AD716" s="474"/>
      <c r="AE716" s="474"/>
      <c r="AF716" s="474"/>
      <c r="AH716"/>
      <c r="AI716"/>
      <c r="AK716" s="310" t="str">
        <v>Ethernet (30Mbps)</v>
      </c>
      <c r="AM716" s="333">
        <v>0</v>
      </c>
      <c r="AN716" s="333">
        <v>0</v>
      </c>
      <c r="AO716" s="333">
        <v>0</v>
      </c>
      <c r="AP716" s="333">
        <v>0</v>
      </c>
      <c r="AQ716" s="333">
        <v>0</v>
      </c>
      <c r="AR716" s="333">
        <v>0</v>
      </c>
      <c r="AS716" s="474"/>
      <c r="AT716" s="474"/>
      <c r="AU716" s="474"/>
      <c r="AV716" s="474"/>
      <c r="AW716" s="474"/>
      <c r="AY716"/>
      <c r="AZ716"/>
    </row>
    <row r="717" spans="3:52" s="299" customFormat="1">
      <c r="C717" s="310" t="str">
        <v>Ethernet (40Mbps)</v>
      </c>
      <c r="E717" s="333">
        <v>0</v>
      </c>
      <c r="F717" s="333">
        <v>0</v>
      </c>
      <c r="G717" s="333">
        <v>0</v>
      </c>
      <c r="H717" s="333">
        <v>0</v>
      </c>
      <c r="I717" s="333">
        <v>0</v>
      </c>
      <c r="J717" s="333">
        <v>0</v>
      </c>
      <c r="K717" s="474"/>
      <c r="L717" s="474"/>
      <c r="M717" s="474"/>
      <c r="N717" s="474"/>
      <c r="O717" s="474"/>
      <c r="T717" s="310" t="str">
        <v>Ethernet (40Mbps)</v>
      </c>
      <c r="V717" s="333">
        <v>0</v>
      </c>
      <c r="W717" s="333">
        <v>0</v>
      </c>
      <c r="X717" s="333">
        <v>0</v>
      </c>
      <c r="Y717" s="333">
        <v>0</v>
      </c>
      <c r="Z717" s="333">
        <v>0</v>
      </c>
      <c r="AA717" s="333">
        <v>0</v>
      </c>
      <c r="AB717" s="474"/>
      <c r="AC717" s="474"/>
      <c r="AD717" s="474"/>
      <c r="AE717" s="474"/>
      <c r="AF717" s="474"/>
      <c r="AH717"/>
      <c r="AI717"/>
      <c r="AK717" s="310" t="str">
        <v>Ethernet (40Mbps)</v>
      </c>
      <c r="AM717" s="333">
        <v>0</v>
      </c>
      <c r="AN717" s="333">
        <v>0</v>
      </c>
      <c r="AO717" s="333">
        <v>0</v>
      </c>
      <c r="AP717" s="333">
        <v>0</v>
      </c>
      <c r="AQ717" s="333">
        <v>0</v>
      </c>
      <c r="AR717" s="333">
        <v>0</v>
      </c>
      <c r="AS717" s="474"/>
      <c r="AT717" s="474"/>
      <c r="AU717" s="474"/>
      <c r="AV717" s="474"/>
      <c r="AW717" s="474"/>
      <c r="AY717"/>
      <c r="AZ717"/>
    </row>
    <row r="718" spans="3:52" s="299" customFormat="1">
      <c r="C718" s="310" t="str">
        <v>Ethernet (50Mbps)</v>
      </c>
      <c r="E718" s="333">
        <v>0</v>
      </c>
      <c r="F718" s="333">
        <v>0</v>
      </c>
      <c r="G718" s="333">
        <v>0</v>
      </c>
      <c r="H718" s="333">
        <v>0</v>
      </c>
      <c r="I718" s="333">
        <v>0</v>
      </c>
      <c r="J718" s="333">
        <v>0</v>
      </c>
      <c r="K718" s="474"/>
      <c r="L718" s="474"/>
      <c r="M718" s="474"/>
      <c r="N718" s="474"/>
      <c r="O718" s="474"/>
      <c r="T718" s="310" t="str">
        <v>Ethernet (50Mbps)</v>
      </c>
      <c r="V718" s="333">
        <v>0</v>
      </c>
      <c r="W718" s="333">
        <v>0</v>
      </c>
      <c r="X718" s="333">
        <v>0</v>
      </c>
      <c r="Y718" s="333">
        <v>0</v>
      </c>
      <c r="Z718" s="333">
        <v>0</v>
      </c>
      <c r="AA718" s="333">
        <v>0</v>
      </c>
      <c r="AB718" s="474"/>
      <c r="AC718" s="474"/>
      <c r="AD718" s="474"/>
      <c r="AE718" s="474"/>
      <c r="AF718" s="474"/>
      <c r="AH718"/>
      <c r="AI718"/>
      <c r="AK718" s="310" t="str">
        <v>Ethernet (50Mbps)</v>
      </c>
      <c r="AM718" s="333">
        <v>0</v>
      </c>
      <c r="AN718" s="333">
        <v>0</v>
      </c>
      <c r="AO718" s="333">
        <v>0</v>
      </c>
      <c r="AP718" s="333">
        <v>0</v>
      </c>
      <c r="AQ718" s="333">
        <v>0</v>
      </c>
      <c r="AR718" s="333">
        <v>0</v>
      </c>
      <c r="AS718" s="474"/>
      <c r="AT718" s="474"/>
      <c r="AU718" s="474"/>
      <c r="AV718" s="474"/>
      <c r="AW718" s="474"/>
      <c r="AY718"/>
      <c r="AZ718"/>
    </row>
    <row r="719" spans="3:52" s="299" customFormat="1">
      <c r="C719" s="310" t="str">
        <v>Ethernet (60Mbps)</v>
      </c>
      <c r="E719" s="333">
        <v>0</v>
      </c>
      <c r="F719" s="333">
        <v>0</v>
      </c>
      <c r="G719" s="333">
        <v>0</v>
      </c>
      <c r="H719" s="333">
        <v>0</v>
      </c>
      <c r="I719" s="333">
        <v>0</v>
      </c>
      <c r="J719" s="333">
        <v>0</v>
      </c>
      <c r="K719" s="474"/>
      <c r="L719" s="474"/>
      <c r="M719" s="474"/>
      <c r="N719" s="474"/>
      <c r="O719" s="474"/>
      <c r="T719" s="310" t="str">
        <v>Ethernet (60Mbps)</v>
      </c>
      <c r="V719" s="333">
        <v>0</v>
      </c>
      <c r="W719" s="333">
        <v>0</v>
      </c>
      <c r="X719" s="333">
        <v>0</v>
      </c>
      <c r="Y719" s="333">
        <v>0</v>
      </c>
      <c r="Z719" s="333">
        <v>0</v>
      </c>
      <c r="AA719" s="333">
        <v>0</v>
      </c>
      <c r="AB719" s="474"/>
      <c r="AC719" s="474"/>
      <c r="AD719" s="474"/>
      <c r="AE719" s="474"/>
      <c r="AF719" s="474"/>
      <c r="AH719"/>
      <c r="AI719"/>
      <c r="AK719" s="310" t="str">
        <v>Ethernet (60Mbps)</v>
      </c>
      <c r="AM719" s="333">
        <v>0</v>
      </c>
      <c r="AN719" s="333">
        <v>0</v>
      </c>
      <c r="AO719" s="333">
        <v>0</v>
      </c>
      <c r="AP719" s="333">
        <v>0</v>
      </c>
      <c r="AQ719" s="333">
        <v>0</v>
      </c>
      <c r="AR719" s="333">
        <v>0</v>
      </c>
      <c r="AS719" s="474"/>
      <c r="AT719" s="474"/>
      <c r="AU719" s="474"/>
      <c r="AV719" s="474"/>
      <c r="AW719" s="474"/>
      <c r="AY719"/>
      <c r="AZ719"/>
    </row>
    <row r="720" spans="3:52" s="299" customFormat="1">
      <c r="C720" s="310" t="str">
        <v>Ethernet (70Mbps)</v>
      </c>
      <c r="E720" s="333">
        <v>0</v>
      </c>
      <c r="F720" s="333">
        <v>0</v>
      </c>
      <c r="G720" s="333">
        <v>0</v>
      </c>
      <c r="H720" s="333">
        <v>0</v>
      </c>
      <c r="I720" s="333">
        <v>0</v>
      </c>
      <c r="J720" s="333">
        <v>0</v>
      </c>
      <c r="K720" s="474"/>
      <c r="L720" s="474"/>
      <c r="M720" s="474"/>
      <c r="N720" s="474"/>
      <c r="O720" s="474"/>
      <c r="T720" s="310" t="str">
        <v>Ethernet (70Mbps)</v>
      </c>
      <c r="V720" s="333">
        <v>0</v>
      </c>
      <c r="W720" s="333">
        <v>0</v>
      </c>
      <c r="X720" s="333">
        <v>0</v>
      </c>
      <c r="Y720" s="333">
        <v>0</v>
      </c>
      <c r="Z720" s="333">
        <v>0</v>
      </c>
      <c r="AA720" s="333">
        <v>0</v>
      </c>
      <c r="AB720" s="474"/>
      <c r="AC720" s="474"/>
      <c r="AD720" s="474"/>
      <c r="AE720" s="474"/>
      <c r="AF720" s="474"/>
      <c r="AH720"/>
      <c r="AI720"/>
      <c r="AK720" s="310" t="str">
        <v>Ethernet (70Mbps)</v>
      </c>
      <c r="AM720" s="333">
        <v>0</v>
      </c>
      <c r="AN720" s="333">
        <v>0</v>
      </c>
      <c r="AO720" s="333">
        <v>0</v>
      </c>
      <c r="AP720" s="333">
        <v>0</v>
      </c>
      <c r="AQ720" s="333">
        <v>0</v>
      </c>
      <c r="AR720" s="333">
        <v>0</v>
      </c>
      <c r="AS720" s="474"/>
      <c r="AT720" s="474"/>
      <c r="AU720" s="474"/>
      <c r="AV720" s="474"/>
      <c r="AW720" s="474"/>
      <c r="AY720"/>
      <c r="AZ720"/>
    </row>
    <row r="721" spans="3:52" s="299" customFormat="1">
      <c r="C721" s="310" t="str">
        <v>Ethernet (80Mbps)</v>
      </c>
      <c r="E721" s="333">
        <v>0</v>
      </c>
      <c r="F721" s="333">
        <v>0</v>
      </c>
      <c r="G721" s="333">
        <v>0</v>
      </c>
      <c r="H721" s="333">
        <v>0</v>
      </c>
      <c r="I721" s="333">
        <v>0</v>
      </c>
      <c r="J721" s="333">
        <v>0</v>
      </c>
      <c r="K721" s="474"/>
      <c r="L721" s="474"/>
      <c r="M721" s="474"/>
      <c r="N721" s="474"/>
      <c r="O721" s="474"/>
      <c r="T721" s="310" t="str">
        <v>Ethernet (80Mbps)</v>
      </c>
      <c r="V721" s="333">
        <v>0</v>
      </c>
      <c r="W721" s="333">
        <v>0</v>
      </c>
      <c r="X721" s="333">
        <v>0</v>
      </c>
      <c r="Y721" s="333">
        <v>0</v>
      </c>
      <c r="Z721" s="333">
        <v>0</v>
      </c>
      <c r="AA721" s="333">
        <v>0</v>
      </c>
      <c r="AB721" s="474"/>
      <c r="AC721" s="474"/>
      <c r="AD721" s="474"/>
      <c r="AE721" s="474"/>
      <c r="AF721" s="474"/>
      <c r="AH721"/>
      <c r="AI721"/>
      <c r="AK721" s="310" t="str">
        <v>Ethernet (80Mbps)</v>
      </c>
      <c r="AM721" s="333">
        <v>0</v>
      </c>
      <c r="AN721" s="333">
        <v>0</v>
      </c>
      <c r="AO721" s="333">
        <v>0</v>
      </c>
      <c r="AP721" s="333">
        <v>0</v>
      </c>
      <c r="AQ721" s="333">
        <v>0</v>
      </c>
      <c r="AR721" s="333">
        <v>0</v>
      </c>
      <c r="AS721" s="474"/>
      <c r="AT721" s="474"/>
      <c r="AU721" s="474"/>
      <c r="AV721" s="474"/>
      <c r="AW721" s="474"/>
      <c r="AY721"/>
      <c r="AZ721"/>
    </row>
    <row r="722" spans="3:52" s="299" customFormat="1">
      <c r="C722" s="310" t="str">
        <v>Ethernet (90Mbps)</v>
      </c>
      <c r="E722" s="333">
        <v>0</v>
      </c>
      <c r="F722" s="333">
        <v>0</v>
      </c>
      <c r="G722" s="333">
        <v>0</v>
      </c>
      <c r="H722" s="333">
        <v>0</v>
      </c>
      <c r="I722" s="333">
        <v>0</v>
      </c>
      <c r="J722" s="333">
        <v>0</v>
      </c>
      <c r="K722" s="474"/>
      <c r="L722" s="474"/>
      <c r="M722" s="474"/>
      <c r="N722" s="474"/>
      <c r="O722" s="474"/>
      <c r="T722" s="310" t="str">
        <v>Ethernet (90Mbps)</v>
      </c>
      <c r="V722" s="333">
        <v>0</v>
      </c>
      <c r="W722" s="333">
        <v>0</v>
      </c>
      <c r="X722" s="333">
        <v>0</v>
      </c>
      <c r="Y722" s="333">
        <v>0</v>
      </c>
      <c r="Z722" s="333">
        <v>0</v>
      </c>
      <c r="AA722" s="333">
        <v>0</v>
      </c>
      <c r="AB722" s="474"/>
      <c r="AC722" s="474"/>
      <c r="AD722" s="474"/>
      <c r="AE722" s="474"/>
      <c r="AF722" s="474"/>
      <c r="AH722"/>
      <c r="AI722"/>
      <c r="AK722" s="310" t="str">
        <v>Ethernet (90Mbps)</v>
      </c>
      <c r="AM722" s="333">
        <v>0</v>
      </c>
      <c r="AN722" s="333">
        <v>0</v>
      </c>
      <c r="AO722" s="333">
        <v>0</v>
      </c>
      <c r="AP722" s="333">
        <v>0</v>
      </c>
      <c r="AQ722" s="333">
        <v>0</v>
      </c>
      <c r="AR722" s="333">
        <v>0</v>
      </c>
      <c r="AS722" s="474"/>
      <c r="AT722" s="474"/>
      <c r="AU722" s="474"/>
      <c r="AV722" s="474"/>
      <c r="AW722" s="474"/>
      <c r="AY722"/>
      <c r="AZ722"/>
    </row>
    <row r="723" spans="3:52" s="299" customFormat="1">
      <c r="C723" s="310" t="str">
        <v>GigaEthernet (100Mbps)</v>
      </c>
      <c r="E723" s="333">
        <v>0</v>
      </c>
      <c r="F723" s="333">
        <v>0</v>
      </c>
      <c r="G723" s="333">
        <v>0</v>
      </c>
      <c r="H723" s="333">
        <v>0</v>
      </c>
      <c r="I723" s="333">
        <v>0</v>
      </c>
      <c r="J723" s="333">
        <v>0</v>
      </c>
      <c r="K723" s="474"/>
      <c r="L723" s="474"/>
      <c r="M723" s="474"/>
      <c r="N723" s="474"/>
      <c r="O723" s="474"/>
      <c r="T723" s="310" t="str">
        <v>GigaEthernet (100Mbps)</v>
      </c>
      <c r="V723" s="333">
        <v>0</v>
      </c>
      <c r="W723" s="333">
        <v>0</v>
      </c>
      <c r="X723" s="333">
        <v>0</v>
      </c>
      <c r="Y723" s="333">
        <v>0</v>
      </c>
      <c r="Z723" s="333">
        <v>0</v>
      </c>
      <c r="AA723" s="333">
        <v>0</v>
      </c>
      <c r="AB723" s="474"/>
      <c r="AC723" s="474"/>
      <c r="AD723" s="474"/>
      <c r="AE723" s="474"/>
      <c r="AF723" s="474"/>
      <c r="AH723"/>
      <c r="AI723"/>
      <c r="AK723" s="310" t="str">
        <v>GigaEthernet (100Mbps)</v>
      </c>
      <c r="AM723" s="333">
        <v>0</v>
      </c>
      <c r="AN723" s="333">
        <v>0</v>
      </c>
      <c r="AO723" s="333">
        <v>0</v>
      </c>
      <c r="AP723" s="333">
        <v>0</v>
      </c>
      <c r="AQ723" s="333">
        <v>0</v>
      </c>
      <c r="AR723" s="333">
        <v>0</v>
      </c>
      <c r="AS723" s="474"/>
      <c r="AT723" s="474"/>
      <c r="AU723" s="474"/>
      <c r="AV723" s="474"/>
      <c r="AW723" s="474"/>
      <c r="AY723"/>
      <c r="AZ723"/>
    </row>
    <row r="724" spans="3:52" s="299" customFormat="1">
      <c r="C724" s="310" t="str">
        <v>GigaEthernet (150Mbps)</v>
      </c>
      <c r="E724" s="333">
        <v>0</v>
      </c>
      <c r="F724" s="333">
        <v>0</v>
      </c>
      <c r="G724" s="333">
        <v>0</v>
      </c>
      <c r="H724" s="333">
        <v>0</v>
      </c>
      <c r="I724" s="333">
        <v>0</v>
      </c>
      <c r="J724" s="333">
        <v>0</v>
      </c>
      <c r="K724" s="474"/>
      <c r="L724" s="474"/>
      <c r="M724" s="474"/>
      <c r="N724" s="474"/>
      <c r="O724" s="474"/>
      <c r="T724" s="310" t="str">
        <v>GigaEthernet (150Mbps)</v>
      </c>
      <c r="V724" s="333">
        <v>0</v>
      </c>
      <c r="W724" s="333">
        <v>0</v>
      </c>
      <c r="X724" s="333">
        <v>0</v>
      </c>
      <c r="Y724" s="333">
        <v>0</v>
      </c>
      <c r="Z724" s="333">
        <v>0</v>
      </c>
      <c r="AA724" s="333">
        <v>0</v>
      </c>
      <c r="AB724" s="474"/>
      <c r="AC724" s="474"/>
      <c r="AD724" s="474"/>
      <c r="AE724" s="474"/>
      <c r="AF724" s="474"/>
      <c r="AH724"/>
      <c r="AI724"/>
      <c r="AK724" s="310" t="str">
        <v>GigaEthernet (150Mbps)</v>
      </c>
      <c r="AM724" s="333">
        <v>0</v>
      </c>
      <c r="AN724" s="333">
        <v>0</v>
      </c>
      <c r="AO724" s="333">
        <v>0</v>
      </c>
      <c r="AP724" s="333">
        <v>0</v>
      </c>
      <c r="AQ724" s="333">
        <v>0</v>
      </c>
      <c r="AR724" s="333">
        <v>0</v>
      </c>
      <c r="AS724" s="474"/>
      <c r="AT724" s="474"/>
      <c r="AU724" s="474"/>
      <c r="AV724" s="474"/>
      <c r="AW724" s="474"/>
      <c r="AY724"/>
      <c r="AZ724"/>
    </row>
    <row r="725" spans="3:52" s="299" customFormat="1">
      <c r="C725" s="310" t="str">
        <v>GigaEthernet (200Mbps)</v>
      </c>
      <c r="E725" s="333">
        <v>0</v>
      </c>
      <c r="F725" s="333">
        <v>0</v>
      </c>
      <c r="G725" s="333">
        <v>0</v>
      </c>
      <c r="H725" s="333">
        <v>0</v>
      </c>
      <c r="I725" s="333">
        <v>0</v>
      </c>
      <c r="J725" s="333">
        <v>0</v>
      </c>
      <c r="K725" s="474"/>
      <c r="L725" s="474"/>
      <c r="M725" s="474"/>
      <c r="N725" s="474"/>
      <c r="O725" s="474"/>
      <c r="T725" s="310" t="str">
        <v>GigaEthernet (200Mbps)</v>
      </c>
      <c r="V725" s="333">
        <v>0</v>
      </c>
      <c r="W725" s="333">
        <v>0</v>
      </c>
      <c r="X725" s="333">
        <v>0</v>
      </c>
      <c r="Y725" s="333">
        <v>0</v>
      </c>
      <c r="Z725" s="333">
        <v>0</v>
      </c>
      <c r="AA725" s="333">
        <v>0</v>
      </c>
      <c r="AB725" s="474"/>
      <c r="AC725" s="474"/>
      <c r="AD725" s="474"/>
      <c r="AE725" s="474"/>
      <c r="AF725" s="474"/>
      <c r="AH725"/>
      <c r="AI725"/>
      <c r="AK725" s="310" t="str">
        <v>GigaEthernet (200Mbps)</v>
      </c>
      <c r="AM725" s="333">
        <v>0</v>
      </c>
      <c r="AN725" s="333">
        <v>0</v>
      </c>
      <c r="AO725" s="333">
        <v>0</v>
      </c>
      <c r="AP725" s="333">
        <v>0</v>
      </c>
      <c r="AQ725" s="333">
        <v>0</v>
      </c>
      <c r="AR725" s="333">
        <v>0</v>
      </c>
      <c r="AS725" s="474"/>
      <c r="AT725" s="474"/>
      <c r="AU725" s="474"/>
      <c r="AV725" s="474"/>
      <c r="AW725" s="474"/>
      <c r="AY725"/>
      <c r="AZ725"/>
    </row>
    <row r="726" spans="3:52" s="299" customFormat="1">
      <c r="C726" s="310" t="str">
        <v>GigaEthernet (250Mbps)</v>
      </c>
      <c r="E726" s="333">
        <v>0</v>
      </c>
      <c r="F726" s="333">
        <v>0</v>
      </c>
      <c r="G726" s="333">
        <v>0</v>
      </c>
      <c r="H726" s="333">
        <v>0</v>
      </c>
      <c r="I726" s="333">
        <v>0</v>
      </c>
      <c r="J726" s="333">
        <v>0</v>
      </c>
      <c r="K726" s="474"/>
      <c r="L726" s="474"/>
      <c r="M726" s="474"/>
      <c r="N726" s="474"/>
      <c r="O726" s="474"/>
      <c r="T726" s="310" t="str">
        <v>GigaEthernet (250Mbps)</v>
      </c>
      <c r="V726" s="333">
        <v>0</v>
      </c>
      <c r="W726" s="333">
        <v>0</v>
      </c>
      <c r="X726" s="333">
        <v>0</v>
      </c>
      <c r="Y726" s="333">
        <v>0</v>
      </c>
      <c r="Z726" s="333">
        <v>0</v>
      </c>
      <c r="AA726" s="333">
        <v>0</v>
      </c>
      <c r="AB726" s="474"/>
      <c r="AC726" s="474"/>
      <c r="AD726" s="474"/>
      <c r="AE726" s="474"/>
      <c r="AF726" s="474"/>
      <c r="AH726"/>
      <c r="AI726"/>
      <c r="AK726" s="310" t="str">
        <v>GigaEthernet (250Mbps)</v>
      </c>
      <c r="AM726" s="333">
        <v>0</v>
      </c>
      <c r="AN726" s="333">
        <v>0</v>
      </c>
      <c r="AO726" s="333">
        <v>0</v>
      </c>
      <c r="AP726" s="333">
        <v>0</v>
      </c>
      <c r="AQ726" s="333">
        <v>0</v>
      </c>
      <c r="AR726" s="333">
        <v>0</v>
      </c>
      <c r="AS726" s="474"/>
      <c r="AT726" s="474"/>
      <c r="AU726" s="474"/>
      <c r="AV726" s="474"/>
      <c r="AW726" s="474"/>
      <c r="AY726"/>
      <c r="AZ726"/>
    </row>
    <row r="727" spans="3:52" s="299" customFormat="1">
      <c r="C727" s="310" t="str">
        <v>GigaEthernet (300Mbps)</v>
      </c>
      <c r="E727" s="333">
        <v>0</v>
      </c>
      <c r="F727" s="333">
        <v>0</v>
      </c>
      <c r="G727" s="333">
        <v>0</v>
      </c>
      <c r="H727" s="333">
        <v>0</v>
      </c>
      <c r="I727" s="333">
        <v>0</v>
      </c>
      <c r="J727" s="333">
        <v>0</v>
      </c>
      <c r="K727" s="474"/>
      <c r="L727" s="474"/>
      <c r="M727" s="474"/>
      <c r="N727" s="474"/>
      <c r="O727" s="474"/>
      <c r="T727" s="310" t="str">
        <v>GigaEthernet (300Mbps)</v>
      </c>
      <c r="V727" s="333">
        <v>0</v>
      </c>
      <c r="W727" s="333">
        <v>0</v>
      </c>
      <c r="X727" s="333">
        <v>0</v>
      </c>
      <c r="Y727" s="333">
        <v>0</v>
      </c>
      <c r="Z727" s="333">
        <v>0</v>
      </c>
      <c r="AA727" s="333">
        <v>0</v>
      </c>
      <c r="AB727" s="474"/>
      <c r="AC727" s="474"/>
      <c r="AD727" s="474"/>
      <c r="AE727" s="474"/>
      <c r="AF727" s="474"/>
      <c r="AH727"/>
      <c r="AI727"/>
      <c r="AK727" s="310" t="str">
        <v>GigaEthernet (300Mbps)</v>
      </c>
      <c r="AM727" s="333">
        <v>0</v>
      </c>
      <c r="AN727" s="333">
        <v>0</v>
      </c>
      <c r="AO727" s="333">
        <v>0</v>
      </c>
      <c r="AP727" s="333">
        <v>0</v>
      </c>
      <c r="AQ727" s="333">
        <v>0</v>
      </c>
      <c r="AR727" s="333">
        <v>0</v>
      </c>
      <c r="AS727" s="474"/>
      <c r="AT727" s="474"/>
      <c r="AU727" s="474"/>
      <c r="AV727" s="474"/>
      <c r="AW727" s="474"/>
      <c r="AY727"/>
      <c r="AZ727"/>
    </row>
    <row r="728" spans="3:52" s="299" customFormat="1">
      <c r="C728" s="310" t="str">
        <v>GigaEthernet (350Mbps)</v>
      </c>
      <c r="E728" s="333">
        <v>0</v>
      </c>
      <c r="F728" s="333">
        <v>0</v>
      </c>
      <c r="G728" s="333">
        <v>0</v>
      </c>
      <c r="H728" s="333">
        <v>0</v>
      </c>
      <c r="I728" s="333">
        <v>0</v>
      </c>
      <c r="J728" s="333">
        <v>0</v>
      </c>
      <c r="K728" s="474"/>
      <c r="L728" s="474"/>
      <c r="M728" s="474"/>
      <c r="N728" s="474"/>
      <c r="O728" s="474"/>
      <c r="T728" s="310" t="str">
        <v>GigaEthernet (350Mbps)</v>
      </c>
      <c r="V728" s="333">
        <v>0</v>
      </c>
      <c r="W728" s="333">
        <v>0</v>
      </c>
      <c r="X728" s="333">
        <v>0</v>
      </c>
      <c r="Y728" s="333">
        <v>0</v>
      </c>
      <c r="Z728" s="333">
        <v>0</v>
      </c>
      <c r="AA728" s="333">
        <v>0</v>
      </c>
      <c r="AB728" s="474"/>
      <c r="AC728" s="474"/>
      <c r="AD728" s="474"/>
      <c r="AE728" s="474"/>
      <c r="AF728" s="474"/>
      <c r="AH728"/>
      <c r="AI728"/>
      <c r="AK728" s="310" t="str">
        <v>GigaEthernet (350Mbps)</v>
      </c>
      <c r="AM728" s="333">
        <v>0</v>
      </c>
      <c r="AN728" s="333">
        <v>0</v>
      </c>
      <c r="AO728" s="333">
        <v>0</v>
      </c>
      <c r="AP728" s="333">
        <v>0</v>
      </c>
      <c r="AQ728" s="333">
        <v>0</v>
      </c>
      <c r="AR728" s="333">
        <v>0</v>
      </c>
      <c r="AS728" s="474"/>
      <c r="AT728" s="474"/>
      <c r="AU728" s="474"/>
      <c r="AV728" s="474"/>
      <c r="AW728" s="474"/>
      <c r="AY728"/>
      <c r="AZ728"/>
    </row>
    <row r="729" spans="3:52" s="299" customFormat="1">
      <c r="C729" s="310" t="str">
        <v>GigaEthernet (400Mbps)</v>
      </c>
      <c r="E729" s="333">
        <v>0</v>
      </c>
      <c r="F729" s="333">
        <v>0</v>
      </c>
      <c r="G729" s="333">
        <v>0</v>
      </c>
      <c r="H729" s="333">
        <v>0</v>
      </c>
      <c r="I729" s="333">
        <v>0</v>
      </c>
      <c r="J729" s="333">
        <v>0</v>
      </c>
      <c r="K729" s="474"/>
      <c r="L729" s="474"/>
      <c r="M729" s="474"/>
      <c r="N729" s="474"/>
      <c r="O729" s="474"/>
      <c r="T729" s="310" t="str">
        <v>GigaEthernet (400Mbps)</v>
      </c>
      <c r="V729" s="333">
        <v>0</v>
      </c>
      <c r="W729" s="333">
        <v>0</v>
      </c>
      <c r="X729" s="333">
        <v>0</v>
      </c>
      <c r="Y729" s="333">
        <v>0</v>
      </c>
      <c r="Z729" s="333">
        <v>0</v>
      </c>
      <c r="AA729" s="333">
        <v>0</v>
      </c>
      <c r="AB729" s="474"/>
      <c r="AC729" s="474"/>
      <c r="AD729" s="474"/>
      <c r="AE729" s="474"/>
      <c r="AF729" s="474"/>
      <c r="AH729"/>
      <c r="AI729"/>
      <c r="AK729" s="310" t="str">
        <v>GigaEthernet (400Mbps)</v>
      </c>
      <c r="AM729" s="333">
        <v>0</v>
      </c>
      <c r="AN729" s="333">
        <v>0</v>
      </c>
      <c r="AO729" s="333">
        <v>0</v>
      </c>
      <c r="AP729" s="333">
        <v>0</v>
      </c>
      <c r="AQ729" s="333">
        <v>0</v>
      </c>
      <c r="AR729" s="333">
        <v>0</v>
      </c>
      <c r="AS729" s="474"/>
      <c r="AT729" s="474"/>
      <c r="AU729" s="474"/>
      <c r="AV729" s="474"/>
      <c r="AW729" s="474"/>
      <c r="AY729"/>
      <c r="AZ729"/>
    </row>
    <row r="730" spans="3:52" s="299" customFormat="1">
      <c r="C730" s="310" t="str">
        <v>GigaEthernet (450Mbps)</v>
      </c>
      <c r="E730" s="333">
        <v>0</v>
      </c>
      <c r="F730" s="333">
        <v>0</v>
      </c>
      <c r="G730" s="333">
        <v>0</v>
      </c>
      <c r="H730" s="333">
        <v>0</v>
      </c>
      <c r="I730" s="333">
        <v>0</v>
      </c>
      <c r="J730" s="333">
        <v>0</v>
      </c>
      <c r="K730" s="474"/>
      <c r="L730" s="474"/>
      <c r="M730" s="474"/>
      <c r="N730" s="474"/>
      <c r="O730" s="474"/>
      <c r="T730" s="310" t="str">
        <v>GigaEthernet (450Mbps)</v>
      </c>
      <c r="V730" s="333">
        <v>0</v>
      </c>
      <c r="W730" s="333">
        <v>0</v>
      </c>
      <c r="X730" s="333">
        <v>0</v>
      </c>
      <c r="Y730" s="333">
        <v>0</v>
      </c>
      <c r="Z730" s="333">
        <v>0</v>
      </c>
      <c r="AA730" s="333">
        <v>0</v>
      </c>
      <c r="AB730" s="474"/>
      <c r="AC730" s="474"/>
      <c r="AD730" s="474"/>
      <c r="AE730" s="474"/>
      <c r="AF730" s="474"/>
      <c r="AH730"/>
      <c r="AI730"/>
      <c r="AK730" s="310" t="str">
        <v>GigaEthernet (450Mbps)</v>
      </c>
      <c r="AM730" s="333">
        <v>0</v>
      </c>
      <c r="AN730" s="333">
        <v>0</v>
      </c>
      <c r="AO730" s="333">
        <v>0</v>
      </c>
      <c r="AP730" s="333">
        <v>0</v>
      </c>
      <c r="AQ730" s="333">
        <v>0</v>
      </c>
      <c r="AR730" s="333">
        <v>0</v>
      </c>
      <c r="AS730" s="474"/>
      <c r="AT730" s="474"/>
      <c r="AU730" s="474"/>
      <c r="AV730" s="474"/>
      <c r="AW730" s="474"/>
      <c r="AY730"/>
      <c r="AZ730"/>
    </row>
    <row r="731" spans="3:52" s="299" customFormat="1">
      <c r="C731" s="310" t="str">
        <v>GigaEthernet (500Mbps)</v>
      </c>
      <c r="E731" s="333">
        <v>0</v>
      </c>
      <c r="F731" s="333">
        <v>0</v>
      </c>
      <c r="G731" s="333">
        <v>0</v>
      </c>
      <c r="H731" s="333">
        <v>0</v>
      </c>
      <c r="I731" s="333">
        <v>0</v>
      </c>
      <c r="J731" s="333">
        <v>0</v>
      </c>
      <c r="K731" s="474"/>
      <c r="L731" s="474"/>
      <c r="M731" s="474"/>
      <c r="N731" s="474"/>
      <c r="O731" s="474"/>
      <c r="T731" s="310" t="str">
        <v>GigaEthernet (500Mbps)</v>
      </c>
      <c r="V731" s="333">
        <v>0</v>
      </c>
      <c r="W731" s="333">
        <v>0</v>
      </c>
      <c r="X731" s="333">
        <v>0</v>
      </c>
      <c r="Y731" s="333">
        <v>0</v>
      </c>
      <c r="Z731" s="333">
        <v>0</v>
      </c>
      <c r="AA731" s="333">
        <v>0</v>
      </c>
      <c r="AB731" s="474"/>
      <c r="AC731" s="474"/>
      <c r="AD731" s="474"/>
      <c r="AE731" s="474"/>
      <c r="AF731" s="474"/>
      <c r="AH731"/>
      <c r="AI731"/>
      <c r="AK731" s="310" t="str">
        <v>GigaEthernet (500Mbps)</v>
      </c>
      <c r="AM731" s="333">
        <v>0</v>
      </c>
      <c r="AN731" s="333">
        <v>0</v>
      </c>
      <c r="AO731" s="333">
        <v>0</v>
      </c>
      <c r="AP731" s="333">
        <v>0</v>
      </c>
      <c r="AQ731" s="333">
        <v>0</v>
      </c>
      <c r="AR731" s="333">
        <v>0</v>
      </c>
      <c r="AS731" s="474"/>
      <c r="AT731" s="474"/>
      <c r="AU731" s="474"/>
      <c r="AV731" s="474"/>
      <c r="AW731" s="474"/>
      <c r="AY731"/>
      <c r="AZ731"/>
    </row>
    <row r="732" spans="3:52" s="299" customFormat="1">
      <c r="C732" s="310" t="str">
        <v>GigaEthernet (550Mbps)</v>
      </c>
      <c r="E732" s="333">
        <v>0</v>
      </c>
      <c r="F732" s="333">
        <v>0</v>
      </c>
      <c r="G732" s="333">
        <v>0</v>
      </c>
      <c r="H732" s="333">
        <v>0</v>
      </c>
      <c r="I732" s="333">
        <v>0</v>
      </c>
      <c r="J732" s="333">
        <v>0</v>
      </c>
      <c r="K732" s="474"/>
      <c r="L732" s="474"/>
      <c r="M732" s="474"/>
      <c r="N732" s="474"/>
      <c r="O732" s="474"/>
      <c r="T732" s="310" t="str">
        <v>GigaEthernet (550Mbps)</v>
      </c>
      <c r="V732" s="333">
        <v>0</v>
      </c>
      <c r="W732" s="333">
        <v>0</v>
      </c>
      <c r="X732" s="333">
        <v>0</v>
      </c>
      <c r="Y732" s="333">
        <v>0</v>
      </c>
      <c r="Z732" s="333">
        <v>0</v>
      </c>
      <c r="AA732" s="333">
        <v>0</v>
      </c>
      <c r="AB732" s="474"/>
      <c r="AC732" s="474"/>
      <c r="AD732" s="474"/>
      <c r="AE732" s="474"/>
      <c r="AF732" s="474"/>
      <c r="AH732"/>
      <c r="AI732"/>
      <c r="AK732" s="310" t="str">
        <v>GigaEthernet (550Mbps)</v>
      </c>
      <c r="AM732" s="333">
        <v>0</v>
      </c>
      <c r="AN732" s="333">
        <v>0</v>
      </c>
      <c r="AO732" s="333">
        <v>0</v>
      </c>
      <c r="AP732" s="333">
        <v>0</v>
      </c>
      <c r="AQ732" s="333">
        <v>0</v>
      </c>
      <c r="AR732" s="333">
        <v>0</v>
      </c>
      <c r="AS732" s="474"/>
      <c r="AT732" s="474"/>
      <c r="AU732" s="474"/>
      <c r="AV732" s="474"/>
      <c r="AW732" s="474"/>
      <c r="AY732"/>
      <c r="AZ732"/>
    </row>
    <row r="733" spans="3:52" s="299" customFormat="1">
      <c r="C733" s="310" t="str">
        <v>GigaEthernet (600Mbps)</v>
      </c>
      <c r="E733" s="333">
        <v>0</v>
      </c>
      <c r="F733" s="333">
        <v>0</v>
      </c>
      <c r="G733" s="333">
        <v>0</v>
      </c>
      <c r="H733" s="333">
        <v>0</v>
      </c>
      <c r="I733" s="333">
        <v>0</v>
      </c>
      <c r="J733" s="333">
        <v>0</v>
      </c>
      <c r="K733" s="474"/>
      <c r="L733" s="474"/>
      <c r="M733" s="474"/>
      <c r="N733" s="474"/>
      <c r="O733" s="474"/>
      <c r="T733" s="310" t="str">
        <v>GigaEthernet (600Mbps)</v>
      </c>
      <c r="V733" s="333">
        <v>0</v>
      </c>
      <c r="W733" s="333">
        <v>0</v>
      </c>
      <c r="X733" s="333">
        <v>0</v>
      </c>
      <c r="Y733" s="333">
        <v>0</v>
      </c>
      <c r="Z733" s="333">
        <v>0</v>
      </c>
      <c r="AA733" s="333">
        <v>0</v>
      </c>
      <c r="AB733" s="474"/>
      <c r="AC733" s="474"/>
      <c r="AD733" s="474"/>
      <c r="AE733" s="474"/>
      <c r="AF733" s="474"/>
      <c r="AH733"/>
      <c r="AI733"/>
      <c r="AK733" s="310" t="str">
        <v>GigaEthernet (600Mbps)</v>
      </c>
      <c r="AM733" s="333">
        <v>0</v>
      </c>
      <c r="AN733" s="333">
        <v>0</v>
      </c>
      <c r="AO733" s="333">
        <v>0</v>
      </c>
      <c r="AP733" s="333">
        <v>0</v>
      </c>
      <c r="AQ733" s="333">
        <v>0</v>
      </c>
      <c r="AR733" s="333">
        <v>0</v>
      </c>
      <c r="AS733" s="474"/>
      <c r="AT733" s="474"/>
      <c r="AU733" s="474"/>
      <c r="AV733" s="474"/>
      <c r="AW733" s="474"/>
      <c r="AY733"/>
      <c r="AZ733"/>
    </row>
    <row r="734" spans="3:52" s="299" customFormat="1">
      <c r="C734" s="310" t="str">
        <v>GigaEthernet (750Mbps)</v>
      </c>
      <c r="E734" s="333">
        <v>0</v>
      </c>
      <c r="F734" s="333">
        <v>0</v>
      </c>
      <c r="G734" s="333">
        <v>0</v>
      </c>
      <c r="H734" s="333">
        <v>0</v>
      </c>
      <c r="I734" s="333">
        <v>0</v>
      </c>
      <c r="J734" s="333">
        <v>0</v>
      </c>
      <c r="K734" s="474"/>
      <c r="L734" s="474"/>
      <c r="M734" s="474"/>
      <c r="N734" s="474"/>
      <c r="O734" s="474"/>
      <c r="T734" s="310" t="str">
        <v>GigaEthernet (750Mbps)</v>
      </c>
      <c r="V734" s="333">
        <v>0</v>
      </c>
      <c r="W734" s="333">
        <v>0</v>
      </c>
      <c r="X734" s="333">
        <v>0</v>
      </c>
      <c r="Y734" s="333">
        <v>0</v>
      </c>
      <c r="Z734" s="333">
        <v>0</v>
      </c>
      <c r="AA734" s="333">
        <v>0</v>
      </c>
      <c r="AB734" s="474"/>
      <c r="AC734" s="474"/>
      <c r="AD734" s="474"/>
      <c r="AE734" s="474"/>
      <c r="AF734" s="474"/>
      <c r="AH734"/>
      <c r="AI734"/>
      <c r="AK734" s="310" t="str">
        <v>GigaEthernet (750Mbps)</v>
      </c>
      <c r="AM734" s="333">
        <v>0</v>
      </c>
      <c r="AN734" s="333">
        <v>0</v>
      </c>
      <c r="AO734" s="333">
        <v>0</v>
      </c>
      <c r="AP734" s="333">
        <v>0</v>
      </c>
      <c r="AQ734" s="333">
        <v>0</v>
      </c>
      <c r="AR734" s="333">
        <v>0</v>
      </c>
      <c r="AS734" s="474"/>
      <c r="AT734" s="474"/>
      <c r="AU734" s="474"/>
      <c r="AV734" s="474"/>
      <c r="AW734" s="474"/>
      <c r="AY734"/>
      <c r="AZ734"/>
    </row>
    <row r="735" spans="3:52" s="299" customFormat="1">
      <c r="C735" s="310" t="str">
        <v>GigaEthernet (1 Gbps)</v>
      </c>
      <c r="E735" s="333">
        <v>0</v>
      </c>
      <c r="F735" s="333">
        <v>0</v>
      </c>
      <c r="G735" s="333">
        <v>0</v>
      </c>
      <c r="H735" s="333">
        <v>0</v>
      </c>
      <c r="I735" s="333">
        <v>0</v>
      </c>
      <c r="J735" s="333">
        <v>0</v>
      </c>
      <c r="K735" s="474"/>
      <c r="L735" s="474"/>
      <c r="M735" s="474"/>
      <c r="N735" s="474"/>
      <c r="O735" s="474"/>
      <c r="T735" s="310" t="str">
        <v>GigaEthernet (1 Gbps)</v>
      </c>
      <c r="V735" s="333">
        <v>0</v>
      </c>
      <c r="W735" s="333">
        <v>0</v>
      </c>
      <c r="X735" s="333">
        <v>0</v>
      </c>
      <c r="Y735" s="333">
        <v>0</v>
      </c>
      <c r="Z735" s="333">
        <v>0</v>
      </c>
      <c r="AA735" s="333">
        <v>0</v>
      </c>
      <c r="AB735" s="474"/>
      <c r="AC735" s="474"/>
      <c r="AD735" s="474"/>
      <c r="AE735" s="474"/>
      <c r="AF735" s="474"/>
      <c r="AH735"/>
      <c r="AI735"/>
      <c r="AK735" s="310" t="str">
        <v>GigaEthernet (1 Gbps)</v>
      </c>
      <c r="AM735" s="333">
        <v>0</v>
      </c>
      <c r="AN735" s="333">
        <v>0</v>
      </c>
      <c r="AO735" s="333">
        <v>0</v>
      </c>
      <c r="AP735" s="333">
        <v>0</v>
      </c>
      <c r="AQ735" s="333">
        <v>0</v>
      </c>
      <c r="AR735" s="333">
        <v>0</v>
      </c>
      <c r="AS735" s="474"/>
      <c r="AT735" s="474"/>
      <c r="AU735" s="474"/>
      <c r="AV735" s="474"/>
      <c r="AW735" s="474"/>
      <c r="AY735"/>
      <c r="AZ735"/>
    </row>
    <row r="736" spans="3:52" s="299" customFormat="1">
      <c r="AH736"/>
      <c r="AI736"/>
      <c r="AY736"/>
      <c r="AZ736"/>
    </row>
    <row r="737" spans="34:52" s="299" customFormat="1">
      <c r="AH737"/>
      <c r="AI737"/>
      <c r="AY737"/>
      <c r="AZ737"/>
    </row>
    <row r="738" spans="34:52" s="299" customFormat="1">
      <c r="AH738"/>
      <c r="AI738"/>
      <c r="AY738"/>
      <c r="AZ738"/>
    </row>
  </sheetData>
  <dataValidations count="1">
    <dataValidation type="list" allowBlank="1" showInputMessage="1" showErrorMessage="1" sqref="G4">
      <formula1>Years</formula1>
    </dataValidation>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L120"/>
  <sheetViews>
    <sheetView showGridLines="0" defaultGridColor="0" colorId="22" zoomScaleNormal="100" workbookViewId="0">
      <pane xSplit="4" ySplit="8" topLeftCell="E95" activePane="bottomRight" state="frozen"/>
      <selection pane="topRight" activeCell="E1" sqref="E1"/>
      <selection pane="bottomLeft" activeCell="A6" sqref="A6"/>
      <selection pane="bottomRight" activeCell="J105" sqref="J105"/>
    </sheetView>
  </sheetViews>
  <sheetFormatPr baseColWidth="10" defaultColWidth="12.7109375" defaultRowHeight="12"/>
  <cols>
    <col min="1" max="1" width="6.7109375" customWidth="1"/>
    <col min="3" max="3" width="62" customWidth="1"/>
    <col min="7" max="7" width="17.28515625" style="95" customWidth="1"/>
    <col min="8" max="8" width="12.7109375" style="95"/>
    <col min="11" max="11" width="28.28515625" style="95" bestFit="1" customWidth="1"/>
    <col min="12" max="12" width="12.7109375" style="95"/>
  </cols>
  <sheetData>
    <row r="1" spans="1:12" s="73" customFormat="1" ht="33.75" customHeight="1">
      <c r="D1" s="149" t="s">
        <v>197</v>
      </c>
      <c r="G1" s="96"/>
      <c r="H1" s="96"/>
      <c r="K1" s="96"/>
      <c r="L1" s="96"/>
    </row>
    <row r="2" spans="1:12" ht="27.75">
      <c r="D2" s="79" t="s">
        <v>34</v>
      </c>
    </row>
    <row r="3" spans="1:12" s="148" customFormat="1"/>
    <row r="4" spans="1:12" s="148" customFormat="1" ht="20.25" thickBot="1">
      <c r="A4" s="151" t="s">
        <v>198</v>
      </c>
      <c r="B4" s="151"/>
      <c r="C4" s="151"/>
    </row>
    <row r="5" spans="1:12" ht="21" thickTop="1" thickBot="1">
      <c r="A5" s="77" t="s">
        <v>45</v>
      </c>
      <c r="B5" s="77"/>
      <c r="C5" s="77"/>
      <c r="D5" s="77"/>
      <c r="E5" s="77"/>
      <c r="F5" s="77"/>
      <c r="G5" s="77"/>
      <c r="H5" s="77"/>
      <c r="I5" s="77"/>
      <c r="J5" s="77"/>
      <c r="K5" s="77"/>
      <c r="L5" s="77"/>
    </row>
    <row r="6" spans="1:12" ht="12.75" thickTop="1"/>
    <row r="7" spans="1:12" s="150" customFormat="1" ht="24">
      <c r="A7" s="152"/>
      <c r="B7" s="152"/>
      <c r="C7" s="152"/>
      <c r="D7" s="152"/>
      <c r="E7" s="153" t="s">
        <v>199</v>
      </c>
      <c r="F7" s="153" t="s">
        <v>202</v>
      </c>
      <c r="G7" s="153" t="s">
        <v>200</v>
      </c>
      <c r="H7" s="152"/>
      <c r="I7" s="153" t="s">
        <v>183</v>
      </c>
      <c r="J7" s="155" t="s">
        <v>202</v>
      </c>
      <c r="K7" s="153" t="s">
        <v>200</v>
      </c>
      <c r="L7" s="152"/>
    </row>
    <row r="8" spans="1:12" s="95" customFormat="1">
      <c r="E8" s="1" t="s">
        <v>68</v>
      </c>
      <c r="F8" s="112" t="s">
        <v>158</v>
      </c>
      <c r="G8" s="112" t="s">
        <v>157</v>
      </c>
      <c r="I8" s="1" t="s">
        <v>23</v>
      </c>
      <c r="J8" s="112" t="s">
        <v>158</v>
      </c>
      <c r="K8" s="112" t="s">
        <v>157</v>
      </c>
    </row>
    <row r="9" spans="1:12" s="152" customFormat="1">
      <c r="B9" s="157" t="s">
        <v>201</v>
      </c>
      <c r="D9"/>
      <c r="E9"/>
      <c r="F9"/>
      <c r="G9"/>
      <c r="H9"/>
      <c r="I9"/>
      <c r="J9"/>
      <c r="K9"/>
      <c r="L9"/>
    </row>
    <row r="10" spans="1:12">
      <c r="B10" s="131" t="s">
        <v>46</v>
      </c>
    </row>
    <row r="12" spans="1:12" s="154" customFormat="1">
      <c r="C12" s="158" t="s">
        <v>203</v>
      </c>
    </row>
    <row r="13" spans="1:12">
      <c r="C13" s="119" t="s">
        <v>47</v>
      </c>
    </row>
    <row r="14" spans="1:12" s="154" customFormat="1">
      <c r="C14" s="159" t="s">
        <v>204</v>
      </c>
    </row>
    <row r="15" spans="1:12">
      <c r="C15" s="121" t="s">
        <v>50</v>
      </c>
    </row>
    <row r="16" spans="1:12" s="154" customFormat="1">
      <c r="C16" s="160" t="s">
        <v>205</v>
      </c>
    </row>
    <row r="17" spans="3:12">
      <c r="C17" s="121" t="s">
        <v>51</v>
      </c>
    </row>
    <row r="18" spans="3:12" s="154" customFormat="1">
      <c r="C18" s="161" t="s">
        <v>206</v>
      </c>
    </row>
    <row r="19" spans="3:12">
      <c r="C19" s="133" t="s">
        <v>49</v>
      </c>
    </row>
    <row r="20" spans="3:12" s="154" customFormat="1">
      <c r="C20" s="162" t="s">
        <v>207</v>
      </c>
    </row>
    <row r="21" spans="3:12">
      <c r="C21" s="133" t="s">
        <v>48</v>
      </c>
    </row>
    <row r="23" spans="3:12" s="154" customFormat="1">
      <c r="C23" s="163" t="s">
        <v>208</v>
      </c>
    </row>
    <row r="24" spans="3:12">
      <c r="C24" s="119" t="s">
        <v>52</v>
      </c>
    </row>
    <row r="25" spans="3:12" s="154" customFormat="1">
      <c r="C25" s="164" t="s">
        <v>209</v>
      </c>
    </row>
    <row r="26" spans="3:12">
      <c r="C26" s="121" t="s">
        <v>53</v>
      </c>
      <c r="K26" s="299"/>
    </row>
    <row r="27" spans="3:12" s="154" customFormat="1">
      <c r="C27" s="165" t="s">
        <v>210</v>
      </c>
      <c r="K27" s="299"/>
    </row>
    <row r="28" spans="3:12">
      <c r="C28" s="121" t="s">
        <v>54</v>
      </c>
      <c r="I28" s="115">
        <v>0.05</v>
      </c>
      <c r="J28" s="41" t="s">
        <v>120</v>
      </c>
      <c r="K28" s="299"/>
      <c r="L28" s="41"/>
    </row>
    <row r="30" spans="3:12" s="154" customFormat="1">
      <c r="C30" s="166" t="s">
        <v>211</v>
      </c>
      <c r="G30" s="299"/>
    </row>
    <row r="31" spans="3:12">
      <c r="C31" s="119" t="s">
        <v>55</v>
      </c>
      <c r="E31" s="41"/>
      <c r="G31" s="299"/>
      <c r="H31" s="41"/>
    </row>
    <row r="32" spans="3:12">
      <c r="G32" s="299"/>
    </row>
    <row r="33" spans="2:8" s="154" customFormat="1">
      <c r="C33" s="167" t="s">
        <v>212</v>
      </c>
      <c r="G33" s="299"/>
    </row>
    <row r="34" spans="2:8">
      <c r="C34" s="119" t="s">
        <v>56</v>
      </c>
      <c r="G34" s="299"/>
    </row>
    <row r="35" spans="2:8" s="154" customFormat="1">
      <c r="C35" s="168" t="s">
        <v>213</v>
      </c>
      <c r="G35" s="299"/>
    </row>
    <row r="36" spans="2:8">
      <c r="C36" s="121" t="s">
        <v>57</v>
      </c>
      <c r="E36" s="41"/>
      <c r="G36" s="299"/>
      <c r="H36" s="41"/>
    </row>
    <row r="37" spans="2:8" s="154" customFormat="1">
      <c r="C37" s="169" t="s">
        <v>214</v>
      </c>
      <c r="E37" s="156"/>
      <c r="G37" s="299"/>
      <c r="H37" s="156"/>
    </row>
    <row r="38" spans="2:8">
      <c r="C38" s="121" t="s">
        <v>58</v>
      </c>
      <c r="E38" s="41"/>
      <c r="G38" s="299"/>
      <c r="H38" s="41"/>
    </row>
    <row r="39" spans="2:8">
      <c r="G39" s="299"/>
    </row>
    <row r="40" spans="2:8">
      <c r="C40" t="s">
        <v>429</v>
      </c>
      <c r="G40" s="299"/>
    </row>
    <row r="41" spans="2:8" s="299" customFormat="1">
      <c r="C41" s="299" t="s">
        <v>428</v>
      </c>
    </row>
    <row r="42" spans="2:8" s="299" customFormat="1"/>
    <row r="43" spans="2:8" s="299" customFormat="1"/>
    <row r="44" spans="2:8" s="170" customFormat="1">
      <c r="B44" s="171" t="s">
        <v>215</v>
      </c>
      <c r="G44" s="299"/>
    </row>
    <row r="45" spans="2:8">
      <c r="B45" s="131" t="s">
        <v>59</v>
      </c>
      <c r="E45" s="115">
        <v>0.01</v>
      </c>
      <c r="F45" s="41" t="s">
        <v>76</v>
      </c>
      <c r="G45" s="299"/>
      <c r="H45" s="41"/>
    </row>
    <row r="46" spans="2:8">
      <c r="G46" s="299"/>
    </row>
    <row r="47" spans="2:8">
      <c r="G47" s="299"/>
    </row>
    <row r="48" spans="2:8" s="172" customFormat="1">
      <c r="B48" s="175" t="s">
        <v>216</v>
      </c>
      <c r="G48" s="299"/>
    </row>
    <row r="49" spans="2:12">
      <c r="B49" s="131" t="s">
        <v>60</v>
      </c>
      <c r="E49" s="343">
        <v>5.0000000000000001E-3</v>
      </c>
      <c r="F49" s="41" t="s">
        <v>77</v>
      </c>
      <c r="G49" s="299"/>
      <c r="H49"/>
    </row>
    <row r="50" spans="2:12">
      <c r="B50" s="94"/>
      <c r="G50" s="299"/>
    </row>
    <row r="51" spans="2:12">
      <c r="G51" s="299"/>
    </row>
    <row r="52" spans="2:12" s="173" customFormat="1">
      <c r="B52" s="176" t="s">
        <v>217</v>
      </c>
      <c r="G52" s="299"/>
    </row>
    <row r="53" spans="2:12">
      <c r="B53" s="131" t="s">
        <v>89</v>
      </c>
      <c r="G53" s="299"/>
    </row>
    <row r="54" spans="2:12" s="173" customFormat="1">
      <c r="B54" s="175"/>
      <c r="C54" s="177" t="s">
        <v>218</v>
      </c>
      <c r="F54" s="178" t="s">
        <v>219</v>
      </c>
      <c r="G54" s="299"/>
    </row>
    <row r="55" spans="2:12">
      <c r="C55" s="119" t="s">
        <v>160</v>
      </c>
      <c r="E55" s="102">
        <v>0.21299999999999999</v>
      </c>
      <c r="F55" s="119" t="s">
        <v>159</v>
      </c>
      <c r="G55" s="299"/>
    </row>
    <row r="56" spans="2:12" s="173" customFormat="1">
      <c r="C56" s="177" t="s">
        <v>218</v>
      </c>
      <c r="E56"/>
      <c r="F56" s="179" t="s">
        <v>219</v>
      </c>
      <c r="G56" s="299"/>
    </row>
    <row r="57" spans="2:12" s="95" customFormat="1">
      <c r="C57" s="95" t="s">
        <v>160</v>
      </c>
      <c r="E57" s="102">
        <v>0.45600000000000002</v>
      </c>
      <c r="F57" s="119" t="s">
        <v>159</v>
      </c>
      <c r="G57" s="299"/>
    </row>
    <row r="58" spans="2:12">
      <c r="G58" s="299"/>
      <c r="H58"/>
      <c r="K58"/>
      <c r="L58"/>
    </row>
    <row r="59" spans="2:12" s="95" customFormat="1">
      <c r="E59"/>
      <c r="F59"/>
      <c r="G59" s="299"/>
    </row>
    <row r="60" spans="2:12" s="95" customFormat="1">
      <c r="E60"/>
      <c r="F60"/>
    </row>
    <row r="61" spans="2:12" s="173" customFormat="1">
      <c r="C61" s="180" t="s">
        <v>220</v>
      </c>
      <c r="K61" s="299"/>
    </row>
    <row r="62" spans="2:12">
      <c r="C62" s="118" t="s">
        <v>62</v>
      </c>
      <c r="I62" s="8">
        <v>2000</v>
      </c>
      <c r="J62" s="41" t="s">
        <v>125</v>
      </c>
      <c r="K62" s="299"/>
    </row>
    <row r="63" spans="2:12" s="173" customFormat="1">
      <c r="C63" s="181" t="s">
        <v>221</v>
      </c>
      <c r="I63"/>
      <c r="J63" s="174"/>
      <c r="K63" s="299"/>
    </row>
    <row r="64" spans="2:12">
      <c r="C64" s="118" t="s">
        <v>78</v>
      </c>
      <c r="I64" s="115">
        <v>0.01</v>
      </c>
      <c r="J64" s="41" t="s">
        <v>126</v>
      </c>
      <c r="K64" s="299"/>
    </row>
    <row r="67" spans="1:11" s="182" customFormat="1">
      <c r="B67" s="194" t="s">
        <v>224</v>
      </c>
    </row>
    <row r="68" spans="1:11">
      <c r="B68" s="131" t="s">
        <v>63</v>
      </c>
    </row>
    <row r="69" spans="1:11" s="182" customFormat="1">
      <c r="B69" s="185"/>
      <c r="C69" s="182" t="s">
        <v>218</v>
      </c>
      <c r="F69" s="186" t="s">
        <v>219</v>
      </c>
      <c r="G69" s="132"/>
    </row>
    <row r="70" spans="1:11" s="95" customFormat="1">
      <c r="C70" s="119" t="s">
        <v>160</v>
      </c>
      <c r="E70" s="102">
        <v>0.65600000000000003</v>
      </c>
      <c r="F70" s="119" t="s">
        <v>159</v>
      </c>
      <c r="G70" s="41"/>
    </row>
    <row r="71" spans="1:11" s="95" customFormat="1">
      <c r="E71"/>
      <c r="F71"/>
      <c r="G71" s="41"/>
    </row>
    <row r="72" spans="1:11" s="182" customFormat="1">
      <c r="C72" s="187" t="s">
        <v>222</v>
      </c>
      <c r="G72" s="184"/>
      <c r="K72" s="132"/>
    </row>
    <row r="73" spans="1:11">
      <c r="C73" s="119" t="s">
        <v>79</v>
      </c>
      <c r="I73" s="8">
        <v>225</v>
      </c>
      <c r="J73" s="41" t="s">
        <v>150</v>
      </c>
      <c r="K73" s="41"/>
    </row>
    <row r="74" spans="1:11" s="182" customFormat="1">
      <c r="C74" s="188" t="s">
        <v>223</v>
      </c>
      <c r="G74" s="132"/>
      <c r="H74" s="189"/>
      <c r="I74" s="183"/>
      <c r="J74" s="184"/>
      <c r="K74" s="184"/>
    </row>
    <row r="75" spans="1:11" s="95" customFormat="1">
      <c r="C75" s="119" t="s">
        <v>161</v>
      </c>
      <c r="E75" s="10">
        <v>12000</v>
      </c>
      <c r="F75" s="41" t="s">
        <v>85</v>
      </c>
      <c r="G75" s="41"/>
      <c r="H75" s="91"/>
      <c r="I75"/>
      <c r="J75"/>
      <c r="K75" s="41"/>
    </row>
    <row r="76" spans="1:11" s="95" customFormat="1"/>
    <row r="77" spans="1:11" s="95" customFormat="1"/>
    <row r="78" spans="1:11" s="182" customFormat="1">
      <c r="A78"/>
      <c r="B78" s="195" t="s">
        <v>269</v>
      </c>
    </row>
    <row r="79" spans="1:11">
      <c r="B79" s="131" t="s">
        <v>64</v>
      </c>
    </row>
    <row r="81" spans="3:12" s="190" customFormat="1">
      <c r="C81" s="196" t="s">
        <v>273</v>
      </c>
    </row>
    <row r="82" spans="3:12">
      <c r="C82" s="118" t="s">
        <v>65</v>
      </c>
    </row>
    <row r="83" spans="3:12" s="190" customFormat="1">
      <c r="C83" s="197" t="s">
        <v>225</v>
      </c>
      <c r="G83" s="132"/>
    </row>
    <row r="84" spans="3:12">
      <c r="C84" s="122" t="s">
        <v>66</v>
      </c>
      <c r="E84" s="8">
        <v>10</v>
      </c>
      <c r="F84" s="41" t="s">
        <v>95</v>
      </c>
      <c r="G84" s="41"/>
      <c r="J84" s="212" t="s">
        <v>238</v>
      </c>
      <c r="K84" s="212" t="s">
        <v>239</v>
      </c>
      <c r="L84"/>
    </row>
    <row r="85" spans="3:12" s="190" customFormat="1" ht="24">
      <c r="C85" s="198" t="s">
        <v>226</v>
      </c>
      <c r="E85"/>
      <c r="F85" s="191"/>
      <c r="G85" s="191"/>
      <c r="J85" s="120" t="s">
        <v>240</v>
      </c>
      <c r="K85" s="120" t="s">
        <v>241</v>
      </c>
    </row>
    <row r="86" spans="3:12" s="95" customFormat="1">
      <c r="C86" s="122" t="s">
        <v>162</v>
      </c>
      <c r="E86" s="10">
        <v>21</v>
      </c>
      <c r="F86" s="41"/>
      <c r="G86" s="91"/>
      <c r="J86" s="123" t="s">
        <v>98</v>
      </c>
      <c r="K86" s="123" t="s">
        <v>99</v>
      </c>
      <c r="L86"/>
    </row>
    <row r="87" spans="3:12" s="190" customFormat="1">
      <c r="C87" s="199" t="s">
        <v>227</v>
      </c>
      <c r="E87"/>
      <c r="F87" s="191"/>
      <c r="G87" s="192"/>
      <c r="J87" s="1" t="s">
        <v>100</v>
      </c>
      <c r="K87" s="1" t="s">
        <v>101</v>
      </c>
      <c r="L87" s="95"/>
    </row>
    <row r="88" spans="3:12">
      <c r="C88" s="122" t="s">
        <v>163</v>
      </c>
      <c r="E88" s="9">
        <f>E86*AVERAGE(J88:K88)</f>
        <v>276.491985</v>
      </c>
      <c r="F88" s="41" t="s">
        <v>96</v>
      </c>
      <c r="G88"/>
      <c r="J88" s="111">
        <v>13.16155</v>
      </c>
      <c r="K88" s="111">
        <v>13.17102</v>
      </c>
      <c r="L88"/>
    </row>
    <row r="90" spans="3:12" s="190" customFormat="1">
      <c r="C90" s="200" t="s">
        <v>228</v>
      </c>
      <c r="G90" s="132"/>
    </row>
    <row r="91" spans="3:12" s="95" customFormat="1">
      <c r="C91" s="119" t="s">
        <v>90</v>
      </c>
      <c r="E91" s="116">
        <v>0.1</v>
      </c>
      <c r="F91" s="41" t="s">
        <v>92</v>
      </c>
      <c r="G91" s="41"/>
    </row>
    <row r="92" spans="3:12" s="95" customFormat="1"/>
    <row r="93" spans="3:12" s="190" customFormat="1">
      <c r="C93" s="201" t="s">
        <v>229</v>
      </c>
      <c r="G93" s="132"/>
    </row>
    <row r="94" spans="3:12">
      <c r="C94" s="119" t="s">
        <v>88</v>
      </c>
      <c r="E94" s="115">
        <v>0.02</v>
      </c>
      <c r="F94" s="41" t="s">
        <v>97</v>
      </c>
      <c r="G94" s="41"/>
    </row>
    <row r="95" spans="3:12">
      <c r="E95" s="41"/>
    </row>
    <row r="97" spans="2:3" s="190" customFormat="1">
      <c r="B97" s="202" t="s">
        <v>230</v>
      </c>
    </row>
    <row r="98" spans="2:3">
      <c r="B98" s="131" t="s">
        <v>102</v>
      </c>
      <c r="C98" s="211"/>
    </row>
    <row r="100" spans="2:3" s="190" customFormat="1">
      <c r="C100" s="203" t="s">
        <v>231</v>
      </c>
    </row>
    <row r="101" spans="2:3">
      <c r="C101" s="119" t="s">
        <v>104</v>
      </c>
    </row>
    <row r="102" spans="2:3" s="190" customFormat="1">
      <c r="C102" s="204" t="s">
        <v>232</v>
      </c>
    </row>
    <row r="103" spans="2:3">
      <c r="C103" s="119" t="s">
        <v>103</v>
      </c>
    </row>
    <row r="104" spans="2:3" s="190" customFormat="1">
      <c r="C104" s="205" t="s">
        <v>233</v>
      </c>
    </row>
    <row r="105" spans="2:3">
      <c r="C105" s="119" t="s">
        <v>164</v>
      </c>
    </row>
    <row r="106" spans="2:3" s="95" customFormat="1"/>
    <row r="107" spans="2:3" s="206" customFormat="1"/>
    <row r="108" spans="2:3" s="190" customFormat="1">
      <c r="B108" s="207" t="s">
        <v>234</v>
      </c>
    </row>
    <row r="109" spans="2:3">
      <c r="B109" s="131" t="s">
        <v>105</v>
      </c>
    </row>
    <row r="111" spans="2:3" s="190" customFormat="1">
      <c r="C111" s="208" t="s">
        <v>235</v>
      </c>
    </row>
    <row r="112" spans="2:3" s="95" customFormat="1">
      <c r="C112" s="119" t="s">
        <v>106</v>
      </c>
    </row>
    <row r="113" spans="2:12" s="190" customFormat="1">
      <c r="C113" s="209" t="s">
        <v>236</v>
      </c>
      <c r="J113" s="132"/>
    </row>
    <row r="114" spans="2:12" s="95" customFormat="1">
      <c r="C114" s="121" t="s">
        <v>107</v>
      </c>
      <c r="F114" s="101"/>
      <c r="G114" s="101"/>
      <c r="H114" s="101"/>
      <c r="I114" s="8">
        <v>50</v>
      </c>
      <c r="J114" s="41" t="s">
        <v>109</v>
      </c>
      <c r="K114" s="41"/>
      <c r="L114" s="41"/>
    </row>
    <row r="115" spans="2:12" s="190" customFormat="1">
      <c r="C115" s="210" t="s">
        <v>237</v>
      </c>
      <c r="F115" s="193"/>
      <c r="G115" s="193"/>
      <c r="H115" s="193"/>
      <c r="I115"/>
      <c r="J115" s="132"/>
      <c r="K115" s="191"/>
      <c r="L115" s="191"/>
    </row>
    <row r="116" spans="2:12" s="95" customFormat="1">
      <c r="C116" s="121" t="s">
        <v>108</v>
      </c>
      <c r="F116" s="101"/>
      <c r="G116" s="101"/>
      <c r="H116" s="101"/>
      <c r="I116" s="116">
        <v>0.5</v>
      </c>
      <c r="J116" s="41" t="s">
        <v>110</v>
      </c>
      <c r="K116" s="41"/>
      <c r="L116" s="41"/>
    </row>
    <row r="117" spans="2:12">
      <c r="G117"/>
      <c r="H117"/>
      <c r="K117"/>
      <c r="L117"/>
    </row>
    <row r="118" spans="2:12">
      <c r="G118"/>
      <c r="H118"/>
      <c r="K118"/>
      <c r="L118"/>
    </row>
    <row r="119" spans="2:12">
      <c r="B119" s="311" t="s">
        <v>424</v>
      </c>
    </row>
    <row r="120" spans="2:12">
      <c r="B120" s="131" t="s">
        <v>423</v>
      </c>
      <c r="E120" s="323">
        <v>0.1</v>
      </c>
      <c r="F120" s="307" t="s">
        <v>425</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E709"/>
  <sheetViews>
    <sheetView showGridLines="0" defaultGridColor="0" topLeftCell="P1" colorId="22" zoomScaleNormal="100" workbookViewId="0">
      <pane ySplit="2" topLeftCell="A217" activePane="bottomLeft" state="frozen"/>
      <selection pane="bottomLeft" activeCell="AF238" sqref="AF238"/>
    </sheetView>
  </sheetViews>
  <sheetFormatPr baseColWidth="10" defaultColWidth="12.7109375" defaultRowHeight="12"/>
  <cols>
    <col min="1" max="1" width="6.7109375" style="95" customWidth="1"/>
    <col min="2" max="2" width="12.7109375" style="95"/>
    <col min="3" max="3" width="18" style="95" customWidth="1"/>
    <col min="4" max="4" width="32.7109375" style="95" customWidth="1"/>
    <col min="5" max="5" width="15" style="95" bestFit="1" customWidth="1"/>
    <col min="6" max="6" width="12.7109375" style="95"/>
    <col min="7" max="7" width="14.140625" style="95" customWidth="1"/>
    <col min="8" max="10" width="14" style="95" customWidth="1"/>
    <col min="11" max="11" width="12.7109375" style="95" customWidth="1"/>
    <col min="12" max="14" width="12.85546875" style="95" customWidth="1"/>
    <col min="15" max="15" width="14" style="95" bestFit="1" customWidth="1"/>
    <col min="16" max="16" width="12.7109375" style="95"/>
    <col min="17" max="17" width="14" style="95" bestFit="1" customWidth="1"/>
    <col min="18" max="20" width="12.7109375" style="95"/>
    <col min="21" max="28" width="12.7109375" style="95" customWidth="1"/>
    <col min="29" max="31" width="12.7109375" style="299" customWidth="1"/>
    <col min="32" max="16384" width="12.7109375" style="95"/>
  </cols>
  <sheetData>
    <row r="1" spans="2:31" s="96" customFormat="1" ht="33.75" customHeight="1">
      <c r="E1" s="216" t="s">
        <v>242</v>
      </c>
      <c r="M1" s="96" t="s">
        <v>20</v>
      </c>
      <c r="AC1" s="138"/>
      <c r="AD1" s="138"/>
      <c r="AE1" s="138"/>
    </row>
    <row r="2" spans="2:31" ht="27.75">
      <c r="C2" s="106"/>
      <c r="D2" s="106"/>
      <c r="E2" s="214" t="s">
        <v>165</v>
      </c>
    </row>
    <row r="3" spans="2:31" customFormat="1">
      <c r="AC3" s="299"/>
      <c r="AD3" s="299"/>
      <c r="AE3" s="299"/>
    </row>
    <row r="4" spans="2:31" s="299" customFormat="1" ht="17.25" thickBot="1">
      <c r="B4" s="308" t="str">
        <f>IF(Retail.leased.lines.selected=Retail.leased.lines.calculados.option,"Enlaces dedicados totales","Enlaces dedicados minoristas")</f>
        <v>Enlaces dedicados totales</v>
      </c>
      <c r="C4" s="308"/>
      <c r="D4" s="308"/>
    </row>
    <row r="5" spans="2:31" s="299" customFormat="1" ht="18" thickTop="1" thickBot="1">
      <c r="B5" s="308" t="str">
        <f>IF(Retail.leased.lines.selected=Retail.leased.lines.calculados.option,"Total leased lines","Retail leased lines")</f>
        <v>Total leased lines</v>
      </c>
      <c r="C5" s="308"/>
      <c r="D5" s="308"/>
      <c r="E5" s="308"/>
      <c r="F5" s="308"/>
      <c r="G5" s="308"/>
      <c r="H5" s="308"/>
      <c r="I5" s="308"/>
      <c r="J5" s="308"/>
      <c r="K5" s="308"/>
      <c r="L5" s="308"/>
      <c r="M5" s="308"/>
      <c r="N5" s="308"/>
      <c r="O5" s="308"/>
    </row>
    <row r="6" spans="2:31" s="299" customFormat="1" ht="12.75" thickTop="1">
      <c r="C6" s="316"/>
      <c r="D6" s="316"/>
    </row>
    <row r="7" spans="2:31" s="213" customFormat="1">
      <c r="B7" s="217" t="s">
        <v>243</v>
      </c>
      <c r="C7" s="215"/>
      <c r="D7" s="215"/>
      <c r="AC7" s="299"/>
      <c r="AD7" s="299"/>
      <c r="AE7" s="299"/>
    </row>
    <row r="8" spans="2:31">
      <c r="B8" s="131" t="s">
        <v>21</v>
      </c>
      <c r="C8" s="106"/>
      <c r="D8" s="106"/>
      <c r="E8"/>
      <c r="F8"/>
      <c r="G8"/>
      <c r="H8"/>
      <c r="I8"/>
      <c r="J8"/>
      <c r="K8"/>
      <c r="L8"/>
      <c r="M8"/>
      <c r="N8"/>
      <c r="O8"/>
    </row>
    <row r="9" spans="2:31" s="227" customFormat="1" ht="24">
      <c r="B9" s="131"/>
      <c r="C9" s="218" t="s">
        <v>182</v>
      </c>
      <c r="D9" s="230"/>
      <c r="E9" s="228" t="s">
        <v>40</v>
      </c>
      <c r="F9" s="228" t="s">
        <v>194</v>
      </c>
      <c r="G9" s="227" t="s">
        <v>119</v>
      </c>
      <c r="H9" s="227" t="s">
        <v>119</v>
      </c>
      <c r="I9" s="227" t="s">
        <v>119</v>
      </c>
      <c r="J9" s="227" t="s">
        <v>119</v>
      </c>
      <c r="K9" s="228" t="s">
        <v>195</v>
      </c>
      <c r="L9" s="227" t="s">
        <v>119</v>
      </c>
      <c r="M9" s="227" t="s">
        <v>119</v>
      </c>
      <c r="N9" s="227" t="s">
        <v>119</v>
      </c>
      <c r="O9" s="227" t="s">
        <v>119</v>
      </c>
      <c r="P9" s="338" t="s">
        <v>548</v>
      </c>
      <c r="AC9" s="299"/>
      <c r="AD9" s="299"/>
      <c r="AE9" s="299"/>
    </row>
    <row r="10" spans="2:31" s="227" customFormat="1" ht="24">
      <c r="B10" s="131"/>
      <c r="C10" s="147" t="s">
        <v>70</v>
      </c>
      <c r="D10" s="230"/>
      <c r="E10" s="227" t="s">
        <v>119</v>
      </c>
      <c r="F10" s="227" t="s">
        <v>119</v>
      </c>
      <c r="G10" s="228" t="s">
        <v>312</v>
      </c>
      <c r="H10" s="228" t="s">
        <v>313</v>
      </c>
      <c r="I10" s="228" t="s">
        <v>311</v>
      </c>
      <c r="J10" s="228" t="s">
        <v>310</v>
      </c>
      <c r="K10" s="227" t="s">
        <v>119</v>
      </c>
      <c r="L10" s="228" t="s">
        <v>312</v>
      </c>
      <c r="M10" s="228" t="s">
        <v>314</v>
      </c>
      <c r="N10" s="228" t="s">
        <v>311</v>
      </c>
      <c r="O10" s="228" t="s">
        <v>310</v>
      </c>
      <c r="P10" s="299" t="s">
        <v>119</v>
      </c>
      <c r="AC10" s="299"/>
      <c r="AD10" s="299"/>
      <c r="AE10" s="299"/>
    </row>
    <row r="11" spans="2:31" ht="24">
      <c r="D11" s="106"/>
      <c r="E11" s="1" t="s">
        <v>40</v>
      </c>
      <c r="F11" s="1" t="s">
        <v>41</v>
      </c>
      <c r="G11" s="95" t="s">
        <v>119</v>
      </c>
      <c r="H11" s="95" t="s">
        <v>119</v>
      </c>
      <c r="I11" s="95" t="s">
        <v>119</v>
      </c>
      <c r="J11" s="95" t="s">
        <v>119</v>
      </c>
      <c r="K11" s="1" t="s">
        <v>43</v>
      </c>
      <c r="L11" s="95" t="s">
        <v>119</v>
      </c>
      <c r="M11" s="95" t="s">
        <v>119</v>
      </c>
      <c r="N11" s="95" t="s">
        <v>119</v>
      </c>
      <c r="O11" s="95" t="s">
        <v>119</v>
      </c>
      <c r="P11" s="338" t="s">
        <v>549</v>
      </c>
      <c r="Q11" s="307" t="s">
        <v>196</v>
      </c>
    </row>
    <row r="12" spans="2:31" ht="24">
      <c r="E12" s="95" t="s">
        <v>119</v>
      </c>
      <c r="F12" s="95" t="s">
        <v>119</v>
      </c>
      <c r="G12" s="1" t="s">
        <v>42</v>
      </c>
      <c r="H12" s="1" t="s">
        <v>140</v>
      </c>
      <c r="I12" s="1" t="s">
        <v>142</v>
      </c>
      <c r="J12" s="1" t="s">
        <v>141</v>
      </c>
      <c r="K12" s="95" t="s">
        <v>119</v>
      </c>
      <c r="L12" s="1" t="s">
        <v>42</v>
      </c>
      <c r="M12" s="1" t="s">
        <v>140</v>
      </c>
      <c r="N12" s="1" t="s">
        <v>142</v>
      </c>
      <c r="O12" s="1" t="s">
        <v>141</v>
      </c>
      <c r="P12" s="95" t="s">
        <v>119</v>
      </c>
      <c r="Q12" s="299"/>
    </row>
    <row r="13" spans="2:31">
      <c r="D13" s="82" t="str">
        <f t="array" ref="D13:D50">LL.list</f>
        <v>64 kbps</v>
      </c>
      <c r="E13" s="341">
        <f t="array" ref="E13:E50">IF(Retail.leased.lines.selected=Retail.leased.lines.calculados.option,INDEX(LL.local.by.capacity.total,,MATCH(Year.selected,Years,0)),INDEX(LL.local.by.capacity.retail,,MATCH(Year.selected,Years,0)))</f>
        <v>14586.300000000001</v>
      </c>
      <c r="F13" s="319">
        <f>SUM(G13:J13)</f>
        <v>5773.7000000000007</v>
      </c>
      <c r="G13" s="341">
        <f t="array" ref="G13:G50">IF(Retail.leased.lines.selected=Retail.leased.lines.calculados.option,INDEX(LL.national.0.81.km.by.capacity.total,,MATCH(Year.selected,Years,0)),INDEX(LL.national.0.81.km.by.capacity.retail,,MATCH(Year.selected,Years,0)))</f>
        <v>3954.6</v>
      </c>
      <c r="H13" s="341">
        <f t="array" ref="H13:H50">IF(Retail.leased.lines.selected=Retail.leased.lines.calculados.option,INDEX(LL.national.81.161.km.by.capacity.total,,MATCH(Year.selected,Years,0)),INDEX(LL.national.81.161.km.by.capacity.retail,,MATCH(Year.selected,Years,0)))</f>
        <v>1285.7600000000002</v>
      </c>
      <c r="I13" s="341">
        <f t="array" ref="I13:I50">IF(Retail.leased.lines.selected=Retail.leased.lines.calculados.option,INDEX(LL.national.161.805.km.by.capacity.total,,MATCH(Year.selected,Years,0)),INDEX(LL.national.161.805.km.by.capacity.retail,,MATCH(Year.selected,Years,0)))</f>
        <v>486.34999999999997</v>
      </c>
      <c r="J13" s="341">
        <f t="array" ref="J13:J50">IF(Retail.leased.lines.selected=Retail.leased.lines.calculados.option,INDEX(LL.national.over.805.km.by.capacity.total,,MATCH(Year.selected,Years,0)),INDEX(LL.national.over.805.km.by.capacity.retail,,MATCH(Year.selected,Years,0)))</f>
        <v>46.99</v>
      </c>
      <c r="K13" s="342">
        <f t="array" ref="K13:K50">IF(Retail.leased.lines.selected=Retail.leased.lines.calculados.option,INDEX(LL.international.by.capacity.total,,MATCH(Year.selected,Years,0)),INDEX(LL.international.by.capacity.retail,,MATCH(Year.selected,Years,0)))</f>
        <v>19.2</v>
      </c>
      <c r="L13" s="341">
        <f t="array" ref="L13:O50">K13:K50*LL.international.distance.distribution.by.capacity.retail</f>
        <v>0.96</v>
      </c>
      <c r="M13" s="341">
        <v>3.84</v>
      </c>
      <c r="N13" s="341">
        <v>4.8</v>
      </c>
      <c r="O13" s="341">
        <v>9.6</v>
      </c>
      <c r="P13" s="342">
        <f t="array" ref="P13:P50">IF(Retail.leased.lines.selected=Retail.leased.lines.calculados.option,INDEX(LL.border.crossing.by.capacity.total,,MATCH(Year.selected,Years,0)),INDEX(LL.border.crossing.by.capacity.retail,,MATCH(Year.selected,Years,0)))</f>
        <v>8.9600000000000009</v>
      </c>
      <c r="Q13" s="307" t="s">
        <v>44</v>
      </c>
    </row>
    <row r="14" spans="2:31">
      <c r="D14" s="82" t="str">
        <v>128 kbps</v>
      </c>
      <c r="E14" s="341">
        <v>6293.14</v>
      </c>
      <c r="F14" s="319">
        <f t="shared" ref="F14:F50" si="0">SUM(G14:J14)</f>
        <v>3030.9</v>
      </c>
      <c r="G14" s="341">
        <v>1518.3999999999999</v>
      </c>
      <c r="H14" s="341">
        <v>965.2</v>
      </c>
      <c r="I14" s="341">
        <v>525.98</v>
      </c>
      <c r="J14" s="341">
        <v>21.32</v>
      </c>
      <c r="K14" s="342">
        <v>0</v>
      </c>
      <c r="L14" s="341">
        <v>0</v>
      </c>
      <c r="M14" s="341">
        <v>0</v>
      </c>
      <c r="N14" s="341">
        <v>0</v>
      </c>
      <c r="O14" s="341">
        <v>0</v>
      </c>
      <c r="P14" s="342">
        <v>2.2799999999999998</v>
      </c>
    </row>
    <row r="15" spans="2:31">
      <c r="D15" s="82" t="str">
        <v>192 kbps</v>
      </c>
      <c r="E15" s="341">
        <v>1522.11</v>
      </c>
      <c r="F15" s="319">
        <f t="shared" si="0"/>
        <v>744.80000000000007</v>
      </c>
      <c r="G15" s="341">
        <v>347.8</v>
      </c>
      <c r="H15" s="341">
        <v>181.29999999999998</v>
      </c>
      <c r="I15" s="341">
        <v>187.61999999999998</v>
      </c>
      <c r="J15" s="341">
        <v>28.080000000000002</v>
      </c>
      <c r="K15" s="342">
        <v>0</v>
      </c>
      <c r="L15" s="341">
        <v>0</v>
      </c>
      <c r="M15" s="341">
        <v>0</v>
      </c>
      <c r="N15" s="341">
        <v>0</v>
      </c>
      <c r="O15" s="341">
        <v>0</v>
      </c>
      <c r="P15" s="342">
        <v>0</v>
      </c>
    </row>
    <row r="16" spans="2:31">
      <c r="D16" s="82" t="str">
        <v>256 kbps</v>
      </c>
      <c r="E16" s="341">
        <v>4251.6000000000004</v>
      </c>
      <c r="F16" s="319">
        <f t="shared" si="0"/>
        <v>3171.5699999999997</v>
      </c>
      <c r="G16" s="341">
        <v>1964.69</v>
      </c>
      <c r="H16" s="341">
        <v>735.42</v>
      </c>
      <c r="I16" s="341">
        <v>461.01</v>
      </c>
      <c r="J16" s="341">
        <v>10.45</v>
      </c>
      <c r="K16" s="342">
        <v>3.72</v>
      </c>
      <c r="L16" s="341">
        <v>0.18600000000000003</v>
      </c>
      <c r="M16" s="341">
        <v>0.74400000000000011</v>
      </c>
      <c r="N16" s="341">
        <v>0.93</v>
      </c>
      <c r="O16" s="341">
        <v>1.86</v>
      </c>
      <c r="P16" s="342">
        <v>3.9000000000000004</v>
      </c>
    </row>
    <row r="17" spans="4:16">
      <c r="D17" s="82" t="str">
        <v>384 kbps</v>
      </c>
      <c r="E17" s="341">
        <v>1808.8</v>
      </c>
      <c r="F17" s="319">
        <f t="shared" si="0"/>
        <v>1441.5099999999998</v>
      </c>
      <c r="G17" s="341">
        <v>818.3</v>
      </c>
      <c r="H17" s="341">
        <v>430.86</v>
      </c>
      <c r="I17" s="341">
        <v>191.52</v>
      </c>
      <c r="J17" s="341">
        <v>0.83</v>
      </c>
      <c r="K17" s="342">
        <v>0</v>
      </c>
      <c r="L17" s="341">
        <v>0</v>
      </c>
      <c r="M17" s="341">
        <v>0</v>
      </c>
      <c r="N17" s="341">
        <v>0</v>
      </c>
      <c r="O17" s="341">
        <v>0</v>
      </c>
      <c r="P17" s="342">
        <v>0</v>
      </c>
    </row>
    <row r="18" spans="4:16">
      <c r="D18" s="82" t="str">
        <v>512 kbps</v>
      </c>
      <c r="E18" s="341">
        <v>2556</v>
      </c>
      <c r="F18" s="319">
        <f t="shared" si="0"/>
        <v>1536.9099999999999</v>
      </c>
      <c r="G18" s="341">
        <v>948.6</v>
      </c>
      <c r="H18" s="341">
        <v>357.52</v>
      </c>
      <c r="I18" s="341">
        <v>229.68</v>
      </c>
      <c r="J18" s="341">
        <v>1.1100000000000001</v>
      </c>
      <c r="K18" s="342">
        <v>8.4</v>
      </c>
      <c r="L18" s="341">
        <v>0.42000000000000004</v>
      </c>
      <c r="M18" s="341">
        <v>1.6800000000000002</v>
      </c>
      <c r="N18" s="341">
        <v>2.1</v>
      </c>
      <c r="O18" s="341">
        <v>4.2</v>
      </c>
      <c r="P18" s="342">
        <v>1.68</v>
      </c>
    </row>
    <row r="19" spans="4:16">
      <c r="D19" s="82" t="str">
        <v>768 kbps</v>
      </c>
      <c r="E19" s="341">
        <v>431.97</v>
      </c>
      <c r="F19" s="319">
        <f t="shared" si="0"/>
        <v>348.43</v>
      </c>
      <c r="G19" s="341">
        <v>199.5</v>
      </c>
      <c r="H19" s="341">
        <v>76.8</v>
      </c>
      <c r="I19" s="341">
        <v>70.850000000000009</v>
      </c>
      <c r="J19" s="341">
        <v>1.28</v>
      </c>
      <c r="K19" s="342">
        <v>0</v>
      </c>
      <c r="L19" s="341">
        <v>0</v>
      </c>
      <c r="M19" s="341">
        <v>0</v>
      </c>
      <c r="N19" s="341">
        <v>0</v>
      </c>
      <c r="O19" s="341">
        <v>0</v>
      </c>
      <c r="P19" s="342">
        <v>0</v>
      </c>
    </row>
    <row r="20" spans="4:16">
      <c r="D20" s="82" t="str">
        <v>1024 kbps</v>
      </c>
      <c r="E20" s="341">
        <v>643.28</v>
      </c>
      <c r="F20" s="319">
        <f t="shared" si="0"/>
        <v>200.7</v>
      </c>
      <c r="G20" s="341">
        <v>104.03</v>
      </c>
      <c r="H20" s="341">
        <v>56.55</v>
      </c>
      <c r="I20" s="341">
        <v>39</v>
      </c>
      <c r="J20" s="341">
        <v>1.1200000000000001</v>
      </c>
      <c r="K20" s="342">
        <v>9.6</v>
      </c>
      <c r="L20" s="341">
        <v>0.48</v>
      </c>
      <c r="M20" s="341">
        <v>1.92</v>
      </c>
      <c r="N20" s="341">
        <v>2.4</v>
      </c>
      <c r="O20" s="341">
        <v>4.8</v>
      </c>
      <c r="P20" s="342">
        <v>0</v>
      </c>
    </row>
    <row r="21" spans="4:16">
      <c r="D21" s="82" t="str">
        <v>E1 (2.04 Mbps)</v>
      </c>
      <c r="E21" s="341">
        <v>26567.31</v>
      </c>
      <c r="F21" s="319">
        <f t="shared" si="0"/>
        <v>7598.95</v>
      </c>
      <c r="G21" s="341">
        <v>4485.78</v>
      </c>
      <c r="H21" s="341">
        <v>1556.17</v>
      </c>
      <c r="I21" s="341">
        <v>1538.81</v>
      </c>
      <c r="J21" s="341">
        <v>18.190000000000001</v>
      </c>
      <c r="K21" s="342">
        <v>127.33</v>
      </c>
      <c r="L21" s="341">
        <v>6.3665000000000003</v>
      </c>
      <c r="M21" s="341">
        <v>25.466000000000001</v>
      </c>
      <c r="N21" s="341">
        <v>31.8325</v>
      </c>
      <c r="O21" s="341">
        <v>63.664999999999999</v>
      </c>
      <c r="P21" s="342">
        <v>110.96</v>
      </c>
    </row>
    <row r="22" spans="4:16">
      <c r="D22" s="82" t="str">
        <v>E2 *</v>
      </c>
      <c r="E22" s="341">
        <v>0</v>
      </c>
      <c r="F22" s="319">
        <f t="shared" si="0"/>
        <v>0</v>
      </c>
      <c r="G22" s="341">
        <v>0</v>
      </c>
      <c r="H22" s="341">
        <v>0</v>
      </c>
      <c r="I22" s="341">
        <v>0</v>
      </c>
      <c r="J22" s="341">
        <v>0</v>
      </c>
      <c r="K22" s="342">
        <v>0</v>
      </c>
      <c r="L22" s="341">
        <v>0</v>
      </c>
      <c r="M22" s="341">
        <v>0</v>
      </c>
      <c r="N22" s="341">
        <v>0</v>
      </c>
      <c r="O22" s="341">
        <v>0</v>
      </c>
      <c r="P22" s="342">
        <v>0</v>
      </c>
    </row>
    <row r="23" spans="4:16" s="299" customFormat="1">
      <c r="D23" s="310" t="str">
        <v>E3 (34 Mbps)</v>
      </c>
      <c r="E23" s="341">
        <v>353.34000000000003</v>
      </c>
      <c r="F23" s="319">
        <f t="shared" si="0"/>
        <v>56.38</v>
      </c>
      <c r="G23" s="341">
        <v>28.71</v>
      </c>
      <c r="H23" s="341">
        <v>14.689999999999998</v>
      </c>
      <c r="I23" s="341">
        <v>11.879999999999999</v>
      </c>
      <c r="J23" s="341">
        <v>1.1000000000000001</v>
      </c>
      <c r="K23" s="342">
        <v>0</v>
      </c>
      <c r="L23" s="341">
        <v>0</v>
      </c>
      <c r="M23" s="341">
        <v>0</v>
      </c>
      <c r="N23" s="341">
        <v>0</v>
      </c>
      <c r="O23" s="341">
        <v>0</v>
      </c>
      <c r="P23" s="342">
        <v>0</v>
      </c>
    </row>
    <row r="24" spans="4:16" s="299" customFormat="1">
      <c r="D24" s="310" t="str">
        <v>STM-1 (155 Mbps)</v>
      </c>
      <c r="E24" s="341">
        <v>298.24</v>
      </c>
      <c r="F24" s="319">
        <f t="shared" si="0"/>
        <v>27.69</v>
      </c>
      <c r="G24" s="341">
        <v>2.64</v>
      </c>
      <c r="H24" s="341">
        <v>5.16</v>
      </c>
      <c r="I24" s="341">
        <v>19.89</v>
      </c>
      <c r="J24" s="341">
        <v>0</v>
      </c>
      <c r="K24" s="342">
        <v>2.4899999999999998</v>
      </c>
      <c r="L24" s="341">
        <v>0.1245</v>
      </c>
      <c r="M24" s="341">
        <v>0.498</v>
      </c>
      <c r="N24" s="341">
        <v>0.62249999999999994</v>
      </c>
      <c r="O24" s="341">
        <v>1.2449999999999999</v>
      </c>
      <c r="P24" s="342">
        <v>0</v>
      </c>
    </row>
    <row r="25" spans="4:16" s="299" customFormat="1">
      <c r="D25" s="310" t="str">
        <v>STM-4 (622.08 Mbps)</v>
      </c>
      <c r="E25" s="341">
        <v>3.3899999999999997</v>
      </c>
      <c r="F25" s="319">
        <f t="shared" si="0"/>
        <v>2.42</v>
      </c>
      <c r="G25" s="341">
        <v>2.42</v>
      </c>
      <c r="H25" s="341">
        <v>0</v>
      </c>
      <c r="I25" s="341">
        <v>0</v>
      </c>
      <c r="J25" s="341">
        <v>0</v>
      </c>
      <c r="K25" s="342">
        <v>1.02</v>
      </c>
      <c r="L25" s="341">
        <v>5.1000000000000004E-2</v>
      </c>
      <c r="M25" s="341">
        <v>0.20400000000000001</v>
      </c>
      <c r="N25" s="341">
        <v>0.255</v>
      </c>
      <c r="O25" s="341">
        <v>0.51</v>
      </c>
      <c r="P25" s="342">
        <v>0</v>
      </c>
    </row>
    <row r="26" spans="4:16" s="299" customFormat="1">
      <c r="D26" s="310" t="str">
        <v>STM-16 (2488.32Mbps)</v>
      </c>
      <c r="E26" s="341">
        <v>1</v>
      </c>
      <c r="F26" s="319">
        <f t="shared" si="0"/>
        <v>0</v>
      </c>
      <c r="G26" s="341">
        <v>0</v>
      </c>
      <c r="H26" s="341">
        <v>0</v>
      </c>
      <c r="I26" s="341">
        <v>0</v>
      </c>
      <c r="J26" s="341">
        <v>0</v>
      </c>
      <c r="K26" s="342">
        <v>3.44</v>
      </c>
      <c r="L26" s="341">
        <v>0.17200000000000001</v>
      </c>
      <c r="M26" s="341">
        <v>0.68800000000000006</v>
      </c>
      <c r="N26" s="341">
        <v>0.86</v>
      </c>
      <c r="O26" s="341">
        <v>1.72</v>
      </c>
      <c r="P26" s="342">
        <v>0</v>
      </c>
    </row>
    <row r="27" spans="4:16" s="299" customFormat="1">
      <c r="D27" s="310" t="str">
        <v>STM-64 (9953.28Mbps)</v>
      </c>
      <c r="E27" s="341">
        <v>0</v>
      </c>
      <c r="F27" s="319">
        <f t="shared" si="0"/>
        <v>0</v>
      </c>
      <c r="G27" s="341">
        <v>0</v>
      </c>
      <c r="H27" s="341">
        <v>0</v>
      </c>
      <c r="I27" s="341">
        <v>0</v>
      </c>
      <c r="J27" s="341">
        <v>0</v>
      </c>
      <c r="K27" s="342">
        <v>0</v>
      </c>
      <c r="L27" s="341">
        <v>0</v>
      </c>
      <c r="M27" s="341">
        <v>0</v>
      </c>
      <c r="N27" s="341">
        <v>0</v>
      </c>
      <c r="O27" s="341">
        <v>0</v>
      </c>
      <c r="P27" s="342">
        <v>0</v>
      </c>
    </row>
    <row r="28" spans="4:16" s="299" customFormat="1">
      <c r="D28" s="310" t="str">
        <v>STM-256 (39813.12 Mbps)*</v>
      </c>
      <c r="E28" s="341">
        <v>0</v>
      </c>
      <c r="F28" s="319">
        <f t="shared" si="0"/>
        <v>0</v>
      </c>
      <c r="G28" s="341">
        <v>0</v>
      </c>
      <c r="H28" s="341">
        <v>0</v>
      </c>
      <c r="I28" s="341">
        <v>0</v>
      </c>
      <c r="J28" s="341">
        <v>0</v>
      </c>
      <c r="K28" s="342">
        <v>0</v>
      </c>
      <c r="L28" s="341">
        <v>0</v>
      </c>
      <c r="M28" s="341">
        <v>0</v>
      </c>
      <c r="N28" s="341">
        <v>0</v>
      </c>
      <c r="O28" s="341">
        <v>0</v>
      </c>
      <c r="P28" s="342">
        <v>0</v>
      </c>
    </row>
    <row r="29" spans="4:16" s="299" customFormat="1">
      <c r="D29" s="310" t="str">
        <v>Ethernet (10Mbps)</v>
      </c>
      <c r="E29" s="341">
        <v>1593.9</v>
      </c>
      <c r="F29" s="319">
        <f t="shared" si="0"/>
        <v>275.00999999999993</v>
      </c>
      <c r="G29" s="341">
        <v>142.73999999999998</v>
      </c>
      <c r="H29" s="341">
        <v>39.6</v>
      </c>
      <c r="I29" s="341">
        <v>86.52</v>
      </c>
      <c r="J29" s="341">
        <v>6.15</v>
      </c>
      <c r="K29" s="342">
        <v>0</v>
      </c>
      <c r="L29" s="341">
        <v>0</v>
      </c>
      <c r="M29" s="341">
        <v>0</v>
      </c>
      <c r="N29" s="341">
        <v>0</v>
      </c>
      <c r="O29" s="341">
        <v>0</v>
      </c>
      <c r="P29" s="342">
        <v>0</v>
      </c>
    </row>
    <row r="30" spans="4:16" s="299" customFormat="1">
      <c r="D30" s="310" t="str">
        <v>Ethernet (20Mbps)</v>
      </c>
      <c r="E30" s="341">
        <v>658.32</v>
      </c>
      <c r="F30" s="319">
        <f t="shared" si="0"/>
        <v>87.289999999999992</v>
      </c>
      <c r="G30" s="341">
        <v>45.54</v>
      </c>
      <c r="H30" s="341">
        <v>18.75</v>
      </c>
      <c r="I30" s="341">
        <v>18</v>
      </c>
      <c r="J30" s="341">
        <v>5</v>
      </c>
      <c r="K30" s="342">
        <v>0</v>
      </c>
      <c r="L30" s="341">
        <v>0</v>
      </c>
      <c r="M30" s="341">
        <v>0</v>
      </c>
      <c r="N30" s="341">
        <v>0</v>
      </c>
      <c r="O30" s="341">
        <v>0</v>
      </c>
      <c r="P30" s="342">
        <v>0</v>
      </c>
    </row>
    <row r="31" spans="4:16" s="299" customFormat="1">
      <c r="D31" s="310" t="str">
        <v>Ethernet (30Mbps)</v>
      </c>
      <c r="E31" s="341">
        <v>220.18</v>
      </c>
      <c r="F31" s="319">
        <f t="shared" si="0"/>
        <v>31.769999999999996</v>
      </c>
      <c r="G31" s="341">
        <v>13.799999999999999</v>
      </c>
      <c r="H31" s="341">
        <v>6.57</v>
      </c>
      <c r="I31" s="341">
        <v>11.4</v>
      </c>
      <c r="J31" s="341">
        <v>0</v>
      </c>
      <c r="K31" s="342">
        <v>0</v>
      </c>
      <c r="L31" s="341">
        <v>0</v>
      </c>
      <c r="M31" s="341">
        <v>0</v>
      </c>
      <c r="N31" s="341">
        <v>0</v>
      </c>
      <c r="O31" s="341">
        <v>0</v>
      </c>
      <c r="P31" s="342">
        <v>0</v>
      </c>
    </row>
    <row r="32" spans="4:16" s="299" customFormat="1">
      <c r="D32" s="310" t="str">
        <v>Ethernet (40Mbps)</v>
      </c>
      <c r="E32" s="341">
        <v>118.17</v>
      </c>
      <c r="F32" s="319">
        <f t="shared" si="0"/>
        <v>29.520000000000003</v>
      </c>
      <c r="G32" s="341">
        <v>15.600000000000001</v>
      </c>
      <c r="H32" s="341">
        <v>6.9599999999999991</v>
      </c>
      <c r="I32" s="341">
        <v>6.96</v>
      </c>
      <c r="J32" s="341">
        <v>0</v>
      </c>
      <c r="K32" s="342">
        <v>0</v>
      </c>
      <c r="L32" s="341">
        <v>0</v>
      </c>
      <c r="M32" s="341">
        <v>0</v>
      </c>
      <c r="N32" s="341">
        <v>0</v>
      </c>
      <c r="O32" s="341">
        <v>0</v>
      </c>
      <c r="P32" s="342">
        <v>0</v>
      </c>
    </row>
    <row r="33" spans="4:16" s="299" customFormat="1">
      <c r="D33" s="310" t="str">
        <v>Ethernet (50Mbps)</v>
      </c>
      <c r="E33" s="341">
        <v>133.56</v>
      </c>
      <c r="F33" s="319">
        <f t="shared" si="0"/>
        <v>54.78</v>
      </c>
      <c r="G33" s="341">
        <v>9.9</v>
      </c>
      <c r="H33" s="341">
        <v>4.5600000000000005</v>
      </c>
      <c r="I33" s="341">
        <v>40.32</v>
      </c>
      <c r="J33" s="341">
        <v>0</v>
      </c>
      <c r="K33" s="342">
        <v>0</v>
      </c>
      <c r="L33" s="341">
        <v>0</v>
      </c>
      <c r="M33" s="341">
        <v>0</v>
      </c>
      <c r="N33" s="341">
        <v>0</v>
      </c>
      <c r="O33" s="341">
        <v>0</v>
      </c>
      <c r="P33" s="342">
        <v>0</v>
      </c>
    </row>
    <row r="34" spans="4:16" s="299" customFormat="1">
      <c r="D34" s="310" t="str">
        <v>Ethernet (60Mbps)</v>
      </c>
      <c r="E34" s="341">
        <v>33.28</v>
      </c>
      <c r="F34" s="319">
        <f t="shared" si="0"/>
        <v>7.39</v>
      </c>
      <c r="G34" s="341">
        <v>4.97</v>
      </c>
      <c r="H34" s="341">
        <v>0</v>
      </c>
      <c r="I34" s="341">
        <v>2.42</v>
      </c>
      <c r="J34" s="341">
        <v>0</v>
      </c>
      <c r="K34" s="342">
        <v>0</v>
      </c>
      <c r="L34" s="341">
        <v>0</v>
      </c>
      <c r="M34" s="341">
        <v>0</v>
      </c>
      <c r="N34" s="341">
        <v>0</v>
      </c>
      <c r="O34" s="341">
        <v>0</v>
      </c>
      <c r="P34" s="342">
        <v>0</v>
      </c>
    </row>
    <row r="35" spans="4:16" s="299" customFormat="1">
      <c r="D35" s="310" t="str">
        <v>Ethernet (70Mbps)</v>
      </c>
      <c r="E35" s="341">
        <v>18.02</v>
      </c>
      <c r="F35" s="319">
        <f t="shared" si="0"/>
        <v>5.47</v>
      </c>
      <c r="G35" s="341">
        <v>1.96</v>
      </c>
      <c r="H35" s="341">
        <v>1.1499999999999999</v>
      </c>
      <c r="I35" s="341">
        <v>2.36</v>
      </c>
      <c r="J35" s="341">
        <v>0</v>
      </c>
      <c r="K35" s="342">
        <v>0</v>
      </c>
      <c r="L35" s="341">
        <v>0</v>
      </c>
      <c r="M35" s="341">
        <v>0</v>
      </c>
      <c r="N35" s="341">
        <v>0</v>
      </c>
      <c r="O35" s="341">
        <v>0</v>
      </c>
      <c r="P35" s="342">
        <v>0</v>
      </c>
    </row>
    <row r="36" spans="4:16" s="299" customFormat="1">
      <c r="D36" s="310" t="str">
        <v>Ethernet (80Mbps)</v>
      </c>
      <c r="E36" s="341">
        <v>29.44</v>
      </c>
      <c r="F36" s="319">
        <f t="shared" si="0"/>
        <v>0.84</v>
      </c>
      <c r="G36" s="341">
        <v>0.84</v>
      </c>
      <c r="H36" s="341">
        <v>0</v>
      </c>
      <c r="I36" s="341">
        <v>0</v>
      </c>
      <c r="J36" s="341">
        <v>0</v>
      </c>
      <c r="K36" s="342">
        <v>0</v>
      </c>
      <c r="L36" s="341">
        <v>0</v>
      </c>
      <c r="M36" s="341">
        <v>0</v>
      </c>
      <c r="N36" s="341">
        <v>0</v>
      </c>
      <c r="O36" s="341">
        <v>0</v>
      </c>
      <c r="P36" s="342">
        <v>0</v>
      </c>
    </row>
    <row r="37" spans="4:16" s="299" customFormat="1">
      <c r="D37" s="310" t="str">
        <v>Ethernet (90Mbps)</v>
      </c>
      <c r="E37" s="341">
        <v>3.4</v>
      </c>
      <c r="F37" s="319">
        <f t="shared" si="0"/>
        <v>1.24</v>
      </c>
      <c r="G37" s="341">
        <v>0</v>
      </c>
      <c r="H37" s="341">
        <v>0</v>
      </c>
      <c r="I37" s="341">
        <v>1.24</v>
      </c>
      <c r="J37" s="341">
        <v>0</v>
      </c>
      <c r="K37" s="342">
        <v>0</v>
      </c>
      <c r="L37" s="341">
        <v>0</v>
      </c>
      <c r="M37" s="341">
        <v>0</v>
      </c>
      <c r="N37" s="341">
        <v>0</v>
      </c>
      <c r="O37" s="341">
        <v>0</v>
      </c>
      <c r="P37" s="342">
        <v>0</v>
      </c>
    </row>
    <row r="38" spans="4:16" s="299" customFormat="1">
      <c r="D38" s="310" t="str">
        <v>GigaEthernet (100Mbps)</v>
      </c>
      <c r="E38" s="341">
        <v>142.78</v>
      </c>
      <c r="F38" s="319">
        <f t="shared" si="0"/>
        <v>35.869999999999997</v>
      </c>
      <c r="G38" s="341">
        <v>15.819999999999999</v>
      </c>
      <c r="H38" s="341">
        <v>3.33</v>
      </c>
      <c r="I38" s="341">
        <v>16.72</v>
      </c>
      <c r="J38" s="341">
        <v>0</v>
      </c>
      <c r="K38" s="342">
        <v>0</v>
      </c>
      <c r="L38" s="341">
        <v>0</v>
      </c>
      <c r="M38" s="341">
        <v>0</v>
      </c>
      <c r="N38" s="341">
        <v>0</v>
      </c>
      <c r="O38" s="341">
        <v>0</v>
      </c>
      <c r="P38" s="342">
        <v>0</v>
      </c>
    </row>
    <row r="39" spans="4:16" s="299" customFormat="1">
      <c r="D39" s="310" t="str">
        <v>GigaEthernet (150Mbps)</v>
      </c>
      <c r="E39" s="341">
        <v>48.64</v>
      </c>
      <c r="F39" s="319">
        <f t="shared" si="0"/>
        <v>7</v>
      </c>
      <c r="G39" s="341">
        <v>0</v>
      </c>
      <c r="H39" s="341">
        <v>4.76</v>
      </c>
      <c r="I39" s="341">
        <v>2.2400000000000002</v>
      </c>
      <c r="J39" s="341">
        <v>0</v>
      </c>
      <c r="K39" s="342">
        <v>0</v>
      </c>
      <c r="L39" s="341">
        <v>0</v>
      </c>
      <c r="M39" s="341">
        <v>0</v>
      </c>
      <c r="N39" s="341">
        <v>0</v>
      </c>
      <c r="O39" s="341">
        <v>0</v>
      </c>
      <c r="P39" s="342">
        <v>0</v>
      </c>
    </row>
    <row r="40" spans="4:16" s="299" customFormat="1">
      <c r="D40" s="310" t="str">
        <v>GigaEthernet (200Mbps)</v>
      </c>
      <c r="E40" s="341">
        <v>18.86</v>
      </c>
      <c r="F40" s="319">
        <f t="shared" si="0"/>
        <v>5.83</v>
      </c>
      <c r="G40" s="341">
        <v>1.1299999999999999</v>
      </c>
      <c r="H40" s="341">
        <v>2.2000000000000002</v>
      </c>
      <c r="I40" s="341">
        <v>2.5</v>
      </c>
      <c r="J40" s="341">
        <v>0</v>
      </c>
      <c r="K40" s="342">
        <v>0</v>
      </c>
      <c r="L40" s="341">
        <v>0</v>
      </c>
      <c r="M40" s="341">
        <v>0</v>
      </c>
      <c r="N40" s="341">
        <v>0</v>
      </c>
      <c r="O40" s="341">
        <v>0</v>
      </c>
      <c r="P40" s="342">
        <v>0</v>
      </c>
    </row>
    <row r="41" spans="4:16" s="299" customFormat="1">
      <c r="D41" s="310" t="str">
        <v>GigaEthernet (250Mbps)</v>
      </c>
      <c r="E41" s="341">
        <v>7.08</v>
      </c>
      <c r="F41" s="319">
        <f t="shared" si="0"/>
        <v>0</v>
      </c>
      <c r="G41" s="341">
        <v>0</v>
      </c>
      <c r="H41" s="341">
        <v>0</v>
      </c>
      <c r="I41" s="341">
        <v>0</v>
      </c>
      <c r="J41" s="341">
        <v>0</v>
      </c>
      <c r="K41" s="342">
        <v>0</v>
      </c>
      <c r="L41" s="341">
        <v>0</v>
      </c>
      <c r="M41" s="341">
        <v>0</v>
      </c>
      <c r="N41" s="341">
        <v>0</v>
      </c>
      <c r="O41" s="341">
        <v>0</v>
      </c>
      <c r="P41" s="342">
        <v>0</v>
      </c>
    </row>
    <row r="42" spans="4:16" s="299" customFormat="1">
      <c r="D42" s="310" t="str">
        <v>GigaEthernet (300Mbps)</v>
      </c>
      <c r="E42" s="341">
        <v>7.47</v>
      </c>
      <c r="F42" s="319">
        <f t="shared" si="0"/>
        <v>2.06</v>
      </c>
      <c r="G42" s="341">
        <v>2.06</v>
      </c>
      <c r="H42" s="341">
        <v>0</v>
      </c>
      <c r="I42" s="341">
        <v>0</v>
      </c>
      <c r="J42" s="341">
        <v>0</v>
      </c>
      <c r="K42" s="342">
        <v>0</v>
      </c>
      <c r="L42" s="341">
        <v>0</v>
      </c>
      <c r="M42" s="341">
        <v>0</v>
      </c>
      <c r="N42" s="341">
        <v>0</v>
      </c>
      <c r="O42" s="341">
        <v>0</v>
      </c>
      <c r="P42" s="342">
        <v>0</v>
      </c>
    </row>
    <row r="43" spans="4:16" s="299" customFormat="1">
      <c r="D43" s="310" t="str">
        <v>GigaEthernet (350Mbps)</v>
      </c>
      <c r="E43" s="341">
        <v>0</v>
      </c>
      <c r="F43" s="319">
        <f t="shared" si="0"/>
        <v>0</v>
      </c>
      <c r="G43" s="341">
        <v>0</v>
      </c>
      <c r="H43" s="341">
        <v>0</v>
      </c>
      <c r="I43" s="341">
        <v>0</v>
      </c>
      <c r="J43" s="341">
        <v>0</v>
      </c>
      <c r="K43" s="342">
        <v>0</v>
      </c>
      <c r="L43" s="341">
        <v>0</v>
      </c>
      <c r="M43" s="341">
        <v>0</v>
      </c>
      <c r="N43" s="341">
        <v>0</v>
      </c>
      <c r="O43" s="341">
        <v>0</v>
      </c>
      <c r="P43" s="342">
        <v>0</v>
      </c>
    </row>
    <row r="44" spans="4:16" s="299" customFormat="1">
      <c r="D44" s="310" t="str">
        <v>GigaEthernet (400Mbps)</v>
      </c>
      <c r="E44" s="341">
        <v>0.89</v>
      </c>
      <c r="F44" s="319">
        <f t="shared" si="0"/>
        <v>1.66</v>
      </c>
      <c r="G44" s="341">
        <v>0</v>
      </c>
      <c r="H44" s="341">
        <v>0</v>
      </c>
      <c r="I44" s="341">
        <v>1.66</v>
      </c>
      <c r="J44" s="341">
        <v>0</v>
      </c>
      <c r="K44" s="342">
        <v>0</v>
      </c>
      <c r="L44" s="341">
        <v>0</v>
      </c>
      <c r="M44" s="341">
        <v>0</v>
      </c>
      <c r="N44" s="341">
        <v>0</v>
      </c>
      <c r="O44" s="341">
        <v>0</v>
      </c>
      <c r="P44" s="342">
        <v>0</v>
      </c>
    </row>
    <row r="45" spans="4:16" s="299" customFormat="1">
      <c r="D45" s="310" t="str">
        <v>GigaEthernet (450Mbps)</v>
      </c>
      <c r="E45" s="341">
        <v>0</v>
      </c>
      <c r="F45" s="319">
        <f t="shared" si="0"/>
        <v>0</v>
      </c>
      <c r="G45" s="341">
        <v>0</v>
      </c>
      <c r="H45" s="341">
        <v>0</v>
      </c>
      <c r="I45" s="341">
        <v>0</v>
      </c>
      <c r="J45" s="341">
        <v>0</v>
      </c>
      <c r="K45" s="342">
        <v>0</v>
      </c>
      <c r="L45" s="341">
        <v>0</v>
      </c>
      <c r="M45" s="341">
        <v>0</v>
      </c>
      <c r="N45" s="341">
        <v>0</v>
      </c>
      <c r="O45" s="341">
        <v>0</v>
      </c>
      <c r="P45" s="342">
        <v>0</v>
      </c>
    </row>
    <row r="46" spans="4:16" s="299" customFormat="1">
      <c r="D46" s="310" t="str">
        <v>GigaEthernet (500Mbps)</v>
      </c>
      <c r="E46" s="341">
        <v>4.4800000000000004</v>
      </c>
      <c r="F46" s="319">
        <f t="shared" si="0"/>
        <v>0</v>
      </c>
      <c r="G46" s="341">
        <v>0</v>
      </c>
      <c r="H46" s="341">
        <v>0</v>
      </c>
      <c r="I46" s="341">
        <v>0</v>
      </c>
      <c r="J46" s="341">
        <v>0</v>
      </c>
      <c r="K46" s="342">
        <v>0</v>
      </c>
      <c r="L46" s="341">
        <v>0</v>
      </c>
      <c r="M46" s="341">
        <v>0</v>
      </c>
      <c r="N46" s="341">
        <v>0</v>
      </c>
      <c r="O46" s="341">
        <v>0</v>
      </c>
      <c r="P46" s="342">
        <v>0</v>
      </c>
    </row>
    <row r="47" spans="4:16" s="299" customFormat="1">
      <c r="D47" s="310" t="str">
        <v>GigaEthernet (550Mbps)</v>
      </c>
      <c r="E47" s="341">
        <v>0</v>
      </c>
      <c r="F47" s="319">
        <f t="shared" si="0"/>
        <v>0</v>
      </c>
      <c r="G47" s="341">
        <v>0</v>
      </c>
      <c r="H47" s="341">
        <v>0</v>
      </c>
      <c r="I47" s="341">
        <v>0</v>
      </c>
      <c r="J47" s="341">
        <v>0</v>
      </c>
      <c r="K47" s="342">
        <v>0</v>
      </c>
      <c r="L47" s="341">
        <v>0</v>
      </c>
      <c r="M47" s="341">
        <v>0</v>
      </c>
      <c r="N47" s="341">
        <v>0</v>
      </c>
      <c r="O47" s="341">
        <v>0</v>
      </c>
      <c r="P47" s="342">
        <v>0</v>
      </c>
    </row>
    <row r="48" spans="4:16" s="299" customFormat="1">
      <c r="D48" s="310" t="str">
        <v>GigaEthernet (600Mbps)</v>
      </c>
      <c r="E48" s="341">
        <v>0</v>
      </c>
      <c r="F48" s="319">
        <f t="shared" si="0"/>
        <v>0</v>
      </c>
      <c r="G48" s="341">
        <v>0</v>
      </c>
      <c r="H48" s="341">
        <v>0</v>
      </c>
      <c r="I48" s="341">
        <v>0</v>
      </c>
      <c r="J48" s="341">
        <v>0</v>
      </c>
      <c r="K48" s="342">
        <v>0</v>
      </c>
      <c r="L48" s="341">
        <v>0</v>
      </c>
      <c r="M48" s="341">
        <v>0</v>
      </c>
      <c r="N48" s="341">
        <v>0</v>
      </c>
      <c r="O48" s="341">
        <v>0</v>
      </c>
      <c r="P48" s="342">
        <v>0</v>
      </c>
    </row>
    <row r="49" spans="3:31" s="299" customFormat="1">
      <c r="D49" s="310" t="str">
        <v>GigaEthernet (750Mbps)</v>
      </c>
      <c r="E49" s="341">
        <v>0</v>
      </c>
      <c r="F49" s="319">
        <f t="shared" si="0"/>
        <v>0.91</v>
      </c>
      <c r="G49" s="341">
        <v>0</v>
      </c>
      <c r="H49" s="341">
        <v>0</v>
      </c>
      <c r="I49" s="341">
        <v>0.91</v>
      </c>
      <c r="J49" s="341">
        <v>0</v>
      </c>
      <c r="K49" s="342">
        <v>0</v>
      </c>
      <c r="L49" s="341">
        <v>0</v>
      </c>
      <c r="M49" s="341">
        <v>0</v>
      </c>
      <c r="N49" s="341">
        <v>0</v>
      </c>
      <c r="O49" s="341">
        <v>0</v>
      </c>
      <c r="P49" s="342">
        <v>0</v>
      </c>
    </row>
    <row r="50" spans="3:31" s="299" customFormat="1">
      <c r="D50" s="310" t="str">
        <v>GigaEthernet (1 Gbps)</v>
      </c>
      <c r="E50" s="341">
        <v>18.399999999999999</v>
      </c>
      <c r="F50" s="319">
        <f t="shared" si="0"/>
        <v>1.08</v>
      </c>
      <c r="G50" s="341">
        <v>0</v>
      </c>
      <c r="H50" s="341">
        <v>0</v>
      </c>
      <c r="I50" s="341">
        <v>1.08</v>
      </c>
      <c r="J50" s="341">
        <v>0</v>
      </c>
      <c r="K50" s="342">
        <v>0</v>
      </c>
      <c r="L50" s="341">
        <v>0</v>
      </c>
      <c r="M50" s="341">
        <v>0</v>
      </c>
      <c r="N50" s="341">
        <v>0</v>
      </c>
      <c r="O50" s="341">
        <v>0</v>
      </c>
      <c r="P50" s="342">
        <v>0</v>
      </c>
    </row>
    <row r="51" spans="3:31">
      <c r="C51" s="106"/>
      <c r="D51" s="106"/>
      <c r="E51" s="337">
        <f>SUM(E13:E50)</f>
        <v>62373.35</v>
      </c>
      <c r="F51" s="337">
        <f t="shared" ref="F51:P51" si="1">SUM(F13:F50)</f>
        <v>24481.680000000004</v>
      </c>
      <c r="G51" s="337">
        <f t="shared" si="1"/>
        <v>14629.829999999996</v>
      </c>
      <c r="H51" s="337">
        <f t="shared" si="1"/>
        <v>5753.31</v>
      </c>
      <c r="I51" s="337">
        <f t="shared" si="1"/>
        <v>3956.9199999999992</v>
      </c>
      <c r="J51" s="337">
        <f t="shared" si="1"/>
        <v>141.62</v>
      </c>
      <c r="K51" s="337">
        <f t="shared" si="1"/>
        <v>175.20000000000002</v>
      </c>
      <c r="L51" s="337">
        <f t="shared" si="1"/>
        <v>8.76</v>
      </c>
      <c r="M51" s="337">
        <f t="shared" si="1"/>
        <v>35.04</v>
      </c>
      <c r="N51" s="337">
        <f t="shared" si="1"/>
        <v>43.800000000000004</v>
      </c>
      <c r="O51" s="337">
        <f t="shared" si="1"/>
        <v>87.600000000000009</v>
      </c>
      <c r="P51" s="337">
        <f t="shared" si="1"/>
        <v>127.78</v>
      </c>
    </row>
    <row r="52" spans="3:31" s="299" customFormat="1">
      <c r="C52" s="316"/>
      <c r="D52" s="316"/>
    </row>
    <row r="53" spans="3:31">
      <c r="C53" s="106"/>
      <c r="D53" s="106"/>
      <c r="E53"/>
      <c r="F53"/>
      <c r="G53"/>
      <c r="H53"/>
      <c r="I53"/>
      <c r="J53"/>
      <c r="K53"/>
      <c r="L53"/>
      <c r="M53"/>
      <c r="N53"/>
      <c r="O53"/>
    </row>
    <row r="54" spans="3:31" s="227" customFormat="1" ht="24">
      <c r="C54" s="219" t="s">
        <v>244</v>
      </c>
      <c r="D54" s="230"/>
      <c r="E54" s="338" t="str">
        <f t="array" ref="E54:P55">Enlaces.decidados.tipos.categorías</f>
        <v>Local</v>
      </c>
      <c r="F54" s="338" t="str">
        <v>Nacional</v>
      </c>
      <c r="G54" s="299" t="str">
        <v>-</v>
      </c>
      <c r="H54" s="299" t="str">
        <v>-</v>
      </c>
      <c r="I54" s="299" t="str">
        <v>-</v>
      </c>
      <c r="J54" s="299" t="str">
        <v>-</v>
      </c>
      <c r="K54" s="338" t="str">
        <v>Internacional</v>
      </c>
      <c r="L54" s="299" t="str">
        <v>-</v>
      </c>
      <c r="M54" s="299" t="str">
        <v>-</v>
      </c>
      <c r="N54" s="299" t="str">
        <v>-</v>
      </c>
      <c r="O54" s="299" t="str">
        <v>-</v>
      </c>
      <c r="P54" s="338" t="str">
        <v>Cruce fronterizo</v>
      </c>
      <c r="AC54" s="299"/>
      <c r="AD54" s="299"/>
      <c r="AE54" s="299"/>
    </row>
    <row r="55" spans="3:31" s="227" customFormat="1" ht="24">
      <c r="C55" s="147" t="s">
        <v>73</v>
      </c>
      <c r="D55" s="230"/>
      <c r="E55" s="299" t="str">
        <v>-</v>
      </c>
      <c r="F55" s="299" t="str">
        <v>-</v>
      </c>
      <c r="G55" s="338" t="str">
        <v>De los cuales 0-81 km</v>
      </c>
      <c r="H55" s="338" t="str">
        <v>De los cuales 81-161 km</v>
      </c>
      <c r="I55" s="338" t="str">
        <v>De los cuales 161-805 km</v>
      </c>
      <c r="J55" s="338" t="str">
        <v>De los cuales  &gt; 805 km</v>
      </c>
      <c r="K55" s="299" t="str">
        <v>-</v>
      </c>
      <c r="L55" s="338" t="str">
        <v>De los cuales 0-81 km</v>
      </c>
      <c r="M55" s="338" t="str">
        <v>De los cuales  81-161 km</v>
      </c>
      <c r="N55" s="338" t="str">
        <v>De los cuales 161-805 km</v>
      </c>
      <c r="O55" s="338" t="str">
        <v>De los cuales  &gt; 805 km</v>
      </c>
      <c r="P55" s="299" t="str">
        <v>-</v>
      </c>
      <c r="AC55" s="299"/>
      <c r="AD55" s="299"/>
      <c r="AE55" s="299"/>
    </row>
    <row r="56" spans="3:31" ht="24">
      <c r="D56" s="106"/>
      <c r="E56" s="338" t="str">
        <f t="array" ref="E56:P57">LL.type.categories</f>
        <v>Local</v>
      </c>
      <c r="F56" s="338" t="str">
        <v>National</v>
      </c>
      <c r="G56" s="299" t="str">
        <v>-</v>
      </c>
      <c r="H56" s="299" t="str">
        <v>-</v>
      </c>
      <c r="I56" s="299" t="str">
        <v>-</v>
      </c>
      <c r="J56" s="299" t="str">
        <v>-</v>
      </c>
      <c r="K56" s="338" t="str">
        <v>International</v>
      </c>
      <c r="L56" s="299" t="str">
        <v>-</v>
      </c>
      <c r="M56" s="299" t="str">
        <v>-</v>
      </c>
      <c r="N56" s="299" t="str">
        <v>-</v>
      </c>
      <c r="O56" s="299" t="str">
        <v>-</v>
      </c>
      <c r="P56" s="338" t="str">
        <v>Border crossing</v>
      </c>
    </row>
    <row r="57" spans="3:31" ht="24">
      <c r="E57" s="299" t="str">
        <v>-</v>
      </c>
      <c r="F57" s="299" t="str">
        <v>-</v>
      </c>
      <c r="G57" s="338" t="str">
        <v>Of which 0-81 Km</v>
      </c>
      <c r="H57" s="338" t="str">
        <v>Of which 81-161 Km</v>
      </c>
      <c r="I57" s="338" t="str">
        <v>Of which 161-805 Km</v>
      </c>
      <c r="J57" s="338" t="str">
        <v>Of which &gt; 805 Km</v>
      </c>
      <c r="K57" s="299" t="str">
        <v>-</v>
      </c>
      <c r="L57" s="338" t="str">
        <v>Of which 0-81 Km</v>
      </c>
      <c r="M57" s="338" t="str">
        <v>Of which 81-161 Km</v>
      </c>
      <c r="N57" s="338" t="str">
        <v>Of which 161-805 Km</v>
      </c>
      <c r="O57" s="338" t="str">
        <v>Of which &gt; 805 Km</v>
      </c>
      <c r="P57" s="299" t="str">
        <v>-</v>
      </c>
    </row>
    <row r="58" spans="3:31">
      <c r="C58" s="106"/>
      <c r="D58" s="310" t="str">
        <f t="array" ref="D58:D95">LL.list</f>
        <v>64 kbps</v>
      </c>
      <c r="E58" s="341">
        <f t="array" ref="E58:E95">IF(Retail.leased.lines.selected=Retail.leased.lines.calculados.option,INDEX(LL.local.by.capacity.total,,MATCH(Year.selected-1,Years,0)),INDEX(LL.local.by.capacity.retail,,MATCH(Year.selected-1,Years,0)))</f>
        <v>20427.150000000001</v>
      </c>
      <c r="F58" s="319">
        <f>SUM(G58:J58)</f>
        <v>4766.8500000000004</v>
      </c>
      <c r="G58" s="341">
        <f t="array" ref="G58:G95">IF(Retail.leased.lines.selected=Retail.leased.lines.calculados.option,INDEX(LL.national.0.81.km.by.capacity.total,,MATCH(Year.selected-1,Years,0)),INDEX(LL.national.0.81.km.by.capacity.retail,,MATCH(Year.selected-1,Years,0)))</f>
        <v>2733.75</v>
      </c>
      <c r="H58" s="341">
        <f t="array" ref="H58:H95">IF(Retail.leased.lines.selected=Retail.leased.lines.calculados.option,INDEX(LL.national.81.161.km.by.capacity.total,,MATCH(Year.selected-1,Years,0)),INDEX(LL.national.81.161.km.by.capacity.retail,,MATCH(Year.selected-1,Years,0)))</f>
        <v>1450.8</v>
      </c>
      <c r="I58" s="341">
        <f t="array" ref="I58:I95">IF(Retail.leased.lines.selected=Retail.leased.lines.calculados.option,INDEX(LL.national.161.805.km.by.capacity.total,,MATCH(Year.selected-1,Years,0)),INDEX(LL.national.161.805.km.by.capacity.retail,,MATCH(Year.selected-1,Years,0)))</f>
        <v>531</v>
      </c>
      <c r="J58" s="341">
        <f t="array" ref="J58:J95">IF(Retail.leased.lines.selected=Retail.leased.lines.calculados.option,INDEX(LL.national.over.805.km.by.capacity.total,,MATCH(Year.selected-1,Years,0)),INDEX(LL.national.over.805.km.by.capacity.retail,,MATCH(Year.selected-1,Years,0)))</f>
        <v>51.3</v>
      </c>
      <c r="K58" s="342">
        <f t="array" ref="K58:K95">IF(Retail.leased.lines.selected=Retail.leased.lines.calculados.option,INDEX(LL.international.by.capacity.total,,MATCH(Year.selected-1,Years,0)),INDEX(LL.international.by.capacity.retail,,MATCH(Year.selected-1,Years,0)))</f>
        <v>16.329999999999998</v>
      </c>
      <c r="L58" s="341">
        <f t="array" ref="L58:O95">K58:K95*LL.international.distance.distribution.by.capacity.retail</f>
        <v>0.8165</v>
      </c>
      <c r="M58" s="341">
        <v>3.266</v>
      </c>
      <c r="N58" s="341">
        <v>4.0824999999999996</v>
      </c>
      <c r="O58" s="341">
        <v>8.1649999999999991</v>
      </c>
      <c r="P58" s="342">
        <f t="array" ref="P58:P95">IF(Retail.leased.lines.selected=Retail.leased.lines.calculados.option,INDEX(LL.border.crossing.by.capacity.total,,MATCH(Year.selected-1,Years,0)),INDEX(LL.border.crossing.by.capacity.retail,,MATCH(Year.selected-1,Years,0)))</f>
        <v>8.52</v>
      </c>
    </row>
    <row r="59" spans="3:31">
      <c r="C59" s="106"/>
      <c r="D59" s="310" t="str">
        <v>128 kbps</v>
      </c>
      <c r="E59" s="341">
        <v>11386.82</v>
      </c>
      <c r="F59" s="319">
        <f t="shared" ref="F59:F95" si="2">SUM(G59:J59)</f>
        <v>3080.37</v>
      </c>
      <c r="G59" s="341">
        <v>1880</v>
      </c>
      <c r="H59" s="341">
        <v>781.69</v>
      </c>
      <c r="I59" s="341">
        <v>398.52</v>
      </c>
      <c r="J59" s="341">
        <v>20.16</v>
      </c>
      <c r="K59" s="342">
        <v>2.61</v>
      </c>
      <c r="L59" s="341">
        <v>0.1305</v>
      </c>
      <c r="M59" s="341">
        <v>0.52200000000000002</v>
      </c>
      <c r="N59" s="341">
        <v>0.65249999999999997</v>
      </c>
      <c r="O59" s="341">
        <v>1.3049999999999999</v>
      </c>
      <c r="P59" s="342">
        <v>1.58</v>
      </c>
    </row>
    <row r="60" spans="3:31">
      <c r="C60" s="106"/>
      <c r="D60" s="310" t="str">
        <v>192 kbps</v>
      </c>
      <c r="E60" s="341">
        <v>1643.22</v>
      </c>
      <c r="F60" s="319">
        <f t="shared" si="2"/>
        <v>971.88000000000011</v>
      </c>
      <c r="G60" s="341">
        <v>632.22</v>
      </c>
      <c r="H60" s="341">
        <v>158.94999999999999</v>
      </c>
      <c r="I60" s="341">
        <v>141.94999999999999</v>
      </c>
      <c r="J60" s="341">
        <v>38.76</v>
      </c>
      <c r="K60" s="342">
        <v>0</v>
      </c>
      <c r="L60" s="341">
        <v>0</v>
      </c>
      <c r="M60" s="341">
        <v>0</v>
      </c>
      <c r="N60" s="341">
        <v>0</v>
      </c>
      <c r="O60" s="341">
        <v>0</v>
      </c>
      <c r="P60" s="342">
        <v>0</v>
      </c>
    </row>
    <row r="61" spans="3:31">
      <c r="C61" s="106"/>
      <c r="D61" s="310" t="str">
        <v>256 kbps</v>
      </c>
      <c r="E61" s="341">
        <v>6159.08</v>
      </c>
      <c r="F61" s="319">
        <f t="shared" si="2"/>
        <v>2607.6799999999998</v>
      </c>
      <c r="G61" s="341">
        <v>1797.7799999999997</v>
      </c>
      <c r="H61" s="341">
        <v>473.55</v>
      </c>
      <c r="I61" s="341">
        <v>318.2</v>
      </c>
      <c r="J61" s="341">
        <v>18.149999999999999</v>
      </c>
      <c r="K61" s="342">
        <v>7.4399999999999995</v>
      </c>
      <c r="L61" s="341">
        <v>0.372</v>
      </c>
      <c r="M61" s="341">
        <v>1.488</v>
      </c>
      <c r="N61" s="341">
        <v>1.8599999999999999</v>
      </c>
      <c r="O61" s="341">
        <v>3.7199999999999998</v>
      </c>
      <c r="P61" s="342">
        <v>5.75</v>
      </c>
    </row>
    <row r="62" spans="3:31">
      <c r="C62" s="106"/>
      <c r="D62" s="310" t="str">
        <v>384 kbps</v>
      </c>
      <c r="E62" s="341">
        <v>2411.2800000000002</v>
      </c>
      <c r="F62" s="319">
        <f t="shared" si="2"/>
        <v>1652.92</v>
      </c>
      <c r="G62" s="341">
        <v>1065.96</v>
      </c>
      <c r="H62" s="341">
        <v>368.52000000000004</v>
      </c>
      <c r="I62" s="341">
        <v>217.5</v>
      </c>
      <c r="J62" s="341">
        <v>0.94</v>
      </c>
      <c r="K62" s="342">
        <v>10.89</v>
      </c>
      <c r="L62" s="341">
        <v>0.5445000000000001</v>
      </c>
      <c r="M62" s="341">
        <v>2.1780000000000004</v>
      </c>
      <c r="N62" s="341">
        <v>2.7225000000000001</v>
      </c>
      <c r="O62" s="341">
        <v>5.4450000000000003</v>
      </c>
      <c r="P62" s="342">
        <v>0</v>
      </c>
    </row>
    <row r="63" spans="3:31">
      <c r="C63" s="106"/>
      <c r="D63" s="310" t="str">
        <v>512 kbps</v>
      </c>
      <c r="E63" s="341">
        <v>3874.3</v>
      </c>
      <c r="F63" s="319">
        <f t="shared" si="2"/>
        <v>1704.91</v>
      </c>
      <c r="G63" s="341">
        <v>817.29000000000008</v>
      </c>
      <c r="H63" s="341">
        <v>542.64</v>
      </c>
      <c r="I63" s="341">
        <v>343.75</v>
      </c>
      <c r="J63" s="341">
        <v>1.23</v>
      </c>
      <c r="K63" s="342">
        <v>9.7200000000000006</v>
      </c>
      <c r="L63" s="341">
        <v>0.48600000000000004</v>
      </c>
      <c r="M63" s="341">
        <v>1.9440000000000002</v>
      </c>
      <c r="N63" s="341">
        <v>2.4300000000000002</v>
      </c>
      <c r="O63" s="341">
        <v>4.8600000000000003</v>
      </c>
      <c r="P63" s="342">
        <v>3.3899999999999997</v>
      </c>
    </row>
    <row r="64" spans="3:31">
      <c r="C64" s="106"/>
      <c r="D64" s="310" t="str">
        <v>768 kbps</v>
      </c>
      <c r="E64" s="341">
        <v>793.43999999999994</v>
      </c>
      <c r="F64" s="319">
        <f t="shared" si="2"/>
        <v>385.23999999999995</v>
      </c>
      <c r="G64" s="341">
        <v>204.85</v>
      </c>
      <c r="H64" s="341">
        <v>84.48</v>
      </c>
      <c r="I64" s="341">
        <v>94.830000000000013</v>
      </c>
      <c r="J64" s="341">
        <v>1.08</v>
      </c>
      <c r="K64" s="342">
        <v>2.14</v>
      </c>
      <c r="L64" s="341">
        <v>0.10700000000000001</v>
      </c>
      <c r="M64" s="341">
        <v>0.42800000000000005</v>
      </c>
      <c r="N64" s="341">
        <v>0.53500000000000003</v>
      </c>
      <c r="O64" s="341">
        <v>1.07</v>
      </c>
      <c r="P64" s="342">
        <v>0.82</v>
      </c>
    </row>
    <row r="65" spans="3:16">
      <c r="C65" s="106"/>
      <c r="D65" s="310" t="str">
        <v>1024 kbps</v>
      </c>
      <c r="E65" s="341">
        <v>901</v>
      </c>
      <c r="F65" s="319">
        <f t="shared" si="2"/>
        <v>258.52000000000004</v>
      </c>
      <c r="G65" s="341">
        <v>137.94</v>
      </c>
      <c r="H65" s="341">
        <v>79.56</v>
      </c>
      <c r="I65" s="341">
        <v>39.42</v>
      </c>
      <c r="J65" s="341">
        <v>1.6</v>
      </c>
      <c r="K65" s="342">
        <v>4.3600000000000003</v>
      </c>
      <c r="L65" s="341">
        <v>0.21800000000000003</v>
      </c>
      <c r="M65" s="341">
        <v>0.87200000000000011</v>
      </c>
      <c r="N65" s="341">
        <v>1.0900000000000001</v>
      </c>
      <c r="O65" s="341">
        <v>2.1800000000000002</v>
      </c>
      <c r="P65" s="342">
        <v>0</v>
      </c>
    </row>
    <row r="66" spans="3:16">
      <c r="C66" s="106"/>
      <c r="D66" s="310" t="str">
        <v>E1 (2.04 Mbps)</v>
      </c>
      <c r="E66" s="341">
        <v>23803.200000000001</v>
      </c>
      <c r="F66" s="319">
        <f t="shared" si="2"/>
        <v>9424.77</v>
      </c>
      <c r="G66" s="341">
        <v>5417.9100000000008</v>
      </c>
      <c r="H66" s="341">
        <v>1963.08</v>
      </c>
      <c r="I66" s="341">
        <v>2019.3</v>
      </c>
      <c r="J66" s="341">
        <v>24.48</v>
      </c>
      <c r="K66" s="342">
        <v>137.5</v>
      </c>
      <c r="L66" s="341">
        <v>6.875</v>
      </c>
      <c r="M66" s="341">
        <v>27.5</v>
      </c>
      <c r="N66" s="341">
        <v>34.375</v>
      </c>
      <c r="O66" s="341">
        <v>68.75</v>
      </c>
      <c r="P66" s="342">
        <v>194.97</v>
      </c>
    </row>
    <row r="67" spans="3:16">
      <c r="C67" s="106"/>
      <c r="D67" s="310" t="str">
        <v>E2 *</v>
      </c>
      <c r="E67" s="341">
        <v>0</v>
      </c>
      <c r="F67" s="319">
        <f t="shared" si="2"/>
        <v>0</v>
      </c>
      <c r="G67" s="341">
        <v>0</v>
      </c>
      <c r="H67" s="341">
        <v>0</v>
      </c>
      <c r="I67" s="341">
        <v>0</v>
      </c>
      <c r="J67" s="341">
        <v>0</v>
      </c>
      <c r="K67" s="342">
        <v>0</v>
      </c>
      <c r="L67" s="341">
        <v>0</v>
      </c>
      <c r="M67" s="341">
        <v>0</v>
      </c>
      <c r="N67" s="341">
        <v>0</v>
      </c>
      <c r="O67" s="341">
        <v>0</v>
      </c>
      <c r="P67" s="342">
        <v>0</v>
      </c>
    </row>
    <row r="68" spans="3:16" s="299" customFormat="1">
      <c r="C68" s="316"/>
      <c r="D68" s="310" t="str">
        <v>E3 (34 Mbps)</v>
      </c>
      <c r="E68" s="341">
        <v>428.09000000000003</v>
      </c>
      <c r="F68" s="319">
        <f t="shared" si="2"/>
        <v>45.56</v>
      </c>
      <c r="G68" s="341">
        <v>24.5</v>
      </c>
      <c r="H68" s="341">
        <v>11.6</v>
      </c>
      <c r="I68" s="341">
        <v>8.3999999999999986</v>
      </c>
      <c r="J68" s="341">
        <v>1.06</v>
      </c>
      <c r="K68" s="342">
        <v>0</v>
      </c>
      <c r="L68" s="341">
        <v>0</v>
      </c>
      <c r="M68" s="341">
        <v>0</v>
      </c>
      <c r="N68" s="341">
        <v>0</v>
      </c>
      <c r="O68" s="341">
        <v>0</v>
      </c>
      <c r="P68" s="342">
        <v>0</v>
      </c>
    </row>
    <row r="69" spans="3:16" s="299" customFormat="1">
      <c r="C69" s="316"/>
      <c r="D69" s="310" t="str">
        <v>STM-1 (155 Mbps)</v>
      </c>
      <c r="E69" s="341">
        <v>285</v>
      </c>
      <c r="F69" s="319">
        <f t="shared" si="2"/>
        <v>29.94</v>
      </c>
      <c r="G69" s="341">
        <v>5.3000000000000007</v>
      </c>
      <c r="H69" s="341">
        <v>5.45</v>
      </c>
      <c r="I69" s="341">
        <v>19.190000000000001</v>
      </c>
      <c r="J69" s="341">
        <v>0</v>
      </c>
      <c r="K69" s="342">
        <v>2.0999999999999996</v>
      </c>
      <c r="L69" s="341">
        <v>0.10499999999999998</v>
      </c>
      <c r="M69" s="341">
        <v>0.41999999999999993</v>
      </c>
      <c r="N69" s="341">
        <v>0.52499999999999991</v>
      </c>
      <c r="O69" s="341">
        <v>1.0499999999999998</v>
      </c>
      <c r="P69" s="342">
        <v>0</v>
      </c>
    </row>
    <row r="70" spans="3:16" s="299" customFormat="1">
      <c r="C70" s="316"/>
      <c r="D70" s="310" t="str">
        <v>STM-4 (622.08 Mbps)</v>
      </c>
      <c r="E70" s="341">
        <v>1.56</v>
      </c>
      <c r="F70" s="319">
        <f t="shared" si="2"/>
        <v>2.36</v>
      </c>
      <c r="G70" s="341">
        <v>2.36</v>
      </c>
      <c r="H70" s="341">
        <v>0</v>
      </c>
      <c r="I70" s="341">
        <v>0</v>
      </c>
      <c r="J70" s="341">
        <v>0</v>
      </c>
      <c r="K70" s="342">
        <v>0.78</v>
      </c>
      <c r="L70" s="341">
        <v>3.9000000000000007E-2</v>
      </c>
      <c r="M70" s="341">
        <v>0.15600000000000003</v>
      </c>
      <c r="N70" s="341">
        <v>0.19500000000000001</v>
      </c>
      <c r="O70" s="341">
        <v>0.39</v>
      </c>
      <c r="P70" s="342">
        <v>0</v>
      </c>
    </row>
    <row r="71" spans="3:16" s="299" customFormat="1">
      <c r="C71" s="316"/>
      <c r="D71" s="310" t="str">
        <v>STM-16 (2488.32Mbps)</v>
      </c>
      <c r="E71" s="341">
        <v>1.07</v>
      </c>
      <c r="F71" s="319">
        <f t="shared" si="2"/>
        <v>0</v>
      </c>
      <c r="G71" s="341">
        <v>0</v>
      </c>
      <c r="H71" s="341">
        <v>0</v>
      </c>
      <c r="I71" s="341">
        <v>0</v>
      </c>
      <c r="J71" s="341">
        <v>0</v>
      </c>
      <c r="K71" s="342">
        <v>2.92</v>
      </c>
      <c r="L71" s="341">
        <v>0.14599999999999999</v>
      </c>
      <c r="M71" s="341">
        <v>0.58399999999999996</v>
      </c>
      <c r="N71" s="341">
        <v>0.73</v>
      </c>
      <c r="O71" s="341">
        <v>1.46</v>
      </c>
      <c r="P71" s="342">
        <v>0</v>
      </c>
    </row>
    <row r="72" spans="3:16" s="299" customFormat="1">
      <c r="C72" s="316"/>
      <c r="D72" s="310" t="str">
        <v>STM-64 (9953.28Mbps)</v>
      </c>
      <c r="E72" s="341">
        <v>0</v>
      </c>
      <c r="F72" s="319">
        <f t="shared" si="2"/>
        <v>0</v>
      </c>
      <c r="G72" s="341">
        <v>0</v>
      </c>
      <c r="H72" s="341">
        <v>0</v>
      </c>
      <c r="I72" s="341">
        <v>0</v>
      </c>
      <c r="J72" s="341">
        <v>0</v>
      </c>
      <c r="K72" s="342">
        <v>0</v>
      </c>
      <c r="L72" s="341">
        <v>0</v>
      </c>
      <c r="M72" s="341">
        <v>0</v>
      </c>
      <c r="N72" s="341">
        <v>0</v>
      </c>
      <c r="O72" s="341">
        <v>0</v>
      </c>
      <c r="P72" s="342">
        <v>0</v>
      </c>
    </row>
    <row r="73" spans="3:16" s="299" customFormat="1">
      <c r="C73" s="316"/>
      <c r="D73" s="310" t="str">
        <v>STM-256 (39813.12 Mbps)*</v>
      </c>
      <c r="E73" s="341">
        <v>0</v>
      </c>
      <c r="F73" s="319">
        <f t="shared" si="2"/>
        <v>0</v>
      </c>
      <c r="G73" s="341">
        <v>0</v>
      </c>
      <c r="H73" s="341">
        <v>0</v>
      </c>
      <c r="I73" s="341">
        <v>0</v>
      </c>
      <c r="J73" s="341">
        <v>0</v>
      </c>
      <c r="K73" s="342">
        <v>0</v>
      </c>
      <c r="L73" s="341">
        <v>0</v>
      </c>
      <c r="M73" s="341">
        <v>0</v>
      </c>
      <c r="N73" s="341">
        <v>0</v>
      </c>
      <c r="O73" s="341">
        <v>0</v>
      </c>
      <c r="P73" s="342">
        <v>0</v>
      </c>
    </row>
    <row r="74" spans="3:16" s="299" customFormat="1">
      <c r="C74" s="316"/>
      <c r="D74" s="310" t="str">
        <v>Ethernet (10Mbps)</v>
      </c>
      <c r="E74" s="341">
        <v>961.28</v>
      </c>
      <c r="F74" s="319">
        <f t="shared" si="2"/>
        <v>140.70999999999998</v>
      </c>
      <c r="G74" s="341">
        <v>57.04</v>
      </c>
      <c r="H74" s="341">
        <v>41.28</v>
      </c>
      <c r="I74" s="341">
        <v>40.89</v>
      </c>
      <c r="J74" s="341">
        <v>1.5</v>
      </c>
      <c r="K74" s="342">
        <v>0</v>
      </c>
      <c r="L74" s="341">
        <v>0</v>
      </c>
      <c r="M74" s="341">
        <v>0</v>
      </c>
      <c r="N74" s="341">
        <v>0</v>
      </c>
      <c r="O74" s="341">
        <v>0</v>
      </c>
      <c r="P74" s="342">
        <v>0</v>
      </c>
    </row>
    <row r="75" spans="3:16" s="299" customFormat="1">
      <c r="C75" s="316"/>
      <c r="D75" s="310" t="str">
        <v>Ethernet (20Mbps)</v>
      </c>
      <c r="E75" s="341">
        <v>327.45000000000005</v>
      </c>
      <c r="F75" s="319">
        <f t="shared" si="2"/>
        <v>38.989999999999995</v>
      </c>
      <c r="G75" s="341">
        <v>17.399999999999999</v>
      </c>
      <c r="H75" s="341">
        <v>6.09</v>
      </c>
      <c r="I75" s="341">
        <v>10.45</v>
      </c>
      <c r="J75" s="341">
        <v>5.05</v>
      </c>
      <c r="K75" s="342">
        <v>0</v>
      </c>
      <c r="L75" s="341">
        <v>0</v>
      </c>
      <c r="M75" s="341">
        <v>0</v>
      </c>
      <c r="N75" s="341">
        <v>0</v>
      </c>
      <c r="O75" s="341">
        <v>0</v>
      </c>
      <c r="P75" s="342">
        <v>0</v>
      </c>
    </row>
    <row r="76" spans="3:16" s="299" customFormat="1">
      <c r="C76" s="316"/>
      <c r="D76" s="310" t="str">
        <v>Ethernet (30Mbps)</v>
      </c>
      <c r="E76" s="341">
        <v>141.44999999999999</v>
      </c>
      <c r="F76" s="319">
        <f t="shared" si="2"/>
        <v>23.68</v>
      </c>
      <c r="G76" s="341">
        <v>7.28</v>
      </c>
      <c r="H76" s="341">
        <v>6</v>
      </c>
      <c r="I76" s="341">
        <v>10.4</v>
      </c>
      <c r="J76" s="341">
        <v>0</v>
      </c>
      <c r="K76" s="342">
        <v>0</v>
      </c>
      <c r="L76" s="341">
        <v>0</v>
      </c>
      <c r="M76" s="341">
        <v>0</v>
      </c>
      <c r="N76" s="341">
        <v>0</v>
      </c>
      <c r="O76" s="341">
        <v>0</v>
      </c>
      <c r="P76" s="342">
        <v>0</v>
      </c>
    </row>
    <row r="77" spans="3:16" s="299" customFormat="1">
      <c r="C77" s="316"/>
      <c r="D77" s="310" t="str">
        <v>Ethernet (40Mbps)</v>
      </c>
      <c r="E77" s="341">
        <v>46.980000000000004</v>
      </c>
      <c r="F77" s="319">
        <f t="shared" si="2"/>
        <v>14.65</v>
      </c>
      <c r="G77" s="341">
        <v>3.8</v>
      </c>
      <c r="H77" s="341">
        <v>5.45</v>
      </c>
      <c r="I77" s="341">
        <v>5.4</v>
      </c>
      <c r="J77" s="341">
        <v>0</v>
      </c>
      <c r="K77" s="342">
        <v>0</v>
      </c>
      <c r="L77" s="341">
        <v>0</v>
      </c>
      <c r="M77" s="341">
        <v>0</v>
      </c>
      <c r="N77" s="341">
        <v>0</v>
      </c>
      <c r="O77" s="341">
        <v>0</v>
      </c>
      <c r="P77" s="342">
        <v>0</v>
      </c>
    </row>
    <row r="78" spans="3:16" s="299" customFormat="1">
      <c r="C78" s="316"/>
      <c r="D78" s="310" t="str">
        <v>Ethernet (50Mbps)</v>
      </c>
      <c r="E78" s="341">
        <v>72.800000000000011</v>
      </c>
      <c r="F78" s="319">
        <f t="shared" si="2"/>
        <v>31.98</v>
      </c>
      <c r="G78" s="341">
        <v>3.09</v>
      </c>
      <c r="H78" s="341">
        <v>2.16</v>
      </c>
      <c r="I78" s="341">
        <v>26.73</v>
      </c>
      <c r="J78" s="341">
        <v>0</v>
      </c>
      <c r="K78" s="342">
        <v>0</v>
      </c>
      <c r="L78" s="341">
        <v>0</v>
      </c>
      <c r="M78" s="341">
        <v>0</v>
      </c>
      <c r="N78" s="341">
        <v>0</v>
      </c>
      <c r="O78" s="341">
        <v>0</v>
      </c>
      <c r="P78" s="342">
        <v>0</v>
      </c>
    </row>
    <row r="79" spans="3:16" s="299" customFormat="1">
      <c r="C79" s="316"/>
      <c r="D79" s="310" t="str">
        <v>Ethernet (60Mbps)</v>
      </c>
      <c r="E79" s="341">
        <v>11.52</v>
      </c>
      <c r="F79" s="319">
        <f t="shared" si="2"/>
        <v>5.84</v>
      </c>
      <c r="G79" s="341">
        <v>2.56</v>
      </c>
      <c r="H79" s="341">
        <v>1.28</v>
      </c>
      <c r="I79" s="341">
        <v>2</v>
      </c>
      <c r="J79" s="341">
        <v>0</v>
      </c>
      <c r="K79" s="342">
        <v>0</v>
      </c>
      <c r="L79" s="341">
        <v>0</v>
      </c>
      <c r="M79" s="341">
        <v>0</v>
      </c>
      <c r="N79" s="341">
        <v>0</v>
      </c>
      <c r="O79" s="341">
        <v>0</v>
      </c>
      <c r="P79" s="342">
        <v>0</v>
      </c>
    </row>
    <row r="80" spans="3:16" s="299" customFormat="1">
      <c r="C80" s="316"/>
      <c r="D80" s="310" t="str">
        <v>Ethernet (70Mbps)</v>
      </c>
      <c r="E80" s="341">
        <v>9.24</v>
      </c>
      <c r="F80" s="319">
        <f t="shared" si="2"/>
        <v>2.27</v>
      </c>
      <c r="G80" s="341">
        <v>1.23</v>
      </c>
      <c r="H80" s="341">
        <v>1.04</v>
      </c>
      <c r="I80" s="341">
        <v>0</v>
      </c>
      <c r="J80" s="341">
        <v>0</v>
      </c>
      <c r="K80" s="342">
        <v>0</v>
      </c>
      <c r="L80" s="341">
        <v>0</v>
      </c>
      <c r="M80" s="341">
        <v>0</v>
      </c>
      <c r="N80" s="341">
        <v>0</v>
      </c>
      <c r="O80" s="341">
        <v>0</v>
      </c>
      <c r="P80" s="342">
        <v>0</v>
      </c>
    </row>
    <row r="81" spans="3:16" s="299" customFormat="1">
      <c r="C81" s="316"/>
      <c r="D81" s="310" t="str">
        <v>Ethernet (80Mbps)</v>
      </c>
      <c r="E81" s="341">
        <v>7.74</v>
      </c>
      <c r="F81" s="319">
        <f t="shared" si="2"/>
        <v>0.83</v>
      </c>
      <c r="G81" s="341">
        <v>0.83</v>
      </c>
      <c r="H81" s="341">
        <v>0</v>
      </c>
      <c r="I81" s="341">
        <v>0</v>
      </c>
      <c r="J81" s="341">
        <v>0</v>
      </c>
      <c r="K81" s="342">
        <v>0</v>
      </c>
      <c r="L81" s="341">
        <v>0</v>
      </c>
      <c r="M81" s="341">
        <v>0</v>
      </c>
      <c r="N81" s="341">
        <v>0</v>
      </c>
      <c r="O81" s="341">
        <v>0</v>
      </c>
      <c r="P81" s="342">
        <v>0</v>
      </c>
    </row>
    <row r="82" spans="3:16" s="299" customFormat="1">
      <c r="C82" s="316"/>
      <c r="D82" s="310" t="str">
        <v>Ethernet (90Mbps)</v>
      </c>
      <c r="E82" s="341">
        <v>1.48</v>
      </c>
      <c r="F82" s="319">
        <f t="shared" si="2"/>
        <v>0</v>
      </c>
      <c r="G82" s="341">
        <v>0</v>
      </c>
      <c r="H82" s="341">
        <v>0</v>
      </c>
      <c r="I82" s="341">
        <v>0</v>
      </c>
      <c r="J82" s="341">
        <v>0</v>
      </c>
      <c r="K82" s="342">
        <v>0</v>
      </c>
      <c r="L82" s="341">
        <v>0</v>
      </c>
      <c r="M82" s="341">
        <v>0</v>
      </c>
      <c r="N82" s="341">
        <v>0</v>
      </c>
      <c r="O82" s="341">
        <v>0</v>
      </c>
      <c r="P82" s="342">
        <v>0</v>
      </c>
    </row>
    <row r="83" spans="3:16" s="299" customFormat="1">
      <c r="C83" s="316"/>
      <c r="D83" s="310" t="str">
        <v>GigaEthernet (100Mbps)</v>
      </c>
      <c r="E83" s="341">
        <v>90.399999999999991</v>
      </c>
      <c r="F83" s="319">
        <f t="shared" si="2"/>
        <v>37.370000000000005</v>
      </c>
      <c r="G83" s="341">
        <v>11.850000000000001</v>
      </c>
      <c r="H83" s="341">
        <v>3.72</v>
      </c>
      <c r="I83" s="341">
        <v>21.8</v>
      </c>
      <c r="J83" s="341">
        <v>0</v>
      </c>
      <c r="K83" s="342">
        <v>0</v>
      </c>
      <c r="L83" s="341">
        <v>0</v>
      </c>
      <c r="M83" s="341">
        <v>0</v>
      </c>
      <c r="N83" s="341">
        <v>0</v>
      </c>
      <c r="O83" s="341">
        <v>0</v>
      </c>
      <c r="P83" s="342">
        <v>0</v>
      </c>
    </row>
    <row r="84" spans="3:16" s="299" customFormat="1">
      <c r="C84" s="316"/>
      <c r="D84" s="310" t="str">
        <v>GigaEthernet (150Mbps)</v>
      </c>
      <c r="E84" s="341">
        <v>27.810000000000002</v>
      </c>
      <c r="F84" s="319">
        <f t="shared" si="2"/>
        <v>4.8</v>
      </c>
      <c r="G84" s="341">
        <v>0</v>
      </c>
      <c r="H84" s="341">
        <v>4.8</v>
      </c>
      <c r="I84" s="341">
        <v>0</v>
      </c>
      <c r="J84" s="341">
        <v>0</v>
      </c>
      <c r="K84" s="342">
        <v>0</v>
      </c>
      <c r="L84" s="341">
        <v>0</v>
      </c>
      <c r="M84" s="341">
        <v>0</v>
      </c>
      <c r="N84" s="341">
        <v>0</v>
      </c>
      <c r="O84" s="341">
        <v>0</v>
      </c>
      <c r="P84" s="342">
        <v>0</v>
      </c>
    </row>
    <row r="85" spans="3:16" s="299" customFormat="1">
      <c r="C85" s="316"/>
      <c r="D85" s="310" t="str">
        <v>GigaEthernet (200Mbps)</v>
      </c>
      <c r="E85" s="341">
        <v>17.849999999999998</v>
      </c>
      <c r="F85" s="319">
        <f t="shared" si="2"/>
        <v>3.46</v>
      </c>
      <c r="G85" s="341">
        <v>0.92</v>
      </c>
      <c r="H85" s="341">
        <v>0</v>
      </c>
      <c r="I85" s="341">
        <v>2.54</v>
      </c>
      <c r="J85" s="341">
        <v>0</v>
      </c>
      <c r="K85" s="342">
        <v>0</v>
      </c>
      <c r="L85" s="341">
        <v>0</v>
      </c>
      <c r="M85" s="341">
        <v>0</v>
      </c>
      <c r="N85" s="341">
        <v>0</v>
      </c>
      <c r="O85" s="341">
        <v>0</v>
      </c>
      <c r="P85" s="342">
        <v>0</v>
      </c>
    </row>
    <row r="86" spans="3:16" s="299" customFormat="1">
      <c r="C86" s="316"/>
      <c r="D86" s="310" t="str">
        <v>GigaEthernet (250Mbps)</v>
      </c>
      <c r="E86" s="341">
        <v>0</v>
      </c>
      <c r="F86" s="319">
        <f t="shared" si="2"/>
        <v>0</v>
      </c>
      <c r="G86" s="341">
        <v>0</v>
      </c>
      <c r="H86" s="341">
        <v>0</v>
      </c>
      <c r="I86" s="341">
        <v>0</v>
      </c>
      <c r="J86" s="341">
        <v>0</v>
      </c>
      <c r="K86" s="342">
        <v>0</v>
      </c>
      <c r="L86" s="341">
        <v>0</v>
      </c>
      <c r="M86" s="341">
        <v>0</v>
      </c>
      <c r="N86" s="341">
        <v>0</v>
      </c>
      <c r="O86" s="341">
        <v>0</v>
      </c>
      <c r="P86" s="342">
        <v>0</v>
      </c>
    </row>
    <row r="87" spans="3:16" s="299" customFormat="1">
      <c r="C87" s="316"/>
      <c r="D87" s="310" t="str">
        <v>GigaEthernet (300Mbps)</v>
      </c>
      <c r="E87" s="341">
        <v>1.6</v>
      </c>
      <c r="F87" s="319">
        <f t="shared" si="2"/>
        <v>1.04</v>
      </c>
      <c r="G87" s="341">
        <v>1.04</v>
      </c>
      <c r="H87" s="341">
        <v>0</v>
      </c>
      <c r="I87" s="341">
        <v>0</v>
      </c>
      <c r="J87" s="341">
        <v>0</v>
      </c>
      <c r="K87" s="342">
        <v>0</v>
      </c>
      <c r="L87" s="341">
        <v>0</v>
      </c>
      <c r="M87" s="341">
        <v>0</v>
      </c>
      <c r="N87" s="341">
        <v>0</v>
      </c>
      <c r="O87" s="341">
        <v>0</v>
      </c>
      <c r="P87" s="342">
        <v>0</v>
      </c>
    </row>
    <row r="88" spans="3:16" s="299" customFormat="1">
      <c r="C88" s="316"/>
      <c r="D88" s="310" t="str">
        <v>GigaEthernet (350Mbps)</v>
      </c>
      <c r="E88" s="341">
        <v>0</v>
      </c>
      <c r="F88" s="319">
        <f t="shared" si="2"/>
        <v>0</v>
      </c>
      <c r="G88" s="341">
        <v>0</v>
      </c>
      <c r="H88" s="341">
        <v>0</v>
      </c>
      <c r="I88" s="341">
        <v>0</v>
      </c>
      <c r="J88" s="341">
        <v>0</v>
      </c>
      <c r="K88" s="342">
        <v>0</v>
      </c>
      <c r="L88" s="341">
        <v>0</v>
      </c>
      <c r="M88" s="341">
        <v>0</v>
      </c>
      <c r="N88" s="341">
        <v>0</v>
      </c>
      <c r="O88" s="341">
        <v>0</v>
      </c>
      <c r="P88" s="342">
        <v>0</v>
      </c>
    </row>
    <row r="89" spans="3:16" s="299" customFormat="1">
      <c r="C89" s="316"/>
      <c r="D89" s="310" t="str">
        <v>GigaEthernet (400Mbps)</v>
      </c>
      <c r="E89" s="341">
        <v>0</v>
      </c>
      <c r="F89" s="319">
        <f t="shared" si="2"/>
        <v>1.72</v>
      </c>
      <c r="G89" s="341">
        <v>0</v>
      </c>
      <c r="H89" s="341">
        <v>0</v>
      </c>
      <c r="I89" s="341">
        <v>1.72</v>
      </c>
      <c r="J89" s="341">
        <v>0</v>
      </c>
      <c r="K89" s="342">
        <v>0</v>
      </c>
      <c r="L89" s="341">
        <v>0</v>
      </c>
      <c r="M89" s="341">
        <v>0</v>
      </c>
      <c r="N89" s="341">
        <v>0</v>
      </c>
      <c r="O89" s="341">
        <v>0</v>
      </c>
      <c r="P89" s="342">
        <v>0</v>
      </c>
    </row>
    <row r="90" spans="3:16" s="299" customFormat="1">
      <c r="C90" s="316"/>
      <c r="D90" s="310" t="str">
        <v>GigaEthernet (450Mbps)</v>
      </c>
      <c r="E90" s="341">
        <v>0</v>
      </c>
      <c r="F90" s="319">
        <f t="shared" si="2"/>
        <v>0</v>
      </c>
      <c r="G90" s="341">
        <v>0</v>
      </c>
      <c r="H90" s="341">
        <v>0</v>
      </c>
      <c r="I90" s="341">
        <v>0</v>
      </c>
      <c r="J90" s="341">
        <v>0</v>
      </c>
      <c r="K90" s="342">
        <v>0</v>
      </c>
      <c r="L90" s="341">
        <v>0</v>
      </c>
      <c r="M90" s="341">
        <v>0</v>
      </c>
      <c r="N90" s="341">
        <v>0</v>
      </c>
      <c r="O90" s="341">
        <v>0</v>
      </c>
      <c r="P90" s="342">
        <v>0</v>
      </c>
    </row>
    <row r="91" spans="3:16" s="299" customFormat="1">
      <c r="C91" s="316"/>
      <c r="D91" s="310" t="str">
        <v>GigaEthernet (500Mbps)</v>
      </c>
      <c r="E91" s="341">
        <v>2.5499999999999998</v>
      </c>
      <c r="F91" s="319">
        <f t="shared" si="2"/>
        <v>0</v>
      </c>
      <c r="G91" s="341">
        <v>0</v>
      </c>
      <c r="H91" s="341">
        <v>0</v>
      </c>
      <c r="I91" s="341">
        <v>0</v>
      </c>
      <c r="J91" s="341">
        <v>0</v>
      </c>
      <c r="K91" s="342">
        <v>0</v>
      </c>
      <c r="L91" s="341">
        <v>0</v>
      </c>
      <c r="M91" s="341">
        <v>0</v>
      </c>
      <c r="N91" s="341">
        <v>0</v>
      </c>
      <c r="O91" s="341">
        <v>0</v>
      </c>
      <c r="P91" s="342">
        <v>0</v>
      </c>
    </row>
    <row r="92" spans="3:16" s="299" customFormat="1">
      <c r="C92" s="316"/>
      <c r="D92" s="310" t="str">
        <v>GigaEthernet (550Mbps)</v>
      </c>
      <c r="E92" s="341">
        <v>0</v>
      </c>
      <c r="F92" s="319">
        <f t="shared" si="2"/>
        <v>0</v>
      </c>
      <c r="G92" s="341">
        <v>0</v>
      </c>
      <c r="H92" s="341">
        <v>0</v>
      </c>
      <c r="I92" s="341">
        <v>0</v>
      </c>
      <c r="J92" s="341">
        <v>0</v>
      </c>
      <c r="K92" s="342">
        <v>0</v>
      </c>
      <c r="L92" s="341">
        <v>0</v>
      </c>
      <c r="M92" s="341">
        <v>0</v>
      </c>
      <c r="N92" s="341">
        <v>0</v>
      </c>
      <c r="O92" s="341">
        <v>0</v>
      </c>
      <c r="P92" s="342">
        <v>0</v>
      </c>
    </row>
    <row r="93" spans="3:16" s="299" customFormat="1">
      <c r="C93" s="316"/>
      <c r="D93" s="310" t="str">
        <v>GigaEthernet (600Mbps)</v>
      </c>
      <c r="E93" s="341">
        <v>0</v>
      </c>
      <c r="F93" s="319">
        <f t="shared" si="2"/>
        <v>0</v>
      </c>
      <c r="G93" s="341">
        <v>0</v>
      </c>
      <c r="H93" s="341">
        <v>0</v>
      </c>
      <c r="I93" s="341">
        <v>0</v>
      </c>
      <c r="J93" s="341">
        <v>0</v>
      </c>
      <c r="K93" s="342">
        <v>0</v>
      </c>
      <c r="L93" s="341">
        <v>0</v>
      </c>
      <c r="M93" s="341">
        <v>0</v>
      </c>
      <c r="N93" s="341">
        <v>0</v>
      </c>
      <c r="O93" s="341">
        <v>0</v>
      </c>
      <c r="P93" s="342">
        <v>0</v>
      </c>
    </row>
    <row r="94" spans="3:16" s="299" customFormat="1">
      <c r="C94" s="316"/>
      <c r="D94" s="310" t="str">
        <v>GigaEthernet (750Mbps)</v>
      </c>
      <c r="E94" s="341">
        <v>0</v>
      </c>
      <c r="F94" s="319">
        <f t="shared" si="2"/>
        <v>1.28</v>
      </c>
      <c r="G94" s="341">
        <v>0</v>
      </c>
      <c r="H94" s="341">
        <v>0</v>
      </c>
      <c r="I94" s="341">
        <v>1.28</v>
      </c>
      <c r="J94" s="341">
        <v>0</v>
      </c>
      <c r="K94" s="342">
        <v>0</v>
      </c>
      <c r="L94" s="341">
        <v>0</v>
      </c>
      <c r="M94" s="341">
        <v>0</v>
      </c>
      <c r="N94" s="341">
        <v>0</v>
      </c>
      <c r="O94" s="341">
        <v>0</v>
      </c>
      <c r="P94" s="342">
        <v>0</v>
      </c>
    </row>
    <row r="95" spans="3:16" s="299" customFormat="1">
      <c r="C95" s="316"/>
      <c r="D95" s="310" t="str">
        <v>GigaEthernet (1 Gbps)</v>
      </c>
      <c r="E95" s="341">
        <v>11.57</v>
      </c>
      <c r="F95" s="319">
        <f t="shared" si="2"/>
        <v>0</v>
      </c>
      <c r="G95" s="341">
        <v>0</v>
      </c>
      <c r="H95" s="341">
        <v>0</v>
      </c>
      <c r="I95" s="341">
        <v>0</v>
      </c>
      <c r="J95" s="341">
        <v>0</v>
      </c>
      <c r="K95" s="342">
        <v>0</v>
      </c>
      <c r="L95" s="341">
        <v>0</v>
      </c>
      <c r="M95" s="341">
        <v>0</v>
      </c>
      <c r="N95" s="341">
        <v>0</v>
      </c>
      <c r="O95" s="341">
        <v>0</v>
      </c>
      <c r="P95" s="342">
        <v>0</v>
      </c>
    </row>
    <row r="96" spans="3:16">
      <c r="C96" s="106"/>
      <c r="D96" s="106"/>
      <c r="E96" s="337">
        <f>SUM(E58:E95)</f>
        <v>73846.930000000022</v>
      </c>
      <c r="F96" s="337">
        <f t="shared" ref="F96" si="3">SUM(F58:F95)</f>
        <v>25239.620000000003</v>
      </c>
      <c r="G96" s="337">
        <f t="shared" ref="G96" si="4">SUM(G58:G95)</f>
        <v>14826.900000000001</v>
      </c>
      <c r="H96" s="337">
        <f t="shared" ref="H96" si="5">SUM(H58:H95)</f>
        <v>5992.1399999999994</v>
      </c>
      <c r="I96" s="337">
        <f t="shared" ref="I96" si="6">SUM(I58:I95)</f>
        <v>4255.2699999999986</v>
      </c>
      <c r="J96" s="337">
        <f t="shared" ref="J96" si="7">SUM(J58:J95)</f>
        <v>165.31</v>
      </c>
      <c r="K96" s="337">
        <f t="shared" ref="K96" si="8">SUM(K58:K95)</f>
        <v>196.79</v>
      </c>
      <c r="L96" s="337">
        <f t="shared" ref="L96" si="9">SUM(L58:L95)</f>
        <v>9.839500000000001</v>
      </c>
      <c r="M96" s="337">
        <f t="shared" ref="M96" si="10">SUM(M58:M95)</f>
        <v>39.358000000000004</v>
      </c>
      <c r="N96" s="337">
        <f t="shared" ref="N96" si="11">SUM(N58:N95)</f>
        <v>49.197499999999998</v>
      </c>
      <c r="O96" s="337">
        <f t="shared" ref="O96:P96" si="12">SUM(O58:O95)</f>
        <v>98.394999999999996</v>
      </c>
      <c r="P96" s="337">
        <f t="shared" si="12"/>
        <v>215.03</v>
      </c>
    </row>
    <row r="97" spans="3:31">
      <c r="C97" s="106"/>
      <c r="D97" s="106"/>
      <c r="E97"/>
      <c r="F97"/>
      <c r="G97"/>
      <c r="H97"/>
      <c r="I97"/>
      <c r="J97"/>
      <c r="K97"/>
      <c r="L97"/>
      <c r="M97"/>
      <c r="N97"/>
      <c r="O97"/>
    </row>
    <row r="98" spans="3:31" s="299" customFormat="1">
      <c r="C98" s="316"/>
      <c r="D98" s="316"/>
    </row>
    <row r="99" spans="3:31" s="227" customFormat="1" ht="24">
      <c r="C99" s="220" t="s">
        <v>245</v>
      </c>
      <c r="D99" s="230"/>
      <c r="E99" s="338" t="str">
        <f t="array" ref="E99:P100">Enlaces.decidados.tipos.categorías</f>
        <v>Local</v>
      </c>
      <c r="F99" s="338" t="str">
        <v>Nacional</v>
      </c>
      <c r="G99" s="299" t="str">
        <v>-</v>
      </c>
      <c r="H99" s="299" t="str">
        <v>-</v>
      </c>
      <c r="I99" s="299" t="str">
        <v>-</v>
      </c>
      <c r="J99" s="299" t="str">
        <v>-</v>
      </c>
      <c r="K99" s="338" t="str">
        <v>Internacional</v>
      </c>
      <c r="L99" s="299" t="str">
        <v>-</v>
      </c>
      <c r="M99" s="299" t="str">
        <v>-</v>
      </c>
      <c r="N99" s="299" t="str">
        <v>-</v>
      </c>
      <c r="O99" s="299" t="str">
        <v>-</v>
      </c>
      <c r="P99" s="338" t="str">
        <v>Cruce fronterizo</v>
      </c>
      <c r="AC99" s="299"/>
      <c r="AD99" s="299"/>
      <c r="AE99" s="299"/>
    </row>
    <row r="100" spans="3:31" s="227" customFormat="1" ht="24">
      <c r="C100" s="147" t="s">
        <v>121</v>
      </c>
      <c r="D100" s="230"/>
      <c r="E100" s="299" t="str">
        <v>-</v>
      </c>
      <c r="F100" s="299" t="str">
        <v>-</v>
      </c>
      <c r="G100" s="338" t="str">
        <v>De los cuales 0-81 km</v>
      </c>
      <c r="H100" s="338" t="str">
        <v>De los cuales 81-161 km</v>
      </c>
      <c r="I100" s="338" t="str">
        <v>De los cuales 161-805 km</v>
      </c>
      <c r="J100" s="338" t="str">
        <v>De los cuales  &gt; 805 km</v>
      </c>
      <c r="K100" s="299" t="str">
        <v>-</v>
      </c>
      <c r="L100" s="338" t="str">
        <v>De los cuales 0-81 km</v>
      </c>
      <c r="M100" s="338" t="str">
        <v>De los cuales  81-161 km</v>
      </c>
      <c r="N100" s="338" t="str">
        <v>De los cuales 161-805 km</v>
      </c>
      <c r="O100" s="338" t="str">
        <v>De los cuales  &gt; 805 km</v>
      </c>
      <c r="P100" s="299" t="str">
        <v>-</v>
      </c>
      <c r="AC100" s="299"/>
      <c r="AD100" s="299"/>
      <c r="AE100" s="299"/>
    </row>
    <row r="101" spans="3:31" ht="24">
      <c r="D101" s="106"/>
      <c r="E101" s="338" t="str">
        <f t="array" ref="E101:P102">LL.type.categories</f>
        <v>Local</v>
      </c>
      <c r="F101" s="338" t="str">
        <v>National</v>
      </c>
      <c r="G101" s="299" t="str">
        <v>-</v>
      </c>
      <c r="H101" s="299" t="str">
        <v>-</v>
      </c>
      <c r="I101" s="299" t="str">
        <v>-</v>
      </c>
      <c r="J101" s="299" t="str">
        <v>-</v>
      </c>
      <c r="K101" s="338" t="str">
        <v>International</v>
      </c>
      <c r="L101" s="299" t="str">
        <v>-</v>
      </c>
      <c r="M101" s="299" t="str">
        <v>-</v>
      </c>
      <c r="N101" s="299" t="str">
        <v>-</v>
      </c>
      <c r="O101" s="299" t="str">
        <v>-</v>
      </c>
      <c r="P101" s="338" t="str">
        <v>Border crossing</v>
      </c>
    </row>
    <row r="102" spans="3:31" ht="24">
      <c r="E102" s="299" t="str">
        <v>-</v>
      </c>
      <c r="F102" s="299" t="str">
        <v>-</v>
      </c>
      <c r="G102" s="338" t="str">
        <v>Of which 0-81 Km</v>
      </c>
      <c r="H102" s="338" t="str">
        <v>Of which 81-161 Km</v>
      </c>
      <c r="I102" s="338" t="str">
        <v>Of which 161-805 Km</v>
      </c>
      <c r="J102" s="338" t="str">
        <v>Of which &gt; 805 Km</v>
      </c>
      <c r="K102" s="299" t="str">
        <v>-</v>
      </c>
      <c r="L102" s="338" t="str">
        <v>Of which 0-81 Km</v>
      </c>
      <c r="M102" s="338" t="str">
        <v>Of which 81-161 Km</v>
      </c>
      <c r="N102" s="338" t="str">
        <v>Of which 161-805 Km</v>
      </c>
      <c r="O102" s="338" t="str">
        <v>Of which &gt; 805 Km</v>
      </c>
      <c r="P102" s="299" t="str">
        <v>-</v>
      </c>
    </row>
    <row r="103" spans="3:31">
      <c r="C103" s="106"/>
      <c r="D103" s="310" t="str">
        <f t="array" ref="D103:D140">LL.list</f>
        <v>64 kbps</v>
      </c>
      <c r="E103" s="341">
        <f>AVERAGE(E13,E58)</f>
        <v>17506.725000000002</v>
      </c>
      <c r="F103" s="341">
        <f t="shared" ref="F103:O103" si="13">AVERAGE(F13,F58)</f>
        <v>5270.2750000000005</v>
      </c>
      <c r="G103" s="341">
        <f t="shared" si="13"/>
        <v>3344.1750000000002</v>
      </c>
      <c r="H103" s="341">
        <f t="shared" si="13"/>
        <v>1368.2800000000002</v>
      </c>
      <c r="I103" s="341">
        <f t="shared" si="13"/>
        <v>508.67499999999995</v>
      </c>
      <c r="J103" s="341">
        <f t="shared" si="13"/>
        <v>49.144999999999996</v>
      </c>
      <c r="K103" s="341">
        <f t="shared" si="13"/>
        <v>17.765000000000001</v>
      </c>
      <c r="L103" s="341">
        <f t="shared" si="13"/>
        <v>0.88824999999999998</v>
      </c>
      <c r="M103" s="341">
        <f t="shared" si="13"/>
        <v>3.5529999999999999</v>
      </c>
      <c r="N103" s="341">
        <f t="shared" si="13"/>
        <v>4.4412500000000001</v>
      </c>
      <c r="O103" s="341">
        <f t="shared" si="13"/>
        <v>8.8825000000000003</v>
      </c>
      <c r="P103" s="341">
        <f t="shared" ref="P103" si="14">AVERAGE(P13,P58)</f>
        <v>8.74</v>
      </c>
    </row>
    <row r="104" spans="3:31">
      <c r="C104" s="106"/>
      <c r="D104" s="310" t="str">
        <v>128 kbps</v>
      </c>
      <c r="E104" s="341">
        <f t="shared" ref="E104:O104" si="15">AVERAGE(E14,E59)</f>
        <v>8839.98</v>
      </c>
      <c r="F104" s="341">
        <f t="shared" si="15"/>
        <v>3055.6350000000002</v>
      </c>
      <c r="G104" s="341">
        <f t="shared" si="15"/>
        <v>1699.1999999999998</v>
      </c>
      <c r="H104" s="341">
        <f t="shared" si="15"/>
        <v>873.44500000000005</v>
      </c>
      <c r="I104" s="341">
        <f t="shared" si="15"/>
        <v>462.25</v>
      </c>
      <c r="J104" s="341">
        <f t="shared" si="15"/>
        <v>20.740000000000002</v>
      </c>
      <c r="K104" s="341">
        <f t="shared" si="15"/>
        <v>1.3049999999999999</v>
      </c>
      <c r="L104" s="341">
        <f t="shared" si="15"/>
        <v>6.5250000000000002E-2</v>
      </c>
      <c r="M104" s="341">
        <f t="shared" si="15"/>
        <v>0.26100000000000001</v>
      </c>
      <c r="N104" s="341">
        <f t="shared" si="15"/>
        <v>0.32624999999999998</v>
      </c>
      <c r="O104" s="341">
        <f t="shared" si="15"/>
        <v>0.65249999999999997</v>
      </c>
      <c r="P104" s="341">
        <f t="shared" ref="P104" si="16">AVERAGE(P14,P59)</f>
        <v>1.93</v>
      </c>
    </row>
    <row r="105" spans="3:31">
      <c r="C105" s="106"/>
      <c r="D105" s="310" t="str">
        <v>192 kbps</v>
      </c>
      <c r="E105" s="341">
        <f t="shared" ref="E105:O105" si="17">AVERAGE(E15,E60)</f>
        <v>1582.665</v>
      </c>
      <c r="F105" s="341">
        <f t="shared" si="17"/>
        <v>858.34000000000015</v>
      </c>
      <c r="G105" s="341">
        <f t="shared" si="17"/>
        <v>490.01</v>
      </c>
      <c r="H105" s="341">
        <f t="shared" si="17"/>
        <v>170.125</v>
      </c>
      <c r="I105" s="341">
        <f t="shared" si="17"/>
        <v>164.78499999999997</v>
      </c>
      <c r="J105" s="341">
        <f t="shared" si="17"/>
        <v>33.42</v>
      </c>
      <c r="K105" s="341">
        <f t="shared" si="17"/>
        <v>0</v>
      </c>
      <c r="L105" s="341">
        <f t="shared" si="17"/>
        <v>0</v>
      </c>
      <c r="M105" s="341">
        <f t="shared" si="17"/>
        <v>0</v>
      </c>
      <c r="N105" s="341">
        <f t="shared" si="17"/>
        <v>0</v>
      </c>
      <c r="O105" s="341">
        <f t="shared" si="17"/>
        <v>0</v>
      </c>
      <c r="P105" s="341">
        <f t="shared" ref="P105" si="18">AVERAGE(P15,P60)</f>
        <v>0</v>
      </c>
    </row>
    <row r="106" spans="3:31">
      <c r="C106" s="106"/>
      <c r="D106" s="310" t="str">
        <v>256 kbps</v>
      </c>
      <c r="E106" s="341">
        <f t="shared" ref="E106:O106" si="19">AVERAGE(E16,E61)</f>
        <v>5205.34</v>
      </c>
      <c r="F106" s="341">
        <f t="shared" si="19"/>
        <v>2889.625</v>
      </c>
      <c r="G106" s="341">
        <f t="shared" si="19"/>
        <v>1881.2349999999999</v>
      </c>
      <c r="H106" s="341">
        <f t="shared" si="19"/>
        <v>604.48500000000001</v>
      </c>
      <c r="I106" s="341">
        <f t="shared" si="19"/>
        <v>389.60500000000002</v>
      </c>
      <c r="J106" s="341">
        <f t="shared" si="19"/>
        <v>14.299999999999999</v>
      </c>
      <c r="K106" s="341">
        <f t="shared" si="19"/>
        <v>5.58</v>
      </c>
      <c r="L106" s="341">
        <f t="shared" si="19"/>
        <v>0.27900000000000003</v>
      </c>
      <c r="M106" s="341">
        <f t="shared" si="19"/>
        <v>1.1160000000000001</v>
      </c>
      <c r="N106" s="341">
        <f t="shared" si="19"/>
        <v>1.395</v>
      </c>
      <c r="O106" s="341">
        <f t="shared" si="19"/>
        <v>2.79</v>
      </c>
      <c r="P106" s="341">
        <f t="shared" ref="P106" si="20">AVERAGE(P16,P61)</f>
        <v>4.8250000000000002</v>
      </c>
    </row>
    <row r="107" spans="3:31">
      <c r="C107" s="106"/>
      <c r="D107" s="310" t="str">
        <v>384 kbps</v>
      </c>
      <c r="E107" s="341">
        <f t="shared" ref="E107:O107" si="21">AVERAGE(E17,E62)</f>
        <v>2110.04</v>
      </c>
      <c r="F107" s="341">
        <f t="shared" si="21"/>
        <v>1547.2149999999999</v>
      </c>
      <c r="G107" s="341">
        <f t="shared" si="21"/>
        <v>942.13</v>
      </c>
      <c r="H107" s="341">
        <f t="shared" si="21"/>
        <v>399.69000000000005</v>
      </c>
      <c r="I107" s="341">
        <f t="shared" si="21"/>
        <v>204.51</v>
      </c>
      <c r="J107" s="341">
        <f t="shared" si="21"/>
        <v>0.88500000000000001</v>
      </c>
      <c r="K107" s="341">
        <f t="shared" si="21"/>
        <v>5.4450000000000003</v>
      </c>
      <c r="L107" s="341">
        <f t="shared" si="21"/>
        <v>0.27225000000000005</v>
      </c>
      <c r="M107" s="341">
        <f t="shared" si="21"/>
        <v>1.0890000000000002</v>
      </c>
      <c r="N107" s="341">
        <f t="shared" si="21"/>
        <v>1.3612500000000001</v>
      </c>
      <c r="O107" s="341">
        <f t="shared" si="21"/>
        <v>2.7225000000000001</v>
      </c>
      <c r="P107" s="341">
        <f t="shared" ref="P107" si="22">AVERAGE(P17,P62)</f>
        <v>0</v>
      </c>
    </row>
    <row r="108" spans="3:31">
      <c r="C108" s="106"/>
      <c r="D108" s="310" t="str">
        <v>512 kbps</v>
      </c>
      <c r="E108" s="341">
        <f t="shared" ref="E108:O108" si="23">AVERAGE(E18,E63)</f>
        <v>3215.15</v>
      </c>
      <c r="F108" s="341">
        <f t="shared" si="23"/>
        <v>1620.9099999999999</v>
      </c>
      <c r="G108" s="341">
        <f t="shared" si="23"/>
        <v>882.94500000000005</v>
      </c>
      <c r="H108" s="341">
        <f t="shared" si="23"/>
        <v>450.08</v>
      </c>
      <c r="I108" s="341">
        <f t="shared" si="23"/>
        <v>286.71500000000003</v>
      </c>
      <c r="J108" s="341">
        <f t="shared" si="23"/>
        <v>1.17</v>
      </c>
      <c r="K108" s="341">
        <f t="shared" si="23"/>
        <v>9.06</v>
      </c>
      <c r="L108" s="341">
        <f t="shared" si="23"/>
        <v>0.45300000000000007</v>
      </c>
      <c r="M108" s="341">
        <f t="shared" si="23"/>
        <v>1.8120000000000003</v>
      </c>
      <c r="N108" s="341">
        <f t="shared" si="23"/>
        <v>2.2650000000000001</v>
      </c>
      <c r="O108" s="341">
        <f t="shared" si="23"/>
        <v>4.53</v>
      </c>
      <c r="P108" s="341">
        <f t="shared" ref="P108" si="24">AVERAGE(P18,P63)</f>
        <v>2.5349999999999997</v>
      </c>
    </row>
    <row r="109" spans="3:31">
      <c r="C109" s="106"/>
      <c r="D109" s="310" t="str">
        <v>768 kbps</v>
      </c>
      <c r="E109" s="341">
        <f t="shared" ref="E109:O109" si="25">AVERAGE(E19,E64)</f>
        <v>612.70499999999993</v>
      </c>
      <c r="F109" s="341">
        <f t="shared" si="25"/>
        <v>366.83499999999998</v>
      </c>
      <c r="G109" s="341">
        <f t="shared" si="25"/>
        <v>202.17500000000001</v>
      </c>
      <c r="H109" s="341">
        <f t="shared" si="25"/>
        <v>80.64</v>
      </c>
      <c r="I109" s="341">
        <f t="shared" si="25"/>
        <v>82.84</v>
      </c>
      <c r="J109" s="341">
        <f t="shared" si="25"/>
        <v>1.1800000000000002</v>
      </c>
      <c r="K109" s="341">
        <f t="shared" si="25"/>
        <v>1.07</v>
      </c>
      <c r="L109" s="341">
        <f t="shared" si="25"/>
        <v>5.3500000000000006E-2</v>
      </c>
      <c r="M109" s="341">
        <f t="shared" si="25"/>
        <v>0.21400000000000002</v>
      </c>
      <c r="N109" s="341">
        <f t="shared" si="25"/>
        <v>0.26750000000000002</v>
      </c>
      <c r="O109" s="341">
        <f t="shared" si="25"/>
        <v>0.53500000000000003</v>
      </c>
      <c r="P109" s="341">
        <f t="shared" ref="P109" si="26">AVERAGE(P19,P64)</f>
        <v>0.41</v>
      </c>
    </row>
    <row r="110" spans="3:31">
      <c r="C110" s="106"/>
      <c r="D110" s="310" t="str">
        <v>1024 kbps</v>
      </c>
      <c r="E110" s="341">
        <f t="shared" ref="E110:O110" si="27">AVERAGE(E20,E65)</f>
        <v>772.14</v>
      </c>
      <c r="F110" s="341">
        <f t="shared" si="27"/>
        <v>229.61</v>
      </c>
      <c r="G110" s="341">
        <f t="shared" si="27"/>
        <v>120.985</v>
      </c>
      <c r="H110" s="341">
        <f t="shared" si="27"/>
        <v>68.055000000000007</v>
      </c>
      <c r="I110" s="341">
        <f t="shared" si="27"/>
        <v>39.21</v>
      </c>
      <c r="J110" s="341">
        <f t="shared" si="27"/>
        <v>1.36</v>
      </c>
      <c r="K110" s="341">
        <f t="shared" si="27"/>
        <v>6.98</v>
      </c>
      <c r="L110" s="341">
        <f t="shared" si="27"/>
        <v>0.34899999999999998</v>
      </c>
      <c r="M110" s="341">
        <f t="shared" si="27"/>
        <v>1.3959999999999999</v>
      </c>
      <c r="N110" s="341">
        <f t="shared" si="27"/>
        <v>1.7450000000000001</v>
      </c>
      <c r="O110" s="341">
        <f t="shared" si="27"/>
        <v>3.49</v>
      </c>
      <c r="P110" s="341">
        <f t="shared" ref="P110" si="28">AVERAGE(P20,P65)</f>
        <v>0</v>
      </c>
    </row>
    <row r="111" spans="3:31">
      <c r="C111" s="106"/>
      <c r="D111" s="310" t="str">
        <v>E1 (2.04 Mbps)</v>
      </c>
      <c r="E111" s="341">
        <f t="shared" ref="E111:O111" si="29">AVERAGE(E21,E66)</f>
        <v>25185.255000000001</v>
      </c>
      <c r="F111" s="341">
        <f t="shared" si="29"/>
        <v>8511.86</v>
      </c>
      <c r="G111" s="341">
        <f t="shared" si="29"/>
        <v>4951.8450000000003</v>
      </c>
      <c r="H111" s="341">
        <f t="shared" si="29"/>
        <v>1759.625</v>
      </c>
      <c r="I111" s="341">
        <f t="shared" si="29"/>
        <v>1779.0549999999998</v>
      </c>
      <c r="J111" s="341">
        <f t="shared" si="29"/>
        <v>21.335000000000001</v>
      </c>
      <c r="K111" s="341">
        <f t="shared" si="29"/>
        <v>132.41499999999999</v>
      </c>
      <c r="L111" s="341">
        <f t="shared" si="29"/>
        <v>6.6207500000000001</v>
      </c>
      <c r="M111" s="341">
        <f t="shared" si="29"/>
        <v>26.483000000000001</v>
      </c>
      <c r="N111" s="341">
        <f t="shared" si="29"/>
        <v>33.103749999999998</v>
      </c>
      <c r="O111" s="341">
        <f t="shared" si="29"/>
        <v>66.207499999999996</v>
      </c>
      <c r="P111" s="341">
        <f t="shared" ref="P111" si="30">AVERAGE(P21,P66)</f>
        <v>152.965</v>
      </c>
    </row>
    <row r="112" spans="3:31">
      <c r="C112" s="106"/>
      <c r="D112" s="310" t="str">
        <v>E2 *</v>
      </c>
      <c r="E112" s="341">
        <f t="shared" ref="E112:O112" si="31">AVERAGE(E22,E67)</f>
        <v>0</v>
      </c>
      <c r="F112" s="341">
        <f t="shared" si="31"/>
        <v>0</v>
      </c>
      <c r="G112" s="341">
        <f t="shared" si="31"/>
        <v>0</v>
      </c>
      <c r="H112" s="341">
        <f t="shared" si="31"/>
        <v>0</v>
      </c>
      <c r="I112" s="341">
        <f t="shared" si="31"/>
        <v>0</v>
      </c>
      <c r="J112" s="341">
        <f t="shared" si="31"/>
        <v>0</v>
      </c>
      <c r="K112" s="341">
        <f t="shared" si="31"/>
        <v>0</v>
      </c>
      <c r="L112" s="341">
        <f t="shared" si="31"/>
        <v>0</v>
      </c>
      <c r="M112" s="341">
        <f t="shared" si="31"/>
        <v>0</v>
      </c>
      <c r="N112" s="341">
        <f t="shared" si="31"/>
        <v>0</v>
      </c>
      <c r="O112" s="341">
        <f t="shared" si="31"/>
        <v>0</v>
      </c>
      <c r="P112" s="341">
        <f t="shared" ref="P112" si="32">AVERAGE(P22,P67)</f>
        <v>0</v>
      </c>
    </row>
    <row r="113" spans="3:16" s="299" customFormat="1">
      <c r="C113" s="316"/>
      <c r="D113" s="310" t="str">
        <v>E3 (34 Mbps)</v>
      </c>
      <c r="E113" s="341">
        <f t="shared" ref="E113:O113" si="33">AVERAGE(E23,E68)</f>
        <v>390.71500000000003</v>
      </c>
      <c r="F113" s="341">
        <f t="shared" si="33"/>
        <v>50.97</v>
      </c>
      <c r="G113" s="341">
        <f t="shared" si="33"/>
        <v>26.605</v>
      </c>
      <c r="H113" s="341">
        <f t="shared" si="33"/>
        <v>13.145</v>
      </c>
      <c r="I113" s="341">
        <f t="shared" si="33"/>
        <v>10.139999999999999</v>
      </c>
      <c r="J113" s="341">
        <f t="shared" si="33"/>
        <v>1.08</v>
      </c>
      <c r="K113" s="341">
        <f t="shared" si="33"/>
        <v>0</v>
      </c>
      <c r="L113" s="341">
        <f t="shared" si="33"/>
        <v>0</v>
      </c>
      <c r="M113" s="341">
        <f t="shared" si="33"/>
        <v>0</v>
      </c>
      <c r="N113" s="341">
        <f t="shared" si="33"/>
        <v>0</v>
      </c>
      <c r="O113" s="341">
        <f t="shared" si="33"/>
        <v>0</v>
      </c>
      <c r="P113" s="341">
        <f t="shared" ref="P113" si="34">AVERAGE(P23,P68)</f>
        <v>0</v>
      </c>
    </row>
    <row r="114" spans="3:16" s="299" customFormat="1">
      <c r="C114" s="316"/>
      <c r="D114" s="310" t="str">
        <v>STM-1 (155 Mbps)</v>
      </c>
      <c r="E114" s="341">
        <f t="shared" ref="E114:O114" si="35">AVERAGE(E24,E69)</f>
        <v>291.62</v>
      </c>
      <c r="F114" s="341">
        <f t="shared" si="35"/>
        <v>28.815000000000001</v>
      </c>
      <c r="G114" s="341">
        <f t="shared" si="35"/>
        <v>3.9700000000000006</v>
      </c>
      <c r="H114" s="341">
        <f t="shared" si="35"/>
        <v>5.3049999999999997</v>
      </c>
      <c r="I114" s="341">
        <f t="shared" si="35"/>
        <v>19.54</v>
      </c>
      <c r="J114" s="341">
        <f t="shared" si="35"/>
        <v>0</v>
      </c>
      <c r="K114" s="341">
        <f t="shared" si="35"/>
        <v>2.2949999999999999</v>
      </c>
      <c r="L114" s="341">
        <f t="shared" si="35"/>
        <v>0.11474999999999999</v>
      </c>
      <c r="M114" s="341">
        <f t="shared" si="35"/>
        <v>0.45899999999999996</v>
      </c>
      <c r="N114" s="341">
        <f t="shared" si="35"/>
        <v>0.57374999999999998</v>
      </c>
      <c r="O114" s="341">
        <f t="shared" si="35"/>
        <v>1.1475</v>
      </c>
      <c r="P114" s="341">
        <f t="shared" ref="P114" si="36">AVERAGE(P24,P69)</f>
        <v>0</v>
      </c>
    </row>
    <row r="115" spans="3:16" s="299" customFormat="1">
      <c r="C115" s="316"/>
      <c r="D115" s="310" t="str">
        <v>STM-4 (622.08 Mbps)</v>
      </c>
      <c r="E115" s="341">
        <f t="shared" ref="E115:O115" si="37">AVERAGE(E25,E70)</f>
        <v>2.4749999999999996</v>
      </c>
      <c r="F115" s="341">
        <f t="shared" si="37"/>
        <v>2.3899999999999997</v>
      </c>
      <c r="G115" s="341">
        <f t="shared" si="37"/>
        <v>2.3899999999999997</v>
      </c>
      <c r="H115" s="341">
        <f t="shared" si="37"/>
        <v>0</v>
      </c>
      <c r="I115" s="341">
        <f t="shared" si="37"/>
        <v>0</v>
      </c>
      <c r="J115" s="341">
        <f t="shared" si="37"/>
        <v>0</v>
      </c>
      <c r="K115" s="341">
        <f t="shared" si="37"/>
        <v>0.9</v>
      </c>
      <c r="L115" s="341">
        <f t="shared" si="37"/>
        <v>4.5000000000000005E-2</v>
      </c>
      <c r="M115" s="341">
        <f t="shared" si="37"/>
        <v>0.18000000000000002</v>
      </c>
      <c r="N115" s="341">
        <f t="shared" si="37"/>
        <v>0.22500000000000001</v>
      </c>
      <c r="O115" s="341">
        <f t="shared" si="37"/>
        <v>0.45</v>
      </c>
      <c r="P115" s="341">
        <f t="shared" ref="P115" si="38">AVERAGE(P25,P70)</f>
        <v>0</v>
      </c>
    </row>
    <row r="116" spans="3:16" s="299" customFormat="1">
      <c r="C116" s="316"/>
      <c r="D116" s="310" t="str">
        <v>STM-16 (2488.32Mbps)</v>
      </c>
      <c r="E116" s="341">
        <f t="shared" ref="E116:O116" si="39">AVERAGE(E26,E71)</f>
        <v>1.0350000000000001</v>
      </c>
      <c r="F116" s="341">
        <f t="shared" si="39"/>
        <v>0</v>
      </c>
      <c r="G116" s="341">
        <f t="shared" si="39"/>
        <v>0</v>
      </c>
      <c r="H116" s="341">
        <f t="shared" si="39"/>
        <v>0</v>
      </c>
      <c r="I116" s="341">
        <f t="shared" si="39"/>
        <v>0</v>
      </c>
      <c r="J116" s="341">
        <f t="shared" si="39"/>
        <v>0</v>
      </c>
      <c r="K116" s="341">
        <f t="shared" si="39"/>
        <v>3.1799999999999997</v>
      </c>
      <c r="L116" s="341">
        <f t="shared" si="39"/>
        <v>0.159</v>
      </c>
      <c r="M116" s="341">
        <f t="shared" si="39"/>
        <v>0.63600000000000001</v>
      </c>
      <c r="N116" s="341">
        <f t="shared" si="39"/>
        <v>0.79499999999999993</v>
      </c>
      <c r="O116" s="341">
        <f t="shared" si="39"/>
        <v>1.5899999999999999</v>
      </c>
      <c r="P116" s="341">
        <f t="shared" ref="P116" si="40">AVERAGE(P26,P71)</f>
        <v>0</v>
      </c>
    </row>
    <row r="117" spans="3:16" s="299" customFormat="1">
      <c r="C117" s="316"/>
      <c r="D117" s="310" t="str">
        <v>STM-64 (9953.28Mbps)</v>
      </c>
      <c r="E117" s="341">
        <f t="shared" ref="E117:O117" si="41">AVERAGE(E27,E72)</f>
        <v>0</v>
      </c>
      <c r="F117" s="341">
        <f t="shared" si="41"/>
        <v>0</v>
      </c>
      <c r="G117" s="341">
        <f t="shared" si="41"/>
        <v>0</v>
      </c>
      <c r="H117" s="341">
        <f t="shared" si="41"/>
        <v>0</v>
      </c>
      <c r="I117" s="341">
        <f t="shared" si="41"/>
        <v>0</v>
      </c>
      <c r="J117" s="341">
        <f t="shared" si="41"/>
        <v>0</v>
      </c>
      <c r="K117" s="341">
        <f t="shared" si="41"/>
        <v>0</v>
      </c>
      <c r="L117" s="341">
        <f t="shared" si="41"/>
        <v>0</v>
      </c>
      <c r="M117" s="341">
        <f t="shared" si="41"/>
        <v>0</v>
      </c>
      <c r="N117" s="341">
        <f t="shared" si="41"/>
        <v>0</v>
      </c>
      <c r="O117" s="341">
        <f t="shared" si="41"/>
        <v>0</v>
      </c>
      <c r="P117" s="341">
        <f t="shared" ref="P117" si="42">AVERAGE(P27,P72)</f>
        <v>0</v>
      </c>
    </row>
    <row r="118" spans="3:16" s="299" customFormat="1">
      <c r="C118" s="316"/>
      <c r="D118" s="310" t="str">
        <v>STM-256 (39813.12 Mbps)*</v>
      </c>
      <c r="E118" s="341">
        <f t="shared" ref="E118:O118" si="43">AVERAGE(E28,E73)</f>
        <v>0</v>
      </c>
      <c r="F118" s="341">
        <f t="shared" si="43"/>
        <v>0</v>
      </c>
      <c r="G118" s="341">
        <f t="shared" si="43"/>
        <v>0</v>
      </c>
      <c r="H118" s="341">
        <f t="shared" si="43"/>
        <v>0</v>
      </c>
      <c r="I118" s="341">
        <f t="shared" si="43"/>
        <v>0</v>
      </c>
      <c r="J118" s="341">
        <f t="shared" si="43"/>
        <v>0</v>
      </c>
      <c r="K118" s="341">
        <f t="shared" si="43"/>
        <v>0</v>
      </c>
      <c r="L118" s="341">
        <f t="shared" si="43"/>
        <v>0</v>
      </c>
      <c r="M118" s="341">
        <f t="shared" si="43"/>
        <v>0</v>
      </c>
      <c r="N118" s="341">
        <f t="shared" si="43"/>
        <v>0</v>
      </c>
      <c r="O118" s="341">
        <f t="shared" si="43"/>
        <v>0</v>
      </c>
      <c r="P118" s="341">
        <f t="shared" ref="P118" si="44">AVERAGE(P28,P73)</f>
        <v>0</v>
      </c>
    </row>
    <row r="119" spans="3:16" s="299" customFormat="1">
      <c r="C119" s="316"/>
      <c r="D119" s="310" t="str">
        <v>Ethernet (10Mbps)</v>
      </c>
      <c r="E119" s="341">
        <f t="shared" ref="E119:O119" si="45">AVERAGE(E29,E74)</f>
        <v>1277.5900000000001</v>
      </c>
      <c r="F119" s="341">
        <f t="shared" si="45"/>
        <v>207.85999999999996</v>
      </c>
      <c r="G119" s="341">
        <f t="shared" si="45"/>
        <v>99.889999999999986</v>
      </c>
      <c r="H119" s="341">
        <f t="shared" si="45"/>
        <v>40.44</v>
      </c>
      <c r="I119" s="341">
        <f t="shared" si="45"/>
        <v>63.704999999999998</v>
      </c>
      <c r="J119" s="341">
        <f t="shared" si="45"/>
        <v>3.8250000000000002</v>
      </c>
      <c r="K119" s="341">
        <f t="shared" si="45"/>
        <v>0</v>
      </c>
      <c r="L119" s="341">
        <f t="shared" si="45"/>
        <v>0</v>
      </c>
      <c r="M119" s="341">
        <f t="shared" si="45"/>
        <v>0</v>
      </c>
      <c r="N119" s="341">
        <f t="shared" si="45"/>
        <v>0</v>
      </c>
      <c r="O119" s="341">
        <f t="shared" si="45"/>
        <v>0</v>
      </c>
      <c r="P119" s="341">
        <f t="shared" ref="P119" si="46">AVERAGE(P29,P74)</f>
        <v>0</v>
      </c>
    </row>
    <row r="120" spans="3:16" s="299" customFormat="1">
      <c r="C120" s="316"/>
      <c r="D120" s="310" t="str">
        <v>Ethernet (20Mbps)</v>
      </c>
      <c r="E120" s="341">
        <f t="shared" ref="E120:O120" si="47">AVERAGE(E30,E75)</f>
        <v>492.88500000000005</v>
      </c>
      <c r="F120" s="341">
        <f t="shared" si="47"/>
        <v>63.139999999999993</v>
      </c>
      <c r="G120" s="341">
        <f t="shared" si="47"/>
        <v>31.47</v>
      </c>
      <c r="H120" s="341">
        <f t="shared" si="47"/>
        <v>12.42</v>
      </c>
      <c r="I120" s="341">
        <f t="shared" si="47"/>
        <v>14.225</v>
      </c>
      <c r="J120" s="341">
        <f t="shared" si="47"/>
        <v>5.0250000000000004</v>
      </c>
      <c r="K120" s="341">
        <f t="shared" si="47"/>
        <v>0</v>
      </c>
      <c r="L120" s="341">
        <f t="shared" si="47"/>
        <v>0</v>
      </c>
      <c r="M120" s="341">
        <f t="shared" si="47"/>
        <v>0</v>
      </c>
      <c r="N120" s="341">
        <f t="shared" si="47"/>
        <v>0</v>
      </c>
      <c r="O120" s="341">
        <f t="shared" si="47"/>
        <v>0</v>
      </c>
      <c r="P120" s="341">
        <f t="shared" ref="P120" si="48">AVERAGE(P30,P75)</f>
        <v>0</v>
      </c>
    </row>
    <row r="121" spans="3:16" s="299" customFormat="1">
      <c r="C121" s="316"/>
      <c r="D121" s="310" t="str">
        <v>Ethernet (30Mbps)</v>
      </c>
      <c r="E121" s="341">
        <f t="shared" ref="E121:O121" si="49">AVERAGE(E31,E76)</f>
        <v>180.815</v>
      </c>
      <c r="F121" s="341">
        <f t="shared" si="49"/>
        <v>27.724999999999998</v>
      </c>
      <c r="G121" s="341">
        <f t="shared" si="49"/>
        <v>10.54</v>
      </c>
      <c r="H121" s="341">
        <f t="shared" si="49"/>
        <v>6.2850000000000001</v>
      </c>
      <c r="I121" s="341">
        <f t="shared" si="49"/>
        <v>10.9</v>
      </c>
      <c r="J121" s="341">
        <f t="shared" si="49"/>
        <v>0</v>
      </c>
      <c r="K121" s="341">
        <f t="shared" si="49"/>
        <v>0</v>
      </c>
      <c r="L121" s="341">
        <f t="shared" si="49"/>
        <v>0</v>
      </c>
      <c r="M121" s="341">
        <f t="shared" si="49"/>
        <v>0</v>
      </c>
      <c r="N121" s="341">
        <f t="shared" si="49"/>
        <v>0</v>
      </c>
      <c r="O121" s="341">
        <f t="shared" si="49"/>
        <v>0</v>
      </c>
      <c r="P121" s="341">
        <f t="shared" ref="P121" si="50">AVERAGE(P31,P76)</f>
        <v>0</v>
      </c>
    </row>
    <row r="122" spans="3:16" s="299" customFormat="1">
      <c r="C122" s="316"/>
      <c r="D122" s="310" t="str">
        <v>Ethernet (40Mbps)</v>
      </c>
      <c r="E122" s="341">
        <f t="shared" ref="E122:O122" si="51">AVERAGE(E32,E77)</f>
        <v>82.575000000000003</v>
      </c>
      <c r="F122" s="341">
        <f t="shared" si="51"/>
        <v>22.085000000000001</v>
      </c>
      <c r="G122" s="341">
        <f t="shared" si="51"/>
        <v>9.7000000000000011</v>
      </c>
      <c r="H122" s="341">
        <f t="shared" si="51"/>
        <v>6.2050000000000001</v>
      </c>
      <c r="I122" s="341">
        <f t="shared" si="51"/>
        <v>6.18</v>
      </c>
      <c r="J122" s="341">
        <f t="shared" si="51"/>
        <v>0</v>
      </c>
      <c r="K122" s="341">
        <f t="shared" si="51"/>
        <v>0</v>
      </c>
      <c r="L122" s="341">
        <f t="shared" si="51"/>
        <v>0</v>
      </c>
      <c r="M122" s="341">
        <f t="shared" si="51"/>
        <v>0</v>
      </c>
      <c r="N122" s="341">
        <f t="shared" si="51"/>
        <v>0</v>
      </c>
      <c r="O122" s="341">
        <f t="shared" si="51"/>
        <v>0</v>
      </c>
      <c r="P122" s="341">
        <f t="shared" ref="P122" si="52">AVERAGE(P32,P77)</f>
        <v>0</v>
      </c>
    </row>
    <row r="123" spans="3:16" s="299" customFormat="1">
      <c r="C123" s="316"/>
      <c r="D123" s="310" t="str">
        <v>Ethernet (50Mbps)</v>
      </c>
      <c r="E123" s="341">
        <f t="shared" ref="E123:O123" si="53">AVERAGE(E33,E78)</f>
        <v>103.18</v>
      </c>
      <c r="F123" s="341">
        <f t="shared" si="53"/>
        <v>43.38</v>
      </c>
      <c r="G123" s="341">
        <f t="shared" si="53"/>
        <v>6.4950000000000001</v>
      </c>
      <c r="H123" s="341">
        <f t="shared" si="53"/>
        <v>3.3600000000000003</v>
      </c>
      <c r="I123" s="341">
        <f t="shared" si="53"/>
        <v>33.524999999999999</v>
      </c>
      <c r="J123" s="341">
        <f t="shared" si="53"/>
        <v>0</v>
      </c>
      <c r="K123" s="341">
        <f t="shared" si="53"/>
        <v>0</v>
      </c>
      <c r="L123" s="341">
        <f t="shared" si="53"/>
        <v>0</v>
      </c>
      <c r="M123" s="341">
        <f t="shared" si="53"/>
        <v>0</v>
      </c>
      <c r="N123" s="341">
        <f t="shared" si="53"/>
        <v>0</v>
      </c>
      <c r="O123" s="341">
        <f t="shared" si="53"/>
        <v>0</v>
      </c>
      <c r="P123" s="341">
        <f t="shared" ref="P123" si="54">AVERAGE(P33,P78)</f>
        <v>0</v>
      </c>
    </row>
    <row r="124" spans="3:16" s="299" customFormat="1">
      <c r="C124" s="316"/>
      <c r="D124" s="310" t="str">
        <v>Ethernet (60Mbps)</v>
      </c>
      <c r="E124" s="341">
        <f t="shared" ref="E124:O124" si="55">AVERAGE(E34,E79)</f>
        <v>22.4</v>
      </c>
      <c r="F124" s="341">
        <f t="shared" si="55"/>
        <v>6.6150000000000002</v>
      </c>
      <c r="G124" s="341">
        <f t="shared" si="55"/>
        <v>3.7649999999999997</v>
      </c>
      <c r="H124" s="341">
        <f t="shared" si="55"/>
        <v>0.64</v>
      </c>
      <c r="I124" s="341">
        <f t="shared" si="55"/>
        <v>2.21</v>
      </c>
      <c r="J124" s="341">
        <f t="shared" si="55"/>
        <v>0</v>
      </c>
      <c r="K124" s="341">
        <f t="shared" si="55"/>
        <v>0</v>
      </c>
      <c r="L124" s="341">
        <f t="shared" si="55"/>
        <v>0</v>
      </c>
      <c r="M124" s="341">
        <f t="shared" si="55"/>
        <v>0</v>
      </c>
      <c r="N124" s="341">
        <f t="shared" si="55"/>
        <v>0</v>
      </c>
      <c r="O124" s="341">
        <f t="shared" si="55"/>
        <v>0</v>
      </c>
      <c r="P124" s="341">
        <f t="shared" ref="P124" si="56">AVERAGE(P34,P79)</f>
        <v>0</v>
      </c>
    </row>
    <row r="125" spans="3:16" s="299" customFormat="1">
      <c r="C125" s="316"/>
      <c r="D125" s="310" t="str">
        <v>Ethernet (70Mbps)</v>
      </c>
      <c r="E125" s="341">
        <f t="shared" ref="E125:O125" si="57">AVERAGE(E35,E80)</f>
        <v>13.629999999999999</v>
      </c>
      <c r="F125" s="341">
        <f t="shared" si="57"/>
        <v>3.87</v>
      </c>
      <c r="G125" s="341">
        <f t="shared" si="57"/>
        <v>1.595</v>
      </c>
      <c r="H125" s="341">
        <f t="shared" si="57"/>
        <v>1.095</v>
      </c>
      <c r="I125" s="341">
        <f t="shared" si="57"/>
        <v>1.18</v>
      </c>
      <c r="J125" s="341">
        <f t="shared" si="57"/>
        <v>0</v>
      </c>
      <c r="K125" s="341">
        <f t="shared" si="57"/>
        <v>0</v>
      </c>
      <c r="L125" s="341">
        <f t="shared" si="57"/>
        <v>0</v>
      </c>
      <c r="M125" s="341">
        <f t="shared" si="57"/>
        <v>0</v>
      </c>
      <c r="N125" s="341">
        <f t="shared" si="57"/>
        <v>0</v>
      </c>
      <c r="O125" s="341">
        <f t="shared" si="57"/>
        <v>0</v>
      </c>
      <c r="P125" s="341">
        <f t="shared" ref="P125" si="58">AVERAGE(P35,P80)</f>
        <v>0</v>
      </c>
    </row>
    <row r="126" spans="3:16" s="299" customFormat="1">
      <c r="C126" s="316"/>
      <c r="D126" s="310" t="str">
        <v>Ethernet (80Mbps)</v>
      </c>
      <c r="E126" s="341">
        <f t="shared" ref="E126:O126" si="59">AVERAGE(E36,E81)</f>
        <v>18.59</v>
      </c>
      <c r="F126" s="341">
        <f t="shared" si="59"/>
        <v>0.83499999999999996</v>
      </c>
      <c r="G126" s="341">
        <f t="shared" si="59"/>
        <v>0.83499999999999996</v>
      </c>
      <c r="H126" s="341">
        <f t="shared" si="59"/>
        <v>0</v>
      </c>
      <c r="I126" s="341">
        <f t="shared" si="59"/>
        <v>0</v>
      </c>
      <c r="J126" s="341">
        <f t="shared" si="59"/>
        <v>0</v>
      </c>
      <c r="K126" s="341">
        <f t="shared" si="59"/>
        <v>0</v>
      </c>
      <c r="L126" s="341">
        <f t="shared" si="59"/>
        <v>0</v>
      </c>
      <c r="M126" s="341">
        <f t="shared" si="59"/>
        <v>0</v>
      </c>
      <c r="N126" s="341">
        <f t="shared" si="59"/>
        <v>0</v>
      </c>
      <c r="O126" s="341">
        <f t="shared" si="59"/>
        <v>0</v>
      </c>
      <c r="P126" s="341">
        <f t="shared" ref="P126" si="60">AVERAGE(P36,P81)</f>
        <v>0</v>
      </c>
    </row>
    <row r="127" spans="3:16" s="299" customFormat="1">
      <c r="C127" s="316"/>
      <c r="D127" s="310" t="str">
        <v>Ethernet (90Mbps)</v>
      </c>
      <c r="E127" s="341">
        <f t="shared" ref="E127:O127" si="61">AVERAGE(E37,E82)</f>
        <v>2.44</v>
      </c>
      <c r="F127" s="341">
        <f t="shared" si="61"/>
        <v>0.62</v>
      </c>
      <c r="G127" s="341">
        <f t="shared" si="61"/>
        <v>0</v>
      </c>
      <c r="H127" s="341">
        <f t="shared" si="61"/>
        <v>0</v>
      </c>
      <c r="I127" s="341">
        <f t="shared" si="61"/>
        <v>0.62</v>
      </c>
      <c r="J127" s="341">
        <f t="shared" si="61"/>
        <v>0</v>
      </c>
      <c r="K127" s="341">
        <f t="shared" si="61"/>
        <v>0</v>
      </c>
      <c r="L127" s="341">
        <f t="shared" si="61"/>
        <v>0</v>
      </c>
      <c r="M127" s="341">
        <f t="shared" si="61"/>
        <v>0</v>
      </c>
      <c r="N127" s="341">
        <f t="shared" si="61"/>
        <v>0</v>
      </c>
      <c r="O127" s="341">
        <f t="shared" si="61"/>
        <v>0</v>
      </c>
      <c r="P127" s="341">
        <f t="shared" ref="P127" si="62">AVERAGE(P37,P82)</f>
        <v>0</v>
      </c>
    </row>
    <row r="128" spans="3:16" s="299" customFormat="1">
      <c r="C128" s="316"/>
      <c r="D128" s="310" t="str">
        <v>GigaEthernet (100Mbps)</v>
      </c>
      <c r="E128" s="341">
        <f t="shared" ref="E128:O128" si="63">AVERAGE(E38,E83)</f>
        <v>116.59</v>
      </c>
      <c r="F128" s="341">
        <f t="shared" si="63"/>
        <v>36.620000000000005</v>
      </c>
      <c r="G128" s="341">
        <f t="shared" si="63"/>
        <v>13.835000000000001</v>
      </c>
      <c r="H128" s="341">
        <f t="shared" si="63"/>
        <v>3.5250000000000004</v>
      </c>
      <c r="I128" s="341">
        <f t="shared" si="63"/>
        <v>19.259999999999998</v>
      </c>
      <c r="J128" s="341">
        <f t="shared" si="63"/>
        <v>0</v>
      </c>
      <c r="K128" s="341">
        <f t="shared" si="63"/>
        <v>0</v>
      </c>
      <c r="L128" s="341">
        <f t="shared" si="63"/>
        <v>0</v>
      </c>
      <c r="M128" s="341">
        <f t="shared" si="63"/>
        <v>0</v>
      </c>
      <c r="N128" s="341">
        <f t="shared" si="63"/>
        <v>0</v>
      </c>
      <c r="O128" s="341">
        <f t="shared" si="63"/>
        <v>0</v>
      </c>
      <c r="P128" s="341">
        <f t="shared" ref="P128" si="64">AVERAGE(P38,P83)</f>
        <v>0</v>
      </c>
    </row>
    <row r="129" spans="3:31" s="299" customFormat="1">
      <c r="C129" s="316"/>
      <c r="D129" s="310" t="str">
        <v>GigaEthernet (150Mbps)</v>
      </c>
      <c r="E129" s="341">
        <f t="shared" ref="E129:O129" si="65">AVERAGE(E39,E84)</f>
        <v>38.225000000000001</v>
      </c>
      <c r="F129" s="341">
        <f t="shared" si="65"/>
        <v>5.9</v>
      </c>
      <c r="G129" s="341">
        <f t="shared" si="65"/>
        <v>0</v>
      </c>
      <c r="H129" s="341">
        <f t="shared" si="65"/>
        <v>4.7799999999999994</v>
      </c>
      <c r="I129" s="341">
        <f t="shared" si="65"/>
        <v>1.1200000000000001</v>
      </c>
      <c r="J129" s="341">
        <f t="shared" si="65"/>
        <v>0</v>
      </c>
      <c r="K129" s="341">
        <f t="shared" si="65"/>
        <v>0</v>
      </c>
      <c r="L129" s="341">
        <f t="shared" si="65"/>
        <v>0</v>
      </c>
      <c r="M129" s="341">
        <f t="shared" si="65"/>
        <v>0</v>
      </c>
      <c r="N129" s="341">
        <f t="shared" si="65"/>
        <v>0</v>
      </c>
      <c r="O129" s="341">
        <f t="shared" si="65"/>
        <v>0</v>
      </c>
      <c r="P129" s="341">
        <f t="shared" ref="P129" si="66">AVERAGE(P39,P84)</f>
        <v>0</v>
      </c>
    </row>
    <row r="130" spans="3:31" s="299" customFormat="1">
      <c r="C130" s="316"/>
      <c r="D130" s="310" t="str">
        <v>GigaEthernet (200Mbps)</v>
      </c>
      <c r="E130" s="341">
        <f t="shared" ref="E130:O130" si="67">AVERAGE(E40,E85)</f>
        <v>18.354999999999997</v>
      </c>
      <c r="F130" s="341">
        <f t="shared" si="67"/>
        <v>4.6449999999999996</v>
      </c>
      <c r="G130" s="341">
        <f t="shared" si="67"/>
        <v>1.0249999999999999</v>
      </c>
      <c r="H130" s="341">
        <f t="shared" si="67"/>
        <v>1.1000000000000001</v>
      </c>
      <c r="I130" s="341">
        <f t="shared" si="67"/>
        <v>2.52</v>
      </c>
      <c r="J130" s="341">
        <f t="shared" si="67"/>
        <v>0</v>
      </c>
      <c r="K130" s="341">
        <f t="shared" si="67"/>
        <v>0</v>
      </c>
      <c r="L130" s="341">
        <f t="shared" si="67"/>
        <v>0</v>
      </c>
      <c r="M130" s="341">
        <f t="shared" si="67"/>
        <v>0</v>
      </c>
      <c r="N130" s="341">
        <f t="shared" si="67"/>
        <v>0</v>
      </c>
      <c r="O130" s="341">
        <f t="shared" si="67"/>
        <v>0</v>
      </c>
      <c r="P130" s="341">
        <f t="shared" ref="P130" si="68">AVERAGE(P40,P85)</f>
        <v>0</v>
      </c>
    </row>
    <row r="131" spans="3:31" s="299" customFormat="1">
      <c r="C131" s="316"/>
      <c r="D131" s="310" t="str">
        <v>GigaEthernet (250Mbps)</v>
      </c>
      <c r="E131" s="341">
        <f t="shared" ref="E131:O131" si="69">AVERAGE(E41,E86)</f>
        <v>3.54</v>
      </c>
      <c r="F131" s="341">
        <f t="shared" si="69"/>
        <v>0</v>
      </c>
      <c r="G131" s="341">
        <f t="shared" si="69"/>
        <v>0</v>
      </c>
      <c r="H131" s="341">
        <f t="shared" si="69"/>
        <v>0</v>
      </c>
      <c r="I131" s="341">
        <f t="shared" si="69"/>
        <v>0</v>
      </c>
      <c r="J131" s="341">
        <f t="shared" si="69"/>
        <v>0</v>
      </c>
      <c r="K131" s="341">
        <f t="shared" si="69"/>
        <v>0</v>
      </c>
      <c r="L131" s="341">
        <f t="shared" si="69"/>
        <v>0</v>
      </c>
      <c r="M131" s="341">
        <f t="shared" si="69"/>
        <v>0</v>
      </c>
      <c r="N131" s="341">
        <f t="shared" si="69"/>
        <v>0</v>
      </c>
      <c r="O131" s="341">
        <f t="shared" si="69"/>
        <v>0</v>
      </c>
      <c r="P131" s="341">
        <f t="shared" ref="P131" si="70">AVERAGE(P41,P86)</f>
        <v>0</v>
      </c>
    </row>
    <row r="132" spans="3:31" s="299" customFormat="1">
      <c r="C132" s="316"/>
      <c r="D132" s="310" t="str">
        <v>GigaEthernet (300Mbps)</v>
      </c>
      <c r="E132" s="341">
        <f t="shared" ref="E132:O132" si="71">AVERAGE(E42,E87)</f>
        <v>4.5350000000000001</v>
      </c>
      <c r="F132" s="341">
        <f t="shared" si="71"/>
        <v>1.55</v>
      </c>
      <c r="G132" s="341">
        <f t="shared" si="71"/>
        <v>1.55</v>
      </c>
      <c r="H132" s="341">
        <f t="shared" si="71"/>
        <v>0</v>
      </c>
      <c r="I132" s="341">
        <f t="shared" si="71"/>
        <v>0</v>
      </c>
      <c r="J132" s="341">
        <f t="shared" si="71"/>
        <v>0</v>
      </c>
      <c r="K132" s="341">
        <f t="shared" si="71"/>
        <v>0</v>
      </c>
      <c r="L132" s="341">
        <f t="shared" si="71"/>
        <v>0</v>
      </c>
      <c r="M132" s="341">
        <f t="shared" si="71"/>
        <v>0</v>
      </c>
      <c r="N132" s="341">
        <f t="shared" si="71"/>
        <v>0</v>
      </c>
      <c r="O132" s="341">
        <f t="shared" si="71"/>
        <v>0</v>
      </c>
      <c r="P132" s="341">
        <f t="shared" ref="P132" si="72">AVERAGE(P42,P87)</f>
        <v>0</v>
      </c>
    </row>
    <row r="133" spans="3:31" s="299" customFormat="1">
      <c r="C133" s="316"/>
      <c r="D133" s="310" t="str">
        <v>GigaEthernet (350Mbps)</v>
      </c>
      <c r="E133" s="341">
        <f t="shared" ref="E133:O133" si="73">AVERAGE(E43,E88)</f>
        <v>0</v>
      </c>
      <c r="F133" s="341">
        <f t="shared" si="73"/>
        <v>0</v>
      </c>
      <c r="G133" s="341">
        <f t="shared" si="73"/>
        <v>0</v>
      </c>
      <c r="H133" s="341">
        <f t="shared" si="73"/>
        <v>0</v>
      </c>
      <c r="I133" s="341">
        <f t="shared" si="73"/>
        <v>0</v>
      </c>
      <c r="J133" s="341">
        <f t="shared" si="73"/>
        <v>0</v>
      </c>
      <c r="K133" s="341">
        <f t="shared" si="73"/>
        <v>0</v>
      </c>
      <c r="L133" s="341">
        <f t="shared" si="73"/>
        <v>0</v>
      </c>
      <c r="M133" s="341">
        <f t="shared" si="73"/>
        <v>0</v>
      </c>
      <c r="N133" s="341">
        <f t="shared" si="73"/>
        <v>0</v>
      </c>
      <c r="O133" s="341">
        <f t="shared" si="73"/>
        <v>0</v>
      </c>
      <c r="P133" s="341">
        <f t="shared" ref="P133" si="74">AVERAGE(P43,P88)</f>
        <v>0</v>
      </c>
    </row>
    <row r="134" spans="3:31" s="299" customFormat="1">
      <c r="C134" s="316"/>
      <c r="D134" s="310" t="str">
        <v>GigaEthernet (400Mbps)</v>
      </c>
      <c r="E134" s="341">
        <f t="shared" ref="E134:O134" si="75">AVERAGE(E44,E89)</f>
        <v>0.44500000000000001</v>
      </c>
      <c r="F134" s="341">
        <f t="shared" si="75"/>
        <v>1.69</v>
      </c>
      <c r="G134" s="341">
        <f t="shared" si="75"/>
        <v>0</v>
      </c>
      <c r="H134" s="341">
        <f t="shared" si="75"/>
        <v>0</v>
      </c>
      <c r="I134" s="341">
        <f t="shared" si="75"/>
        <v>1.69</v>
      </c>
      <c r="J134" s="341">
        <f t="shared" si="75"/>
        <v>0</v>
      </c>
      <c r="K134" s="341">
        <f t="shared" si="75"/>
        <v>0</v>
      </c>
      <c r="L134" s="341">
        <f t="shared" si="75"/>
        <v>0</v>
      </c>
      <c r="M134" s="341">
        <f t="shared" si="75"/>
        <v>0</v>
      </c>
      <c r="N134" s="341">
        <f t="shared" si="75"/>
        <v>0</v>
      </c>
      <c r="O134" s="341">
        <f t="shared" si="75"/>
        <v>0</v>
      </c>
      <c r="P134" s="341">
        <f t="shared" ref="P134" si="76">AVERAGE(P44,P89)</f>
        <v>0</v>
      </c>
    </row>
    <row r="135" spans="3:31" s="299" customFormat="1">
      <c r="C135" s="316"/>
      <c r="D135" s="310" t="str">
        <v>GigaEthernet (450Mbps)</v>
      </c>
      <c r="E135" s="341">
        <f t="shared" ref="E135:O135" si="77">AVERAGE(E45,E90)</f>
        <v>0</v>
      </c>
      <c r="F135" s="341">
        <f t="shared" si="77"/>
        <v>0</v>
      </c>
      <c r="G135" s="341">
        <f t="shared" si="77"/>
        <v>0</v>
      </c>
      <c r="H135" s="341">
        <f t="shared" si="77"/>
        <v>0</v>
      </c>
      <c r="I135" s="341">
        <f t="shared" si="77"/>
        <v>0</v>
      </c>
      <c r="J135" s="341">
        <f t="shared" si="77"/>
        <v>0</v>
      </c>
      <c r="K135" s="341">
        <f t="shared" si="77"/>
        <v>0</v>
      </c>
      <c r="L135" s="341">
        <f t="shared" si="77"/>
        <v>0</v>
      </c>
      <c r="M135" s="341">
        <f t="shared" si="77"/>
        <v>0</v>
      </c>
      <c r="N135" s="341">
        <f t="shared" si="77"/>
        <v>0</v>
      </c>
      <c r="O135" s="341">
        <f t="shared" si="77"/>
        <v>0</v>
      </c>
      <c r="P135" s="341">
        <f t="shared" ref="P135" si="78">AVERAGE(P45,P90)</f>
        <v>0</v>
      </c>
    </row>
    <row r="136" spans="3:31" s="299" customFormat="1">
      <c r="C136" s="316"/>
      <c r="D136" s="310" t="str">
        <v>GigaEthernet (500Mbps)</v>
      </c>
      <c r="E136" s="341">
        <f t="shared" ref="E136:O136" si="79">AVERAGE(E46,E91)</f>
        <v>3.5150000000000001</v>
      </c>
      <c r="F136" s="341">
        <f t="shared" si="79"/>
        <v>0</v>
      </c>
      <c r="G136" s="341">
        <f t="shared" si="79"/>
        <v>0</v>
      </c>
      <c r="H136" s="341">
        <f t="shared" si="79"/>
        <v>0</v>
      </c>
      <c r="I136" s="341">
        <f t="shared" si="79"/>
        <v>0</v>
      </c>
      <c r="J136" s="341">
        <f t="shared" si="79"/>
        <v>0</v>
      </c>
      <c r="K136" s="341">
        <f t="shared" si="79"/>
        <v>0</v>
      </c>
      <c r="L136" s="341">
        <f t="shared" si="79"/>
        <v>0</v>
      </c>
      <c r="M136" s="341">
        <f t="shared" si="79"/>
        <v>0</v>
      </c>
      <c r="N136" s="341">
        <f t="shared" si="79"/>
        <v>0</v>
      </c>
      <c r="O136" s="341">
        <f t="shared" si="79"/>
        <v>0</v>
      </c>
      <c r="P136" s="341">
        <f t="shared" ref="P136" si="80">AVERAGE(P46,P91)</f>
        <v>0</v>
      </c>
    </row>
    <row r="137" spans="3:31" s="299" customFormat="1">
      <c r="C137" s="316"/>
      <c r="D137" s="310" t="str">
        <v>GigaEthernet (550Mbps)</v>
      </c>
      <c r="E137" s="341">
        <f t="shared" ref="E137:O137" si="81">AVERAGE(E47,E92)</f>
        <v>0</v>
      </c>
      <c r="F137" s="341">
        <f t="shared" si="81"/>
        <v>0</v>
      </c>
      <c r="G137" s="341">
        <f t="shared" si="81"/>
        <v>0</v>
      </c>
      <c r="H137" s="341">
        <f t="shared" si="81"/>
        <v>0</v>
      </c>
      <c r="I137" s="341">
        <f t="shared" si="81"/>
        <v>0</v>
      </c>
      <c r="J137" s="341">
        <f t="shared" si="81"/>
        <v>0</v>
      </c>
      <c r="K137" s="341">
        <f t="shared" si="81"/>
        <v>0</v>
      </c>
      <c r="L137" s="341">
        <f t="shared" si="81"/>
        <v>0</v>
      </c>
      <c r="M137" s="341">
        <f t="shared" si="81"/>
        <v>0</v>
      </c>
      <c r="N137" s="341">
        <f t="shared" si="81"/>
        <v>0</v>
      </c>
      <c r="O137" s="341">
        <f t="shared" si="81"/>
        <v>0</v>
      </c>
      <c r="P137" s="341">
        <f t="shared" ref="P137" si="82">AVERAGE(P47,P92)</f>
        <v>0</v>
      </c>
    </row>
    <row r="138" spans="3:31" s="299" customFormat="1">
      <c r="C138" s="316"/>
      <c r="D138" s="310" t="str">
        <v>GigaEthernet (600Mbps)</v>
      </c>
      <c r="E138" s="341">
        <f t="shared" ref="E138:O138" si="83">AVERAGE(E48,E93)</f>
        <v>0</v>
      </c>
      <c r="F138" s="341">
        <f t="shared" si="83"/>
        <v>0</v>
      </c>
      <c r="G138" s="341">
        <f t="shared" si="83"/>
        <v>0</v>
      </c>
      <c r="H138" s="341">
        <f t="shared" si="83"/>
        <v>0</v>
      </c>
      <c r="I138" s="341">
        <f t="shared" si="83"/>
        <v>0</v>
      </c>
      <c r="J138" s="341">
        <f t="shared" si="83"/>
        <v>0</v>
      </c>
      <c r="K138" s="341">
        <f t="shared" si="83"/>
        <v>0</v>
      </c>
      <c r="L138" s="341">
        <f t="shared" si="83"/>
        <v>0</v>
      </c>
      <c r="M138" s="341">
        <f t="shared" si="83"/>
        <v>0</v>
      </c>
      <c r="N138" s="341">
        <f t="shared" si="83"/>
        <v>0</v>
      </c>
      <c r="O138" s="341">
        <f t="shared" si="83"/>
        <v>0</v>
      </c>
      <c r="P138" s="341">
        <f t="shared" ref="P138" si="84">AVERAGE(P48,P93)</f>
        <v>0</v>
      </c>
    </row>
    <row r="139" spans="3:31" s="299" customFormat="1">
      <c r="C139" s="316"/>
      <c r="D139" s="310" t="str">
        <v>GigaEthernet (750Mbps)</v>
      </c>
      <c r="E139" s="341">
        <f t="shared" ref="E139:O139" si="85">AVERAGE(E49,E94)</f>
        <v>0</v>
      </c>
      <c r="F139" s="341">
        <f t="shared" si="85"/>
        <v>1.095</v>
      </c>
      <c r="G139" s="341">
        <f t="shared" si="85"/>
        <v>0</v>
      </c>
      <c r="H139" s="341">
        <f t="shared" si="85"/>
        <v>0</v>
      </c>
      <c r="I139" s="341">
        <f t="shared" si="85"/>
        <v>1.095</v>
      </c>
      <c r="J139" s="341">
        <f t="shared" si="85"/>
        <v>0</v>
      </c>
      <c r="K139" s="341">
        <f t="shared" si="85"/>
        <v>0</v>
      </c>
      <c r="L139" s="341">
        <f t="shared" si="85"/>
        <v>0</v>
      </c>
      <c r="M139" s="341">
        <f t="shared" si="85"/>
        <v>0</v>
      </c>
      <c r="N139" s="341">
        <f t="shared" si="85"/>
        <v>0</v>
      </c>
      <c r="O139" s="341">
        <f t="shared" si="85"/>
        <v>0</v>
      </c>
      <c r="P139" s="341">
        <f t="shared" ref="P139" si="86">AVERAGE(P49,P94)</f>
        <v>0</v>
      </c>
    </row>
    <row r="140" spans="3:31" s="299" customFormat="1">
      <c r="C140" s="316"/>
      <c r="D140" s="310" t="str">
        <v>GigaEthernet (1 Gbps)</v>
      </c>
      <c r="E140" s="341">
        <f t="shared" ref="E140:O140" si="87">AVERAGE(E50,E95)</f>
        <v>14.984999999999999</v>
      </c>
      <c r="F140" s="341">
        <f t="shared" si="87"/>
        <v>0.54</v>
      </c>
      <c r="G140" s="341">
        <f t="shared" si="87"/>
        <v>0</v>
      </c>
      <c r="H140" s="341">
        <f t="shared" si="87"/>
        <v>0</v>
      </c>
      <c r="I140" s="341">
        <f t="shared" si="87"/>
        <v>0.54</v>
      </c>
      <c r="J140" s="341">
        <f t="shared" si="87"/>
        <v>0</v>
      </c>
      <c r="K140" s="341">
        <f t="shared" si="87"/>
        <v>0</v>
      </c>
      <c r="L140" s="341">
        <f t="shared" si="87"/>
        <v>0</v>
      </c>
      <c r="M140" s="341">
        <f t="shared" si="87"/>
        <v>0</v>
      </c>
      <c r="N140" s="341">
        <f t="shared" si="87"/>
        <v>0</v>
      </c>
      <c r="O140" s="341">
        <f t="shared" si="87"/>
        <v>0</v>
      </c>
      <c r="P140" s="341">
        <f t="shared" ref="P140" si="88">AVERAGE(P50,P95)</f>
        <v>0</v>
      </c>
    </row>
    <row r="141" spans="3:31">
      <c r="C141" s="106"/>
      <c r="D141" s="106"/>
    </row>
    <row r="142" spans="3:31">
      <c r="C142" s="106"/>
      <c r="D142" s="106"/>
    </row>
    <row r="143" spans="3:31" s="227" customFormat="1" ht="24">
      <c r="C143" s="222" t="s">
        <v>246</v>
      </c>
      <c r="D143" s="230"/>
      <c r="E143" s="338" t="str">
        <f t="array" ref="E143:P144">Enlaces.decidados.tipos.categorías</f>
        <v>Local</v>
      </c>
      <c r="F143" s="338" t="str">
        <v>Nacional</v>
      </c>
      <c r="G143" s="299" t="str">
        <v>-</v>
      </c>
      <c r="H143" s="299" t="str">
        <v>-</v>
      </c>
      <c r="I143" s="299" t="str">
        <v>-</v>
      </c>
      <c r="J143" s="299" t="str">
        <v>-</v>
      </c>
      <c r="K143" s="338" t="str">
        <v>Internacional</v>
      </c>
      <c r="L143" s="299" t="str">
        <v>-</v>
      </c>
      <c r="M143" s="299" t="str">
        <v>-</v>
      </c>
      <c r="N143" s="299" t="str">
        <v>-</v>
      </c>
      <c r="O143" s="299" t="str">
        <v>-</v>
      </c>
      <c r="P143" s="338" t="str">
        <v>Cruce fronterizo</v>
      </c>
      <c r="AC143" s="299"/>
      <c r="AD143" s="299"/>
      <c r="AE143" s="299"/>
    </row>
    <row r="144" spans="3:31" s="227" customFormat="1" ht="24">
      <c r="C144" s="147" t="s">
        <v>74</v>
      </c>
      <c r="D144" s="230"/>
      <c r="E144" s="299" t="str">
        <v>-</v>
      </c>
      <c r="F144" s="299" t="str">
        <v>-</v>
      </c>
      <c r="G144" s="338" t="str">
        <v>De los cuales 0-81 km</v>
      </c>
      <c r="H144" s="338" t="str">
        <v>De los cuales 81-161 km</v>
      </c>
      <c r="I144" s="338" t="str">
        <v>De los cuales 161-805 km</v>
      </c>
      <c r="J144" s="338" t="str">
        <v>De los cuales  &gt; 805 km</v>
      </c>
      <c r="K144" s="299" t="str">
        <v>-</v>
      </c>
      <c r="L144" s="338" t="str">
        <v>De los cuales 0-81 km</v>
      </c>
      <c r="M144" s="338" t="str">
        <v>De los cuales  81-161 km</v>
      </c>
      <c r="N144" s="338" t="str">
        <v>De los cuales 161-805 km</v>
      </c>
      <c r="O144" s="338" t="str">
        <v>De los cuales  &gt; 805 km</v>
      </c>
      <c r="P144" s="299" t="str">
        <v>-</v>
      </c>
      <c r="AC144" s="299"/>
      <c r="AD144" s="299"/>
      <c r="AE144" s="299"/>
    </row>
    <row r="145" spans="1:16" ht="24">
      <c r="D145" s="106"/>
      <c r="E145" s="338" t="str">
        <f t="array" ref="E145:P146">LL.type.categories</f>
        <v>Local</v>
      </c>
      <c r="F145" s="338" t="str">
        <v>National</v>
      </c>
      <c r="G145" s="299" t="str">
        <v>-</v>
      </c>
      <c r="H145" s="299" t="str">
        <v>-</v>
      </c>
      <c r="I145" s="299" t="str">
        <v>-</v>
      </c>
      <c r="J145" s="299" t="str">
        <v>-</v>
      </c>
      <c r="K145" s="338" t="str">
        <v>International</v>
      </c>
      <c r="L145" s="299" t="str">
        <v>-</v>
      </c>
      <c r="M145" s="299" t="str">
        <v>-</v>
      </c>
      <c r="N145" s="299" t="str">
        <v>-</v>
      </c>
      <c r="O145" s="299" t="str">
        <v>-</v>
      </c>
      <c r="P145" s="338" t="str">
        <v>Border crossing</v>
      </c>
    </row>
    <row r="146" spans="1:16" ht="24">
      <c r="E146" s="299" t="str">
        <v>-</v>
      </c>
      <c r="F146" s="299" t="str">
        <v>-</v>
      </c>
      <c r="G146" s="338" t="str">
        <v>Of which 0-81 Km</v>
      </c>
      <c r="H146" s="338" t="str">
        <v>Of which 81-161 Km</v>
      </c>
      <c r="I146" s="338" t="str">
        <v>Of which 161-805 Km</v>
      </c>
      <c r="J146" s="338" t="str">
        <v>Of which &gt; 805 Km</v>
      </c>
      <c r="K146" s="299" t="str">
        <v>-</v>
      </c>
      <c r="L146" s="338" t="str">
        <v>Of which 0-81 Km</v>
      </c>
      <c r="M146" s="338" t="str">
        <v>Of which 81-161 Km</v>
      </c>
      <c r="N146" s="338" t="str">
        <v>Of which 161-805 Km</v>
      </c>
      <c r="O146" s="338" t="str">
        <v>Of which &gt; 805 Km</v>
      </c>
      <c r="P146" s="299" t="str">
        <v>-</v>
      </c>
    </row>
    <row r="147" spans="1:16">
      <c r="A147"/>
      <c r="C147" s="106"/>
      <c r="D147" s="310" t="str">
        <f t="array" ref="D147:D184">LL.list</f>
        <v>64 kbps</v>
      </c>
      <c r="E147" s="341">
        <f t="array" ref="E147:P184">E13:P50-E58:P95</f>
        <v>-5840.85</v>
      </c>
      <c r="F147" s="341">
        <v>1006.8500000000004</v>
      </c>
      <c r="G147" s="341">
        <v>1220.8499999999999</v>
      </c>
      <c r="H147" s="341">
        <v>-165.03999999999974</v>
      </c>
      <c r="I147" s="341">
        <v>-44.650000000000034</v>
      </c>
      <c r="J147" s="341">
        <v>-4.3099999999999952</v>
      </c>
      <c r="K147" s="341">
        <v>2.870000000000001</v>
      </c>
      <c r="L147" s="341">
        <v>0.14349999999999996</v>
      </c>
      <c r="M147" s="341">
        <v>0.57399999999999984</v>
      </c>
      <c r="N147" s="341">
        <v>0.71750000000000025</v>
      </c>
      <c r="O147" s="341">
        <v>1.4350000000000005</v>
      </c>
      <c r="P147" s="341">
        <v>0.44000000000000128</v>
      </c>
    </row>
    <row r="148" spans="1:16">
      <c r="C148" s="106"/>
      <c r="D148" s="310" t="str">
        <v>128 kbps</v>
      </c>
      <c r="E148" s="341">
        <v>-5093.6799999999994</v>
      </c>
      <c r="F148" s="341">
        <v>-49.4699999999998</v>
      </c>
      <c r="G148" s="341">
        <v>-361.60000000000014</v>
      </c>
      <c r="H148" s="341">
        <v>183.51</v>
      </c>
      <c r="I148" s="341">
        <v>127.46000000000004</v>
      </c>
      <c r="J148" s="341">
        <v>1.1600000000000001</v>
      </c>
      <c r="K148" s="341">
        <v>-2.61</v>
      </c>
      <c r="L148" s="341">
        <v>-0.1305</v>
      </c>
      <c r="M148" s="341">
        <v>-0.52200000000000002</v>
      </c>
      <c r="N148" s="341">
        <v>-0.65249999999999997</v>
      </c>
      <c r="O148" s="341">
        <v>-1.3049999999999999</v>
      </c>
      <c r="P148" s="341">
        <v>0.69999999999999973</v>
      </c>
    </row>
    <row r="149" spans="1:16">
      <c r="C149" s="106"/>
      <c r="D149" s="310" t="str">
        <v>192 kbps</v>
      </c>
      <c r="E149" s="341">
        <v>-121.11000000000013</v>
      </c>
      <c r="F149" s="341">
        <v>-227.08000000000004</v>
      </c>
      <c r="G149" s="341">
        <v>-284.42</v>
      </c>
      <c r="H149" s="341">
        <v>22.349999999999994</v>
      </c>
      <c r="I149" s="341">
        <v>45.669999999999987</v>
      </c>
      <c r="J149" s="341">
        <v>-10.679999999999996</v>
      </c>
      <c r="K149" s="341">
        <v>0</v>
      </c>
      <c r="L149" s="341">
        <v>0</v>
      </c>
      <c r="M149" s="341">
        <v>0</v>
      </c>
      <c r="N149" s="341">
        <v>0</v>
      </c>
      <c r="O149" s="341">
        <v>0</v>
      </c>
      <c r="P149" s="341">
        <v>0</v>
      </c>
    </row>
    <row r="150" spans="1:16">
      <c r="C150" s="106"/>
      <c r="D150" s="310" t="str">
        <v>256 kbps</v>
      </c>
      <c r="E150" s="341">
        <v>-1907.4799999999996</v>
      </c>
      <c r="F150" s="341">
        <v>563.88999999999987</v>
      </c>
      <c r="G150" s="341">
        <v>166.91000000000031</v>
      </c>
      <c r="H150" s="341">
        <v>261.86999999999995</v>
      </c>
      <c r="I150" s="341">
        <v>142.81</v>
      </c>
      <c r="J150" s="341">
        <v>-7.6999999999999993</v>
      </c>
      <c r="K150" s="341">
        <v>-3.7199999999999993</v>
      </c>
      <c r="L150" s="341">
        <v>-0.18599999999999997</v>
      </c>
      <c r="M150" s="341">
        <v>-0.74399999999999988</v>
      </c>
      <c r="N150" s="341">
        <v>-0.92999999999999983</v>
      </c>
      <c r="O150" s="341">
        <v>-1.8599999999999997</v>
      </c>
      <c r="P150" s="341">
        <v>-1.8499999999999996</v>
      </c>
    </row>
    <row r="151" spans="1:16">
      <c r="C151" s="106"/>
      <c r="D151" s="310" t="str">
        <v>384 kbps</v>
      </c>
      <c r="E151" s="341">
        <v>-602.48000000000025</v>
      </c>
      <c r="F151" s="341">
        <v>-211.41000000000031</v>
      </c>
      <c r="G151" s="341">
        <v>-247.66000000000008</v>
      </c>
      <c r="H151" s="341">
        <v>62.339999999999975</v>
      </c>
      <c r="I151" s="341">
        <v>-25.97999999999999</v>
      </c>
      <c r="J151" s="341">
        <v>-0.10999999999999999</v>
      </c>
      <c r="K151" s="341">
        <v>-10.89</v>
      </c>
      <c r="L151" s="341">
        <v>-0.5445000000000001</v>
      </c>
      <c r="M151" s="341">
        <v>-2.1780000000000004</v>
      </c>
      <c r="N151" s="341">
        <v>-2.7225000000000001</v>
      </c>
      <c r="O151" s="341">
        <v>-5.4450000000000003</v>
      </c>
      <c r="P151" s="341">
        <v>0</v>
      </c>
    </row>
    <row r="152" spans="1:16">
      <c r="C152" s="106"/>
      <c r="D152" s="310" t="str">
        <v>512 kbps</v>
      </c>
      <c r="E152" s="341">
        <v>-1318.3000000000002</v>
      </c>
      <c r="F152" s="341">
        <v>-168.00000000000023</v>
      </c>
      <c r="G152" s="341">
        <v>131.30999999999995</v>
      </c>
      <c r="H152" s="341">
        <v>-185.12</v>
      </c>
      <c r="I152" s="341">
        <v>-114.07</v>
      </c>
      <c r="J152" s="341">
        <v>-0.11999999999999988</v>
      </c>
      <c r="K152" s="341">
        <v>-1.3200000000000003</v>
      </c>
      <c r="L152" s="341">
        <v>-6.6000000000000003E-2</v>
      </c>
      <c r="M152" s="341">
        <v>-0.26400000000000001</v>
      </c>
      <c r="N152" s="341">
        <v>-0.33000000000000007</v>
      </c>
      <c r="O152" s="341">
        <v>-0.66000000000000014</v>
      </c>
      <c r="P152" s="341">
        <v>-1.7099999999999997</v>
      </c>
    </row>
    <row r="153" spans="1:16">
      <c r="C153" s="106"/>
      <c r="D153" s="310" t="str">
        <v>768 kbps</v>
      </c>
      <c r="E153" s="341">
        <v>-361.46999999999991</v>
      </c>
      <c r="F153" s="341">
        <v>-36.809999999999945</v>
      </c>
      <c r="G153" s="341">
        <v>-5.3499999999999943</v>
      </c>
      <c r="H153" s="341">
        <v>-7.6800000000000068</v>
      </c>
      <c r="I153" s="341">
        <v>-23.980000000000004</v>
      </c>
      <c r="J153" s="341">
        <v>0.19999999999999996</v>
      </c>
      <c r="K153" s="341">
        <v>-2.14</v>
      </c>
      <c r="L153" s="341">
        <v>-0.10700000000000001</v>
      </c>
      <c r="M153" s="341">
        <v>-0.42800000000000005</v>
      </c>
      <c r="N153" s="341">
        <v>-0.53500000000000003</v>
      </c>
      <c r="O153" s="341">
        <v>-1.07</v>
      </c>
      <c r="P153" s="341">
        <v>-0.82</v>
      </c>
    </row>
    <row r="154" spans="1:16">
      <c r="C154" s="106"/>
      <c r="D154" s="310" t="str">
        <v>1024 kbps</v>
      </c>
      <c r="E154" s="341">
        <v>-257.72000000000003</v>
      </c>
      <c r="F154" s="341">
        <v>-57.82000000000005</v>
      </c>
      <c r="G154" s="341">
        <v>-33.909999999999997</v>
      </c>
      <c r="H154" s="341">
        <v>-23.010000000000005</v>
      </c>
      <c r="I154" s="341">
        <v>-0.42000000000000171</v>
      </c>
      <c r="J154" s="341">
        <v>-0.48</v>
      </c>
      <c r="K154" s="341">
        <v>5.2399999999999993</v>
      </c>
      <c r="L154" s="341">
        <v>0.26199999999999996</v>
      </c>
      <c r="M154" s="341">
        <v>1.0479999999999998</v>
      </c>
      <c r="N154" s="341">
        <v>1.3099999999999998</v>
      </c>
      <c r="O154" s="341">
        <v>2.6199999999999997</v>
      </c>
      <c r="P154" s="341">
        <v>0</v>
      </c>
    </row>
    <row r="155" spans="1:16">
      <c r="C155" s="106"/>
      <c r="D155" s="310" t="str">
        <v>E1 (2.04 Mbps)</v>
      </c>
      <c r="E155" s="341">
        <v>2764.1100000000006</v>
      </c>
      <c r="F155" s="341">
        <v>-1825.8200000000006</v>
      </c>
      <c r="G155" s="341">
        <v>-932.13000000000102</v>
      </c>
      <c r="H155" s="341">
        <v>-406.90999999999985</v>
      </c>
      <c r="I155" s="341">
        <v>-480.49</v>
      </c>
      <c r="J155" s="341">
        <v>-6.2899999999999991</v>
      </c>
      <c r="K155" s="341">
        <v>-10.170000000000002</v>
      </c>
      <c r="L155" s="341">
        <v>-0.50849999999999973</v>
      </c>
      <c r="M155" s="341">
        <v>-2.0339999999999989</v>
      </c>
      <c r="N155" s="341">
        <v>-2.5425000000000004</v>
      </c>
      <c r="O155" s="341">
        <v>-5.0850000000000009</v>
      </c>
      <c r="P155" s="341">
        <v>-84.01</v>
      </c>
    </row>
    <row r="156" spans="1:16">
      <c r="C156" s="106"/>
      <c r="D156" s="310" t="str">
        <v>E2 *</v>
      </c>
      <c r="E156" s="341">
        <v>0</v>
      </c>
      <c r="F156" s="341">
        <v>0</v>
      </c>
      <c r="G156" s="341">
        <v>0</v>
      </c>
      <c r="H156" s="341">
        <v>0</v>
      </c>
      <c r="I156" s="341">
        <v>0</v>
      </c>
      <c r="J156" s="341">
        <v>0</v>
      </c>
      <c r="K156" s="341">
        <v>0</v>
      </c>
      <c r="L156" s="341">
        <v>0</v>
      </c>
      <c r="M156" s="341">
        <v>0</v>
      </c>
      <c r="N156" s="341">
        <v>0</v>
      </c>
      <c r="O156" s="341">
        <v>0</v>
      </c>
      <c r="P156" s="341">
        <v>0</v>
      </c>
    </row>
    <row r="157" spans="1:16" s="299" customFormat="1">
      <c r="C157" s="316"/>
      <c r="D157" s="310" t="str">
        <v>E3 (34 Mbps)</v>
      </c>
      <c r="E157" s="341">
        <v>-74.75</v>
      </c>
      <c r="F157" s="341">
        <v>10.82</v>
      </c>
      <c r="G157" s="341">
        <v>4.2100000000000009</v>
      </c>
      <c r="H157" s="341">
        <v>3.0899999999999981</v>
      </c>
      <c r="I157" s="341">
        <v>3.4800000000000004</v>
      </c>
      <c r="J157" s="341">
        <v>4.0000000000000036E-2</v>
      </c>
      <c r="K157" s="341">
        <v>0</v>
      </c>
      <c r="L157" s="341">
        <v>0</v>
      </c>
      <c r="M157" s="341">
        <v>0</v>
      </c>
      <c r="N157" s="341">
        <v>0</v>
      </c>
      <c r="O157" s="341">
        <v>0</v>
      </c>
      <c r="P157" s="341">
        <v>0</v>
      </c>
    </row>
    <row r="158" spans="1:16" s="299" customFormat="1">
      <c r="C158" s="316"/>
      <c r="D158" s="310" t="str">
        <v>STM-1 (155 Mbps)</v>
      </c>
      <c r="E158" s="341">
        <v>13.240000000000009</v>
      </c>
      <c r="F158" s="341">
        <v>-2.25</v>
      </c>
      <c r="G158" s="341">
        <v>-2.6600000000000006</v>
      </c>
      <c r="H158" s="341">
        <v>-0.29000000000000004</v>
      </c>
      <c r="I158" s="341">
        <v>0.69999999999999929</v>
      </c>
      <c r="J158" s="341">
        <v>0</v>
      </c>
      <c r="K158" s="341">
        <v>0.39000000000000012</v>
      </c>
      <c r="L158" s="341">
        <v>1.9500000000000017E-2</v>
      </c>
      <c r="M158" s="341">
        <v>7.8000000000000069E-2</v>
      </c>
      <c r="N158" s="341">
        <v>9.7500000000000031E-2</v>
      </c>
      <c r="O158" s="341">
        <v>0.19500000000000006</v>
      </c>
      <c r="P158" s="341">
        <v>0</v>
      </c>
    </row>
    <row r="159" spans="1:16" s="299" customFormat="1">
      <c r="C159" s="316"/>
      <c r="D159" s="310" t="str">
        <v>STM-4 (622.08 Mbps)</v>
      </c>
      <c r="E159" s="341">
        <v>1.8299999999999996</v>
      </c>
      <c r="F159" s="341">
        <v>6.0000000000000053E-2</v>
      </c>
      <c r="G159" s="341">
        <v>6.0000000000000053E-2</v>
      </c>
      <c r="H159" s="341">
        <v>0</v>
      </c>
      <c r="I159" s="341">
        <v>0</v>
      </c>
      <c r="J159" s="341">
        <v>0</v>
      </c>
      <c r="K159" s="341">
        <v>0.24</v>
      </c>
      <c r="L159" s="341">
        <v>1.1999999999999997E-2</v>
      </c>
      <c r="M159" s="341">
        <v>4.7999999999999987E-2</v>
      </c>
      <c r="N159" s="341">
        <v>0.06</v>
      </c>
      <c r="O159" s="341">
        <v>0.12</v>
      </c>
      <c r="P159" s="341">
        <v>0</v>
      </c>
    </row>
    <row r="160" spans="1:16" s="299" customFormat="1">
      <c r="C160" s="316"/>
      <c r="D160" s="310" t="str">
        <v>STM-16 (2488.32Mbps)</v>
      </c>
      <c r="E160" s="341">
        <v>-7.0000000000000062E-2</v>
      </c>
      <c r="F160" s="341">
        <v>0</v>
      </c>
      <c r="G160" s="341">
        <v>0</v>
      </c>
      <c r="H160" s="341">
        <v>0</v>
      </c>
      <c r="I160" s="341">
        <v>0</v>
      </c>
      <c r="J160" s="341">
        <v>0</v>
      </c>
      <c r="K160" s="341">
        <v>0.52</v>
      </c>
      <c r="L160" s="341">
        <v>2.6000000000000023E-2</v>
      </c>
      <c r="M160" s="341">
        <v>0.10400000000000009</v>
      </c>
      <c r="N160" s="341">
        <v>0.13</v>
      </c>
      <c r="O160" s="341">
        <v>0.26</v>
      </c>
      <c r="P160" s="341">
        <v>0</v>
      </c>
    </row>
    <row r="161" spans="3:16" s="299" customFormat="1">
      <c r="C161" s="316"/>
      <c r="D161" s="310" t="str">
        <v>STM-64 (9953.28Mbps)</v>
      </c>
      <c r="E161" s="341">
        <v>0</v>
      </c>
      <c r="F161" s="341">
        <v>0</v>
      </c>
      <c r="G161" s="341">
        <v>0</v>
      </c>
      <c r="H161" s="341">
        <v>0</v>
      </c>
      <c r="I161" s="341">
        <v>0</v>
      </c>
      <c r="J161" s="341">
        <v>0</v>
      </c>
      <c r="K161" s="341">
        <v>0</v>
      </c>
      <c r="L161" s="341">
        <v>0</v>
      </c>
      <c r="M161" s="341">
        <v>0</v>
      </c>
      <c r="N161" s="341">
        <v>0</v>
      </c>
      <c r="O161" s="341">
        <v>0</v>
      </c>
      <c r="P161" s="341">
        <v>0</v>
      </c>
    </row>
    <row r="162" spans="3:16" s="299" customFormat="1">
      <c r="C162" s="316"/>
      <c r="D162" s="310" t="str">
        <v>STM-256 (39813.12 Mbps)*</v>
      </c>
      <c r="E162" s="341">
        <v>0</v>
      </c>
      <c r="F162" s="341">
        <v>0</v>
      </c>
      <c r="G162" s="341">
        <v>0</v>
      </c>
      <c r="H162" s="341">
        <v>0</v>
      </c>
      <c r="I162" s="341">
        <v>0</v>
      </c>
      <c r="J162" s="341">
        <v>0</v>
      </c>
      <c r="K162" s="341">
        <v>0</v>
      </c>
      <c r="L162" s="341">
        <v>0</v>
      </c>
      <c r="M162" s="341">
        <v>0</v>
      </c>
      <c r="N162" s="341">
        <v>0</v>
      </c>
      <c r="O162" s="341">
        <v>0</v>
      </c>
      <c r="P162" s="341">
        <v>0</v>
      </c>
    </row>
    <row r="163" spans="3:16" s="299" customFormat="1">
      <c r="C163" s="316"/>
      <c r="D163" s="310" t="str">
        <v>Ethernet (10Mbps)</v>
      </c>
      <c r="E163" s="341">
        <v>632.62000000000012</v>
      </c>
      <c r="F163" s="341">
        <v>134.29999999999995</v>
      </c>
      <c r="G163" s="341">
        <v>85.699999999999989</v>
      </c>
      <c r="H163" s="341">
        <v>-1.6799999999999997</v>
      </c>
      <c r="I163" s="341">
        <v>45.629999999999995</v>
      </c>
      <c r="J163" s="341">
        <v>4.6500000000000004</v>
      </c>
      <c r="K163" s="341">
        <v>0</v>
      </c>
      <c r="L163" s="341">
        <v>0</v>
      </c>
      <c r="M163" s="341">
        <v>0</v>
      </c>
      <c r="N163" s="341">
        <v>0</v>
      </c>
      <c r="O163" s="341">
        <v>0</v>
      </c>
      <c r="P163" s="341">
        <v>0</v>
      </c>
    </row>
    <row r="164" spans="3:16" s="299" customFormat="1">
      <c r="C164" s="316"/>
      <c r="D164" s="310" t="str">
        <v>Ethernet (20Mbps)</v>
      </c>
      <c r="E164" s="341">
        <v>330.87</v>
      </c>
      <c r="F164" s="341">
        <v>48.3</v>
      </c>
      <c r="G164" s="341">
        <v>28.14</v>
      </c>
      <c r="H164" s="341">
        <v>12.66</v>
      </c>
      <c r="I164" s="341">
        <v>7.5500000000000007</v>
      </c>
      <c r="J164" s="341">
        <v>-4.9999999999999822E-2</v>
      </c>
      <c r="K164" s="341">
        <v>0</v>
      </c>
      <c r="L164" s="341">
        <v>0</v>
      </c>
      <c r="M164" s="341">
        <v>0</v>
      </c>
      <c r="N164" s="341">
        <v>0</v>
      </c>
      <c r="O164" s="341">
        <v>0</v>
      </c>
      <c r="P164" s="341">
        <v>0</v>
      </c>
    </row>
    <row r="165" spans="3:16" s="299" customFormat="1">
      <c r="C165" s="316"/>
      <c r="D165" s="310" t="str">
        <v>Ethernet (30Mbps)</v>
      </c>
      <c r="E165" s="341">
        <v>78.730000000000018</v>
      </c>
      <c r="F165" s="341">
        <v>8.0899999999999963</v>
      </c>
      <c r="G165" s="341">
        <v>6.5199999999999987</v>
      </c>
      <c r="H165" s="341">
        <v>0.57000000000000028</v>
      </c>
      <c r="I165" s="341">
        <v>1</v>
      </c>
      <c r="J165" s="341">
        <v>0</v>
      </c>
      <c r="K165" s="341">
        <v>0</v>
      </c>
      <c r="L165" s="341">
        <v>0</v>
      </c>
      <c r="M165" s="341">
        <v>0</v>
      </c>
      <c r="N165" s="341">
        <v>0</v>
      </c>
      <c r="O165" s="341">
        <v>0</v>
      </c>
      <c r="P165" s="341">
        <v>0</v>
      </c>
    </row>
    <row r="166" spans="3:16" s="299" customFormat="1">
      <c r="C166" s="316"/>
      <c r="D166" s="310" t="str">
        <v>Ethernet (40Mbps)</v>
      </c>
      <c r="E166" s="341">
        <v>71.19</v>
      </c>
      <c r="F166" s="341">
        <v>14.870000000000003</v>
      </c>
      <c r="G166" s="341">
        <v>11.8</v>
      </c>
      <c r="H166" s="341">
        <v>1.5099999999999989</v>
      </c>
      <c r="I166" s="341">
        <v>1.5599999999999996</v>
      </c>
      <c r="J166" s="341">
        <v>0</v>
      </c>
      <c r="K166" s="341">
        <v>0</v>
      </c>
      <c r="L166" s="341">
        <v>0</v>
      </c>
      <c r="M166" s="341">
        <v>0</v>
      </c>
      <c r="N166" s="341">
        <v>0</v>
      </c>
      <c r="O166" s="341">
        <v>0</v>
      </c>
      <c r="P166" s="341">
        <v>0</v>
      </c>
    </row>
    <row r="167" spans="3:16" s="299" customFormat="1">
      <c r="C167" s="316"/>
      <c r="D167" s="310" t="str">
        <v>Ethernet (50Mbps)</v>
      </c>
      <c r="E167" s="341">
        <v>60.759999999999991</v>
      </c>
      <c r="F167" s="341">
        <v>22.8</v>
      </c>
      <c r="G167" s="341">
        <v>6.8100000000000005</v>
      </c>
      <c r="H167" s="341">
        <v>2.4000000000000004</v>
      </c>
      <c r="I167" s="341">
        <v>13.59</v>
      </c>
      <c r="J167" s="341">
        <v>0</v>
      </c>
      <c r="K167" s="341">
        <v>0</v>
      </c>
      <c r="L167" s="341">
        <v>0</v>
      </c>
      <c r="M167" s="341">
        <v>0</v>
      </c>
      <c r="N167" s="341">
        <v>0</v>
      </c>
      <c r="O167" s="341">
        <v>0</v>
      </c>
      <c r="P167" s="341">
        <v>0</v>
      </c>
    </row>
    <row r="168" spans="3:16" s="299" customFormat="1">
      <c r="C168" s="316"/>
      <c r="D168" s="310" t="str">
        <v>Ethernet (60Mbps)</v>
      </c>
      <c r="E168" s="341">
        <v>21.76</v>
      </c>
      <c r="F168" s="341">
        <v>1.5499999999999998</v>
      </c>
      <c r="G168" s="341">
        <v>2.4099999999999997</v>
      </c>
      <c r="H168" s="341">
        <v>-1.28</v>
      </c>
      <c r="I168" s="341">
        <v>0.41999999999999993</v>
      </c>
      <c r="J168" s="341">
        <v>0</v>
      </c>
      <c r="K168" s="341">
        <v>0</v>
      </c>
      <c r="L168" s="341">
        <v>0</v>
      </c>
      <c r="M168" s="341">
        <v>0</v>
      </c>
      <c r="N168" s="341">
        <v>0</v>
      </c>
      <c r="O168" s="341">
        <v>0</v>
      </c>
      <c r="P168" s="341">
        <v>0</v>
      </c>
    </row>
    <row r="169" spans="3:16" s="299" customFormat="1">
      <c r="C169" s="316"/>
      <c r="D169" s="310" t="str">
        <v>Ethernet (70Mbps)</v>
      </c>
      <c r="E169" s="341">
        <v>8.7799999999999994</v>
      </c>
      <c r="F169" s="341">
        <v>3.1999999999999997</v>
      </c>
      <c r="G169" s="341">
        <v>0.73</v>
      </c>
      <c r="H169" s="341">
        <v>0.10999999999999988</v>
      </c>
      <c r="I169" s="341">
        <v>2.36</v>
      </c>
      <c r="J169" s="341">
        <v>0</v>
      </c>
      <c r="K169" s="341">
        <v>0</v>
      </c>
      <c r="L169" s="341">
        <v>0</v>
      </c>
      <c r="M169" s="341">
        <v>0</v>
      </c>
      <c r="N169" s="341">
        <v>0</v>
      </c>
      <c r="O169" s="341">
        <v>0</v>
      </c>
      <c r="P169" s="341">
        <v>0</v>
      </c>
    </row>
    <row r="170" spans="3:16" s="299" customFormat="1">
      <c r="C170" s="316"/>
      <c r="D170" s="310" t="str">
        <v>Ethernet (80Mbps)</v>
      </c>
      <c r="E170" s="341">
        <v>21.700000000000003</v>
      </c>
      <c r="F170" s="341">
        <v>1.0000000000000009E-2</v>
      </c>
      <c r="G170" s="341">
        <v>1.0000000000000009E-2</v>
      </c>
      <c r="H170" s="341">
        <v>0</v>
      </c>
      <c r="I170" s="341">
        <v>0</v>
      </c>
      <c r="J170" s="341">
        <v>0</v>
      </c>
      <c r="K170" s="341">
        <v>0</v>
      </c>
      <c r="L170" s="341">
        <v>0</v>
      </c>
      <c r="M170" s="341">
        <v>0</v>
      </c>
      <c r="N170" s="341">
        <v>0</v>
      </c>
      <c r="O170" s="341">
        <v>0</v>
      </c>
      <c r="P170" s="341">
        <v>0</v>
      </c>
    </row>
    <row r="171" spans="3:16" s="299" customFormat="1">
      <c r="C171" s="316"/>
      <c r="D171" s="310" t="str">
        <v>Ethernet (90Mbps)</v>
      </c>
      <c r="E171" s="341">
        <v>1.92</v>
      </c>
      <c r="F171" s="341">
        <v>1.24</v>
      </c>
      <c r="G171" s="341">
        <v>0</v>
      </c>
      <c r="H171" s="341">
        <v>0</v>
      </c>
      <c r="I171" s="341">
        <v>1.24</v>
      </c>
      <c r="J171" s="341">
        <v>0</v>
      </c>
      <c r="K171" s="341">
        <v>0</v>
      </c>
      <c r="L171" s="341">
        <v>0</v>
      </c>
      <c r="M171" s="341">
        <v>0</v>
      </c>
      <c r="N171" s="341">
        <v>0</v>
      </c>
      <c r="O171" s="341">
        <v>0</v>
      </c>
      <c r="P171" s="341">
        <v>0</v>
      </c>
    </row>
    <row r="172" spans="3:16" s="299" customFormat="1">
      <c r="C172" s="316"/>
      <c r="D172" s="310" t="str">
        <v>GigaEthernet (100Mbps)</v>
      </c>
      <c r="E172" s="341">
        <v>52.38000000000001</v>
      </c>
      <c r="F172" s="341">
        <v>-1.5000000000000071</v>
      </c>
      <c r="G172" s="341">
        <v>3.9699999999999971</v>
      </c>
      <c r="H172" s="341">
        <v>-0.39000000000000012</v>
      </c>
      <c r="I172" s="341">
        <v>-5.0800000000000018</v>
      </c>
      <c r="J172" s="341">
        <v>0</v>
      </c>
      <c r="K172" s="341">
        <v>0</v>
      </c>
      <c r="L172" s="341">
        <v>0</v>
      </c>
      <c r="M172" s="341">
        <v>0</v>
      </c>
      <c r="N172" s="341">
        <v>0</v>
      </c>
      <c r="O172" s="341">
        <v>0</v>
      </c>
      <c r="P172" s="341">
        <v>0</v>
      </c>
    </row>
    <row r="173" spans="3:16" s="299" customFormat="1">
      <c r="C173" s="316"/>
      <c r="D173" s="310" t="str">
        <v>GigaEthernet (150Mbps)</v>
      </c>
      <c r="E173" s="341">
        <v>20.83</v>
      </c>
      <c r="F173" s="341">
        <v>2.2000000000000002</v>
      </c>
      <c r="G173" s="341">
        <v>0</v>
      </c>
      <c r="H173" s="341">
        <v>-4.0000000000000036E-2</v>
      </c>
      <c r="I173" s="341">
        <v>2.2400000000000002</v>
      </c>
      <c r="J173" s="341">
        <v>0</v>
      </c>
      <c r="K173" s="341">
        <v>0</v>
      </c>
      <c r="L173" s="341">
        <v>0</v>
      </c>
      <c r="M173" s="341">
        <v>0</v>
      </c>
      <c r="N173" s="341">
        <v>0</v>
      </c>
      <c r="O173" s="341">
        <v>0</v>
      </c>
      <c r="P173" s="341">
        <v>0</v>
      </c>
    </row>
    <row r="174" spans="3:16" s="299" customFormat="1">
      <c r="C174" s="316"/>
      <c r="D174" s="310" t="str">
        <v>GigaEthernet (200Mbps)</v>
      </c>
      <c r="E174" s="341">
        <v>1.0100000000000016</v>
      </c>
      <c r="F174" s="341">
        <v>2.37</v>
      </c>
      <c r="G174" s="341">
        <v>0.20999999999999985</v>
      </c>
      <c r="H174" s="341">
        <v>2.2000000000000002</v>
      </c>
      <c r="I174" s="341">
        <v>-4.0000000000000036E-2</v>
      </c>
      <c r="J174" s="341">
        <v>0</v>
      </c>
      <c r="K174" s="341">
        <v>0</v>
      </c>
      <c r="L174" s="341">
        <v>0</v>
      </c>
      <c r="M174" s="341">
        <v>0</v>
      </c>
      <c r="N174" s="341">
        <v>0</v>
      </c>
      <c r="O174" s="341">
        <v>0</v>
      </c>
      <c r="P174" s="341">
        <v>0</v>
      </c>
    </row>
    <row r="175" spans="3:16" s="299" customFormat="1">
      <c r="C175" s="316"/>
      <c r="D175" s="310" t="str">
        <v>GigaEthernet (250Mbps)</v>
      </c>
      <c r="E175" s="341">
        <v>7.08</v>
      </c>
      <c r="F175" s="341">
        <v>0</v>
      </c>
      <c r="G175" s="341">
        <v>0</v>
      </c>
      <c r="H175" s="341">
        <v>0</v>
      </c>
      <c r="I175" s="341">
        <v>0</v>
      </c>
      <c r="J175" s="341">
        <v>0</v>
      </c>
      <c r="K175" s="341">
        <v>0</v>
      </c>
      <c r="L175" s="341">
        <v>0</v>
      </c>
      <c r="M175" s="341">
        <v>0</v>
      </c>
      <c r="N175" s="341">
        <v>0</v>
      </c>
      <c r="O175" s="341">
        <v>0</v>
      </c>
      <c r="P175" s="341">
        <v>0</v>
      </c>
    </row>
    <row r="176" spans="3:16" s="299" customFormat="1">
      <c r="C176" s="316"/>
      <c r="D176" s="310" t="str">
        <v>GigaEthernet (300Mbps)</v>
      </c>
      <c r="E176" s="341">
        <v>5.8699999999999992</v>
      </c>
      <c r="F176" s="341">
        <v>1.02</v>
      </c>
      <c r="G176" s="341">
        <v>1.02</v>
      </c>
      <c r="H176" s="341">
        <v>0</v>
      </c>
      <c r="I176" s="341">
        <v>0</v>
      </c>
      <c r="J176" s="341">
        <v>0</v>
      </c>
      <c r="K176" s="341">
        <v>0</v>
      </c>
      <c r="L176" s="341">
        <v>0</v>
      </c>
      <c r="M176" s="341">
        <v>0</v>
      </c>
      <c r="N176" s="341">
        <v>0</v>
      </c>
      <c r="O176" s="341">
        <v>0</v>
      </c>
      <c r="P176" s="341">
        <v>0</v>
      </c>
    </row>
    <row r="177" spans="3:31" s="299" customFormat="1">
      <c r="C177" s="316"/>
      <c r="D177" s="310" t="str">
        <v>GigaEthernet (350Mbps)</v>
      </c>
      <c r="E177" s="341">
        <v>0</v>
      </c>
      <c r="F177" s="341">
        <v>0</v>
      </c>
      <c r="G177" s="341">
        <v>0</v>
      </c>
      <c r="H177" s="341">
        <v>0</v>
      </c>
      <c r="I177" s="341">
        <v>0</v>
      </c>
      <c r="J177" s="341">
        <v>0</v>
      </c>
      <c r="K177" s="341">
        <v>0</v>
      </c>
      <c r="L177" s="341">
        <v>0</v>
      </c>
      <c r="M177" s="341">
        <v>0</v>
      </c>
      <c r="N177" s="341">
        <v>0</v>
      </c>
      <c r="O177" s="341">
        <v>0</v>
      </c>
      <c r="P177" s="341">
        <v>0</v>
      </c>
    </row>
    <row r="178" spans="3:31" s="299" customFormat="1">
      <c r="C178" s="316"/>
      <c r="D178" s="310" t="str">
        <v>GigaEthernet (400Mbps)</v>
      </c>
      <c r="E178" s="341">
        <v>0.89</v>
      </c>
      <c r="F178" s="341">
        <v>-6.0000000000000053E-2</v>
      </c>
      <c r="G178" s="341">
        <v>0</v>
      </c>
      <c r="H178" s="341">
        <v>0</v>
      </c>
      <c r="I178" s="341">
        <v>-6.0000000000000053E-2</v>
      </c>
      <c r="J178" s="341">
        <v>0</v>
      </c>
      <c r="K178" s="341">
        <v>0</v>
      </c>
      <c r="L178" s="341">
        <v>0</v>
      </c>
      <c r="M178" s="341">
        <v>0</v>
      </c>
      <c r="N178" s="341">
        <v>0</v>
      </c>
      <c r="O178" s="341">
        <v>0</v>
      </c>
      <c r="P178" s="341">
        <v>0</v>
      </c>
    </row>
    <row r="179" spans="3:31" s="299" customFormat="1">
      <c r="C179" s="316"/>
      <c r="D179" s="310" t="str">
        <v>GigaEthernet (450Mbps)</v>
      </c>
      <c r="E179" s="341">
        <v>0</v>
      </c>
      <c r="F179" s="341">
        <v>0</v>
      </c>
      <c r="G179" s="341">
        <v>0</v>
      </c>
      <c r="H179" s="341">
        <v>0</v>
      </c>
      <c r="I179" s="341">
        <v>0</v>
      </c>
      <c r="J179" s="341">
        <v>0</v>
      </c>
      <c r="K179" s="341">
        <v>0</v>
      </c>
      <c r="L179" s="341">
        <v>0</v>
      </c>
      <c r="M179" s="341">
        <v>0</v>
      </c>
      <c r="N179" s="341">
        <v>0</v>
      </c>
      <c r="O179" s="341">
        <v>0</v>
      </c>
      <c r="P179" s="341">
        <v>0</v>
      </c>
    </row>
    <row r="180" spans="3:31" s="299" customFormat="1">
      <c r="C180" s="316"/>
      <c r="D180" s="310" t="str">
        <v>GigaEthernet (500Mbps)</v>
      </c>
      <c r="E180" s="341">
        <v>1.9300000000000006</v>
      </c>
      <c r="F180" s="341">
        <v>0</v>
      </c>
      <c r="G180" s="341">
        <v>0</v>
      </c>
      <c r="H180" s="341">
        <v>0</v>
      </c>
      <c r="I180" s="341">
        <v>0</v>
      </c>
      <c r="J180" s="341">
        <v>0</v>
      </c>
      <c r="K180" s="341">
        <v>0</v>
      </c>
      <c r="L180" s="341">
        <v>0</v>
      </c>
      <c r="M180" s="341">
        <v>0</v>
      </c>
      <c r="N180" s="341">
        <v>0</v>
      </c>
      <c r="O180" s="341">
        <v>0</v>
      </c>
      <c r="P180" s="341">
        <v>0</v>
      </c>
    </row>
    <row r="181" spans="3:31" s="299" customFormat="1">
      <c r="C181" s="316"/>
      <c r="D181" s="310" t="str">
        <v>GigaEthernet (550Mbps)</v>
      </c>
      <c r="E181" s="341">
        <v>0</v>
      </c>
      <c r="F181" s="341">
        <v>0</v>
      </c>
      <c r="G181" s="341">
        <v>0</v>
      </c>
      <c r="H181" s="341">
        <v>0</v>
      </c>
      <c r="I181" s="341">
        <v>0</v>
      </c>
      <c r="J181" s="341">
        <v>0</v>
      </c>
      <c r="K181" s="341">
        <v>0</v>
      </c>
      <c r="L181" s="341">
        <v>0</v>
      </c>
      <c r="M181" s="341">
        <v>0</v>
      </c>
      <c r="N181" s="341">
        <v>0</v>
      </c>
      <c r="O181" s="341">
        <v>0</v>
      </c>
      <c r="P181" s="341">
        <v>0</v>
      </c>
    </row>
    <row r="182" spans="3:31" s="299" customFormat="1">
      <c r="C182" s="316"/>
      <c r="D182" s="310" t="str">
        <v>GigaEthernet (600Mbps)</v>
      </c>
      <c r="E182" s="341">
        <v>0</v>
      </c>
      <c r="F182" s="341">
        <v>0</v>
      </c>
      <c r="G182" s="341">
        <v>0</v>
      </c>
      <c r="H182" s="341">
        <v>0</v>
      </c>
      <c r="I182" s="341">
        <v>0</v>
      </c>
      <c r="J182" s="341">
        <v>0</v>
      </c>
      <c r="K182" s="341">
        <v>0</v>
      </c>
      <c r="L182" s="341">
        <v>0</v>
      </c>
      <c r="M182" s="341">
        <v>0</v>
      </c>
      <c r="N182" s="341">
        <v>0</v>
      </c>
      <c r="O182" s="341">
        <v>0</v>
      </c>
      <c r="P182" s="341">
        <v>0</v>
      </c>
    </row>
    <row r="183" spans="3:31" s="299" customFormat="1">
      <c r="C183" s="316"/>
      <c r="D183" s="310" t="str">
        <v>GigaEthernet (750Mbps)</v>
      </c>
      <c r="E183" s="341">
        <v>0</v>
      </c>
      <c r="F183" s="341">
        <v>-0.37</v>
      </c>
      <c r="G183" s="341">
        <v>0</v>
      </c>
      <c r="H183" s="341">
        <v>0</v>
      </c>
      <c r="I183" s="341">
        <v>-0.37</v>
      </c>
      <c r="J183" s="341">
        <v>0</v>
      </c>
      <c r="K183" s="341">
        <v>0</v>
      </c>
      <c r="L183" s="341">
        <v>0</v>
      </c>
      <c r="M183" s="341">
        <v>0</v>
      </c>
      <c r="N183" s="341">
        <v>0</v>
      </c>
      <c r="O183" s="341">
        <v>0</v>
      </c>
      <c r="P183" s="341">
        <v>0</v>
      </c>
    </row>
    <row r="184" spans="3:31" s="299" customFormat="1">
      <c r="C184" s="316"/>
      <c r="D184" s="310" t="str">
        <v>GigaEthernet (1 Gbps)</v>
      </c>
      <c r="E184" s="341">
        <v>6.8299999999999983</v>
      </c>
      <c r="F184" s="341">
        <v>1.08</v>
      </c>
      <c r="G184" s="341">
        <v>0</v>
      </c>
      <c r="H184" s="341">
        <v>0</v>
      </c>
      <c r="I184" s="341">
        <v>1.08</v>
      </c>
      <c r="J184" s="341">
        <v>0</v>
      </c>
      <c r="K184" s="341">
        <v>0</v>
      </c>
      <c r="L184" s="341">
        <v>0</v>
      </c>
      <c r="M184" s="341">
        <v>0</v>
      </c>
      <c r="N184" s="341">
        <v>0</v>
      </c>
      <c r="O184" s="341">
        <v>0</v>
      </c>
      <c r="P184" s="341">
        <v>0</v>
      </c>
    </row>
    <row r="185" spans="3:31">
      <c r="C185" s="106"/>
      <c r="D185" s="106"/>
    </row>
    <row r="186" spans="3:31">
      <c r="C186" s="106"/>
      <c r="D186" s="106"/>
    </row>
    <row r="187" spans="3:31" s="221" customFormat="1">
      <c r="C187" s="223" t="s">
        <v>247</v>
      </c>
      <c r="D187" s="222"/>
      <c r="AC187" s="299"/>
      <c r="AD187" s="299"/>
      <c r="AE187" s="299"/>
    </row>
    <row r="188" spans="3:31">
      <c r="C188" s="147" t="s">
        <v>54</v>
      </c>
      <c r="D188" s="106"/>
      <c r="E188" s="84">
        <f>LL.churn</f>
        <v>0.05</v>
      </c>
    </row>
    <row r="189" spans="3:31">
      <c r="C189" s="106"/>
      <c r="D189" s="106"/>
    </row>
    <row r="190" spans="3:31" s="227" customFormat="1">
      <c r="C190" s="230"/>
      <c r="D190" s="230"/>
      <c r="AC190" s="299"/>
      <c r="AD190" s="299"/>
      <c r="AE190" s="299"/>
    </row>
    <row r="191" spans="3:31" s="227" customFormat="1" ht="24">
      <c r="C191" s="224" t="s">
        <v>248</v>
      </c>
      <c r="D191" s="230"/>
      <c r="E191" s="338" t="str">
        <f t="array" ref="E191:P192">Enlaces.decidados.tipos.categorías</f>
        <v>Local</v>
      </c>
      <c r="F191" s="338" t="str">
        <v>Nacional</v>
      </c>
      <c r="G191" s="299" t="str">
        <v>-</v>
      </c>
      <c r="H191" s="299" t="str">
        <v>-</v>
      </c>
      <c r="I191" s="299" t="str">
        <v>-</v>
      </c>
      <c r="J191" s="299" t="str">
        <v>-</v>
      </c>
      <c r="K191" s="338" t="str">
        <v>Internacional</v>
      </c>
      <c r="L191" s="299" t="str">
        <v>-</v>
      </c>
      <c r="M191" s="299" t="str">
        <v>-</v>
      </c>
      <c r="N191" s="299" t="str">
        <v>-</v>
      </c>
      <c r="O191" s="299" t="str">
        <v>-</v>
      </c>
      <c r="P191" s="338" t="str">
        <v>Cruce fronterizo</v>
      </c>
      <c r="AC191" s="299"/>
      <c r="AD191" s="299"/>
      <c r="AE191" s="299"/>
    </row>
    <row r="192" spans="3:31" s="227" customFormat="1" ht="24">
      <c r="C192" s="147" t="s">
        <v>75</v>
      </c>
      <c r="D192" s="230"/>
      <c r="E192" s="299" t="str">
        <v>-</v>
      </c>
      <c r="F192" s="299" t="str">
        <v>-</v>
      </c>
      <c r="G192" s="338" t="str">
        <v>De los cuales 0-81 km</v>
      </c>
      <c r="H192" s="338" t="str">
        <v>De los cuales 81-161 km</v>
      </c>
      <c r="I192" s="338" t="str">
        <v>De los cuales 161-805 km</v>
      </c>
      <c r="J192" s="338" t="str">
        <v>De los cuales  &gt; 805 km</v>
      </c>
      <c r="K192" s="299" t="str">
        <v>-</v>
      </c>
      <c r="L192" s="338" t="str">
        <v>De los cuales 0-81 km</v>
      </c>
      <c r="M192" s="338" t="str">
        <v>De los cuales  81-161 km</v>
      </c>
      <c r="N192" s="338" t="str">
        <v>De los cuales 161-805 km</v>
      </c>
      <c r="O192" s="338" t="str">
        <v>De los cuales  &gt; 805 km</v>
      </c>
      <c r="P192" s="299" t="str">
        <v>-</v>
      </c>
      <c r="AC192" s="299"/>
      <c r="AD192" s="299"/>
      <c r="AE192" s="299"/>
    </row>
    <row r="193" spans="3:16" ht="24">
      <c r="D193" s="106"/>
      <c r="E193" s="338" t="str">
        <f t="array" ref="E193:P194">LL.type.categories</f>
        <v>Local</v>
      </c>
      <c r="F193" s="338" t="str">
        <v>National</v>
      </c>
      <c r="G193" s="299" t="str">
        <v>-</v>
      </c>
      <c r="H193" s="299" t="str">
        <v>-</v>
      </c>
      <c r="I193" s="299" t="str">
        <v>-</v>
      </c>
      <c r="J193" s="299" t="str">
        <v>-</v>
      </c>
      <c r="K193" s="338" t="str">
        <v>International</v>
      </c>
      <c r="L193" s="299" t="str">
        <v>-</v>
      </c>
      <c r="M193" s="299" t="str">
        <v>-</v>
      </c>
      <c r="N193" s="299" t="str">
        <v>-</v>
      </c>
      <c r="O193" s="299" t="str">
        <v>-</v>
      </c>
      <c r="P193" s="338" t="str">
        <v>Border crossing</v>
      </c>
    </row>
    <row r="194" spans="3:16" ht="24">
      <c r="E194" s="299" t="str">
        <v>-</v>
      </c>
      <c r="F194" s="299" t="str">
        <v>-</v>
      </c>
      <c r="G194" s="338" t="str">
        <v>Of which 0-81 Km</v>
      </c>
      <c r="H194" s="338" t="str">
        <v>Of which 81-161 Km</v>
      </c>
      <c r="I194" s="338" t="str">
        <v>Of which 161-805 Km</v>
      </c>
      <c r="J194" s="338" t="str">
        <v>Of which &gt; 805 Km</v>
      </c>
      <c r="K194" s="299" t="str">
        <v>-</v>
      </c>
      <c r="L194" s="338" t="str">
        <v>Of which 0-81 Km</v>
      </c>
      <c r="M194" s="338" t="str">
        <v>Of which 81-161 Km</v>
      </c>
      <c r="N194" s="338" t="str">
        <v>Of which 161-805 Km</v>
      </c>
      <c r="O194" s="338" t="str">
        <v>Of which &gt; 805 Km</v>
      </c>
      <c r="P194" s="299" t="str">
        <v>-</v>
      </c>
    </row>
    <row r="195" spans="3:16">
      <c r="C195" s="106"/>
      <c r="D195" s="310" t="str">
        <f t="array" ref="D195:D232">LL.list</f>
        <v>64 kbps</v>
      </c>
      <c r="E195" s="341">
        <f t="array" ref="E195:P232">IF(E58:P95*E188+E147:P184&lt;0,0,E58:P95*E188+E147:P184)</f>
        <v>0</v>
      </c>
      <c r="F195" s="341">
        <v>1245.1925000000003</v>
      </c>
      <c r="G195" s="341">
        <v>1357.5374999999999</v>
      </c>
      <c r="H195" s="341">
        <v>0</v>
      </c>
      <c r="I195" s="341">
        <v>0</v>
      </c>
      <c r="J195" s="341">
        <v>0</v>
      </c>
      <c r="K195" s="341">
        <v>3.686500000000001</v>
      </c>
      <c r="L195" s="341">
        <v>0.18432499999999996</v>
      </c>
      <c r="M195" s="341">
        <v>0.73729999999999984</v>
      </c>
      <c r="N195" s="341">
        <v>0.92162500000000025</v>
      </c>
      <c r="O195" s="341">
        <v>1.8432500000000005</v>
      </c>
      <c r="P195" s="341">
        <v>0.86600000000000121</v>
      </c>
    </row>
    <row r="196" spans="3:16">
      <c r="C196" s="106"/>
      <c r="D196" s="310" t="str">
        <v>128 kbps</v>
      </c>
      <c r="E196" s="341">
        <v>0</v>
      </c>
      <c r="F196" s="341">
        <v>104.54850000000022</v>
      </c>
      <c r="G196" s="341">
        <v>0</v>
      </c>
      <c r="H196" s="341">
        <v>222.59449999999998</v>
      </c>
      <c r="I196" s="341">
        <v>147.38600000000002</v>
      </c>
      <c r="J196" s="341">
        <v>2.1680000000000001</v>
      </c>
      <c r="K196" s="341">
        <v>0</v>
      </c>
      <c r="L196" s="341">
        <v>0</v>
      </c>
      <c r="M196" s="341">
        <v>0</v>
      </c>
      <c r="N196" s="341">
        <v>0</v>
      </c>
      <c r="O196" s="341">
        <v>0</v>
      </c>
      <c r="P196" s="341">
        <v>0.77899999999999969</v>
      </c>
    </row>
    <row r="197" spans="3:16">
      <c r="C197" s="106"/>
      <c r="D197" s="310" t="str">
        <v>192 kbps</v>
      </c>
      <c r="E197" s="341">
        <v>0</v>
      </c>
      <c r="F197" s="341">
        <v>0</v>
      </c>
      <c r="G197" s="341">
        <v>0</v>
      </c>
      <c r="H197" s="341">
        <v>30.297499999999992</v>
      </c>
      <c r="I197" s="341">
        <v>52.767499999999984</v>
      </c>
      <c r="J197" s="341">
        <v>0</v>
      </c>
      <c r="K197" s="341">
        <v>0</v>
      </c>
      <c r="L197" s="341">
        <v>0</v>
      </c>
      <c r="M197" s="341">
        <v>0</v>
      </c>
      <c r="N197" s="341">
        <v>0</v>
      </c>
      <c r="O197" s="341">
        <v>0</v>
      </c>
      <c r="P197" s="341">
        <v>0</v>
      </c>
    </row>
    <row r="198" spans="3:16">
      <c r="C198" s="106"/>
      <c r="D198" s="310" t="str">
        <v>256 kbps</v>
      </c>
      <c r="E198" s="341">
        <v>0</v>
      </c>
      <c r="F198" s="341">
        <v>694.27399999999989</v>
      </c>
      <c r="G198" s="341">
        <v>256.79900000000032</v>
      </c>
      <c r="H198" s="341">
        <v>285.54749999999996</v>
      </c>
      <c r="I198" s="341">
        <v>158.72</v>
      </c>
      <c r="J198" s="341">
        <v>0</v>
      </c>
      <c r="K198" s="341">
        <v>0</v>
      </c>
      <c r="L198" s="341">
        <v>0</v>
      </c>
      <c r="M198" s="341">
        <v>0</v>
      </c>
      <c r="N198" s="341">
        <v>0</v>
      </c>
      <c r="O198" s="341">
        <v>0</v>
      </c>
      <c r="P198" s="341">
        <v>0</v>
      </c>
    </row>
    <row r="199" spans="3:16">
      <c r="C199" s="106"/>
      <c r="D199" s="310" t="str">
        <v>384 kbps</v>
      </c>
      <c r="E199" s="341">
        <v>0</v>
      </c>
      <c r="F199" s="341">
        <v>0</v>
      </c>
      <c r="G199" s="341">
        <v>0</v>
      </c>
      <c r="H199" s="341">
        <v>80.765999999999977</v>
      </c>
      <c r="I199" s="341">
        <v>0</v>
      </c>
      <c r="J199" s="341">
        <v>0</v>
      </c>
      <c r="K199" s="341">
        <v>0</v>
      </c>
      <c r="L199" s="341">
        <v>0</v>
      </c>
      <c r="M199" s="341">
        <v>0</v>
      </c>
      <c r="N199" s="341">
        <v>0</v>
      </c>
      <c r="O199" s="341">
        <v>0</v>
      </c>
      <c r="P199" s="341">
        <v>0</v>
      </c>
    </row>
    <row r="200" spans="3:16">
      <c r="C200" s="106"/>
      <c r="D200" s="310" t="str">
        <v>512 kbps</v>
      </c>
      <c r="E200" s="341">
        <v>0</v>
      </c>
      <c r="F200" s="341">
        <v>0</v>
      </c>
      <c r="G200" s="341">
        <v>172.17449999999997</v>
      </c>
      <c r="H200" s="341">
        <v>0</v>
      </c>
      <c r="I200" s="341">
        <v>0</v>
      </c>
      <c r="J200" s="341">
        <v>0</v>
      </c>
      <c r="K200" s="341">
        <v>0</v>
      </c>
      <c r="L200" s="341">
        <v>0</v>
      </c>
      <c r="M200" s="341">
        <v>0</v>
      </c>
      <c r="N200" s="341">
        <v>0</v>
      </c>
      <c r="O200" s="341">
        <v>0</v>
      </c>
      <c r="P200" s="341">
        <v>0</v>
      </c>
    </row>
    <row r="201" spans="3:16">
      <c r="C201" s="106"/>
      <c r="D201" s="310" t="str">
        <v>768 kbps</v>
      </c>
      <c r="E201" s="341">
        <v>0</v>
      </c>
      <c r="F201" s="341">
        <v>0</v>
      </c>
      <c r="G201" s="341">
        <v>4.8925000000000054</v>
      </c>
      <c r="H201" s="341">
        <v>0</v>
      </c>
      <c r="I201" s="341">
        <v>0</v>
      </c>
      <c r="J201" s="341">
        <v>0.25399999999999995</v>
      </c>
      <c r="K201" s="341">
        <v>0</v>
      </c>
      <c r="L201" s="341">
        <v>0</v>
      </c>
      <c r="M201" s="341">
        <v>0</v>
      </c>
      <c r="N201" s="341">
        <v>0</v>
      </c>
      <c r="O201" s="341">
        <v>0</v>
      </c>
      <c r="P201" s="341">
        <v>0</v>
      </c>
    </row>
    <row r="202" spans="3:16">
      <c r="C202" s="106"/>
      <c r="D202" s="310" t="str">
        <v>1024 kbps</v>
      </c>
      <c r="E202" s="341">
        <v>0</v>
      </c>
      <c r="F202" s="341">
        <v>0</v>
      </c>
      <c r="G202" s="341">
        <v>0</v>
      </c>
      <c r="H202" s="341">
        <v>0</v>
      </c>
      <c r="I202" s="341">
        <v>1.5509999999999984</v>
      </c>
      <c r="J202" s="341">
        <v>0</v>
      </c>
      <c r="K202" s="341">
        <v>5.4579999999999993</v>
      </c>
      <c r="L202" s="341">
        <v>0.27289999999999998</v>
      </c>
      <c r="M202" s="341">
        <v>1.0915999999999999</v>
      </c>
      <c r="N202" s="341">
        <v>1.3644999999999998</v>
      </c>
      <c r="O202" s="341">
        <v>2.7289999999999996</v>
      </c>
      <c r="P202" s="341">
        <v>0</v>
      </c>
    </row>
    <row r="203" spans="3:16">
      <c r="C203" s="106"/>
      <c r="D203" s="310" t="str">
        <v>E1 (2.04 Mbps)</v>
      </c>
      <c r="E203" s="341">
        <v>3954.2700000000004</v>
      </c>
      <c r="F203" s="341">
        <v>0</v>
      </c>
      <c r="G203" s="341">
        <v>0</v>
      </c>
      <c r="H203" s="341">
        <v>0</v>
      </c>
      <c r="I203" s="341">
        <v>0</v>
      </c>
      <c r="J203" s="341">
        <v>0</v>
      </c>
      <c r="K203" s="341">
        <v>0</v>
      </c>
      <c r="L203" s="341">
        <v>0</v>
      </c>
      <c r="M203" s="341">
        <v>0</v>
      </c>
      <c r="N203" s="341">
        <v>0</v>
      </c>
      <c r="O203" s="341">
        <v>0</v>
      </c>
      <c r="P203" s="341">
        <v>0</v>
      </c>
    </row>
    <row r="204" spans="3:16">
      <c r="C204" s="106"/>
      <c r="D204" s="310" t="str">
        <v>E2 *</v>
      </c>
      <c r="E204" s="341">
        <v>0</v>
      </c>
      <c r="F204" s="341">
        <v>0</v>
      </c>
      <c r="G204" s="341">
        <v>0</v>
      </c>
      <c r="H204" s="341">
        <v>0</v>
      </c>
      <c r="I204" s="341">
        <v>0</v>
      </c>
      <c r="J204" s="341">
        <v>0</v>
      </c>
      <c r="K204" s="341">
        <v>0</v>
      </c>
      <c r="L204" s="341">
        <v>0</v>
      </c>
      <c r="M204" s="341">
        <v>0</v>
      </c>
      <c r="N204" s="341">
        <v>0</v>
      </c>
      <c r="O204" s="341">
        <v>0</v>
      </c>
      <c r="P204" s="341">
        <v>0</v>
      </c>
    </row>
    <row r="205" spans="3:16" s="299" customFormat="1">
      <c r="C205" s="316"/>
      <c r="D205" s="310" t="str">
        <v>E3 (34 Mbps)</v>
      </c>
      <c r="E205" s="341">
        <v>0</v>
      </c>
      <c r="F205" s="341">
        <v>13.098000000000001</v>
      </c>
      <c r="G205" s="341">
        <v>5.4350000000000005</v>
      </c>
      <c r="H205" s="341">
        <v>3.6699999999999982</v>
      </c>
      <c r="I205" s="341">
        <v>3.9000000000000004</v>
      </c>
      <c r="J205" s="341">
        <v>9.3000000000000041E-2</v>
      </c>
      <c r="K205" s="341">
        <v>0</v>
      </c>
      <c r="L205" s="341">
        <v>0</v>
      </c>
      <c r="M205" s="341">
        <v>0</v>
      </c>
      <c r="N205" s="341">
        <v>0</v>
      </c>
      <c r="O205" s="341">
        <v>0</v>
      </c>
      <c r="P205" s="341">
        <v>0</v>
      </c>
    </row>
    <row r="206" spans="3:16" s="299" customFormat="1">
      <c r="C206" s="316"/>
      <c r="D206" s="310" t="str">
        <v>STM-1 (155 Mbps)</v>
      </c>
      <c r="E206" s="341">
        <v>27.490000000000009</v>
      </c>
      <c r="F206" s="341">
        <v>0</v>
      </c>
      <c r="G206" s="341">
        <v>0</v>
      </c>
      <c r="H206" s="341">
        <v>0</v>
      </c>
      <c r="I206" s="341">
        <v>1.6594999999999995</v>
      </c>
      <c r="J206" s="341">
        <v>0</v>
      </c>
      <c r="K206" s="341">
        <v>0.49500000000000011</v>
      </c>
      <c r="L206" s="341">
        <v>2.4750000000000015E-2</v>
      </c>
      <c r="M206" s="341">
        <v>9.900000000000006E-2</v>
      </c>
      <c r="N206" s="341">
        <v>0.12375000000000003</v>
      </c>
      <c r="O206" s="341">
        <v>0.24750000000000005</v>
      </c>
      <c r="P206" s="341">
        <v>0</v>
      </c>
    </row>
    <row r="207" spans="3:16" s="299" customFormat="1">
      <c r="C207" s="316"/>
      <c r="D207" s="310" t="str">
        <v>STM-4 (622.08 Mbps)</v>
      </c>
      <c r="E207" s="341">
        <v>1.9079999999999997</v>
      </c>
      <c r="F207" s="341">
        <v>0.17800000000000005</v>
      </c>
      <c r="G207" s="341">
        <v>0.17800000000000005</v>
      </c>
      <c r="H207" s="341">
        <v>0</v>
      </c>
      <c r="I207" s="341">
        <v>0</v>
      </c>
      <c r="J207" s="341">
        <v>0</v>
      </c>
      <c r="K207" s="341">
        <v>0.27900000000000003</v>
      </c>
      <c r="L207" s="341">
        <v>1.3949999999999997E-2</v>
      </c>
      <c r="M207" s="341">
        <v>5.5799999999999988E-2</v>
      </c>
      <c r="N207" s="341">
        <v>6.9750000000000006E-2</v>
      </c>
      <c r="O207" s="341">
        <v>0.13950000000000001</v>
      </c>
      <c r="P207" s="341">
        <v>0</v>
      </c>
    </row>
    <row r="208" spans="3:16" s="299" customFormat="1">
      <c r="C208" s="316"/>
      <c r="D208" s="310" t="str">
        <v>STM-16 (2488.32Mbps)</v>
      </c>
      <c r="E208" s="341">
        <v>0</v>
      </c>
      <c r="F208" s="341">
        <v>0</v>
      </c>
      <c r="G208" s="341">
        <v>0</v>
      </c>
      <c r="H208" s="341">
        <v>0</v>
      </c>
      <c r="I208" s="341">
        <v>0</v>
      </c>
      <c r="J208" s="341">
        <v>0</v>
      </c>
      <c r="K208" s="341">
        <v>0.66600000000000004</v>
      </c>
      <c r="L208" s="341">
        <v>3.3300000000000024E-2</v>
      </c>
      <c r="M208" s="341">
        <v>0.1332000000000001</v>
      </c>
      <c r="N208" s="341">
        <v>0.16650000000000001</v>
      </c>
      <c r="O208" s="341">
        <v>0.33300000000000002</v>
      </c>
      <c r="P208" s="341">
        <v>0</v>
      </c>
    </row>
    <row r="209" spans="3:16" s="299" customFormat="1">
      <c r="C209" s="316"/>
      <c r="D209" s="310" t="str">
        <v>STM-64 (9953.28Mbps)</v>
      </c>
      <c r="E209" s="341">
        <v>0</v>
      </c>
      <c r="F209" s="341">
        <v>0</v>
      </c>
      <c r="G209" s="341">
        <v>0</v>
      </c>
      <c r="H209" s="341">
        <v>0</v>
      </c>
      <c r="I209" s="341">
        <v>0</v>
      </c>
      <c r="J209" s="341">
        <v>0</v>
      </c>
      <c r="K209" s="341">
        <v>0</v>
      </c>
      <c r="L209" s="341">
        <v>0</v>
      </c>
      <c r="M209" s="341">
        <v>0</v>
      </c>
      <c r="N209" s="341">
        <v>0</v>
      </c>
      <c r="O209" s="341">
        <v>0</v>
      </c>
      <c r="P209" s="341">
        <v>0</v>
      </c>
    </row>
    <row r="210" spans="3:16" s="299" customFormat="1">
      <c r="C210" s="316"/>
      <c r="D210" s="310" t="str">
        <v>STM-256 (39813.12 Mbps)*</v>
      </c>
      <c r="E210" s="341">
        <v>0</v>
      </c>
      <c r="F210" s="341">
        <v>0</v>
      </c>
      <c r="G210" s="341">
        <v>0</v>
      </c>
      <c r="H210" s="341">
        <v>0</v>
      </c>
      <c r="I210" s="341">
        <v>0</v>
      </c>
      <c r="J210" s="341">
        <v>0</v>
      </c>
      <c r="K210" s="341">
        <v>0</v>
      </c>
      <c r="L210" s="341">
        <v>0</v>
      </c>
      <c r="M210" s="341">
        <v>0</v>
      </c>
      <c r="N210" s="341">
        <v>0</v>
      </c>
      <c r="O210" s="341">
        <v>0</v>
      </c>
      <c r="P210" s="341">
        <v>0</v>
      </c>
    </row>
    <row r="211" spans="3:16" s="299" customFormat="1">
      <c r="C211" s="316"/>
      <c r="D211" s="310" t="str">
        <v>Ethernet (10Mbps)</v>
      </c>
      <c r="E211" s="341">
        <v>680.68400000000008</v>
      </c>
      <c r="F211" s="341">
        <v>141.33549999999997</v>
      </c>
      <c r="G211" s="341">
        <v>88.551999999999992</v>
      </c>
      <c r="H211" s="341">
        <v>0.38400000000000034</v>
      </c>
      <c r="I211" s="341">
        <v>47.674499999999995</v>
      </c>
      <c r="J211" s="341">
        <v>4.7250000000000005</v>
      </c>
      <c r="K211" s="341">
        <v>0</v>
      </c>
      <c r="L211" s="341">
        <v>0</v>
      </c>
      <c r="M211" s="341">
        <v>0</v>
      </c>
      <c r="N211" s="341">
        <v>0</v>
      </c>
      <c r="O211" s="341">
        <v>0</v>
      </c>
      <c r="P211" s="341">
        <v>0</v>
      </c>
    </row>
    <row r="212" spans="3:16" s="299" customFormat="1">
      <c r="C212" s="316"/>
      <c r="D212" s="310" t="str">
        <v>Ethernet (20Mbps)</v>
      </c>
      <c r="E212" s="341">
        <v>347.24250000000001</v>
      </c>
      <c r="F212" s="341">
        <v>50.249499999999998</v>
      </c>
      <c r="G212" s="341">
        <v>29.01</v>
      </c>
      <c r="H212" s="341">
        <v>12.964500000000001</v>
      </c>
      <c r="I212" s="341">
        <v>8.0725000000000016</v>
      </c>
      <c r="J212" s="341">
        <v>0.20250000000000018</v>
      </c>
      <c r="K212" s="341">
        <v>0</v>
      </c>
      <c r="L212" s="341">
        <v>0</v>
      </c>
      <c r="M212" s="341">
        <v>0</v>
      </c>
      <c r="N212" s="341">
        <v>0</v>
      </c>
      <c r="O212" s="341">
        <v>0</v>
      </c>
      <c r="P212" s="341">
        <v>0</v>
      </c>
    </row>
    <row r="213" spans="3:16" s="299" customFormat="1">
      <c r="C213" s="316"/>
      <c r="D213" s="310" t="str">
        <v>Ethernet (30Mbps)</v>
      </c>
      <c r="E213" s="341">
        <v>85.802500000000023</v>
      </c>
      <c r="F213" s="341">
        <v>9.2739999999999956</v>
      </c>
      <c r="G213" s="341">
        <v>6.8839999999999986</v>
      </c>
      <c r="H213" s="341">
        <v>0.87000000000000033</v>
      </c>
      <c r="I213" s="341">
        <v>1.52</v>
      </c>
      <c r="J213" s="341">
        <v>0</v>
      </c>
      <c r="K213" s="341">
        <v>0</v>
      </c>
      <c r="L213" s="341">
        <v>0</v>
      </c>
      <c r="M213" s="341">
        <v>0</v>
      </c>
      <c r="N213" s="341">
        <v>0</v>
      </c>
      <c r="O213" s="341">
        <v>0</v>
      </c>
      <c r="P213" s="341">
        <v>0</v>
      </c>
    </row>
    <row r="214" spans="3:16" s="299" customFormat="1">
      <c r="C214" s="316"/>
      <c r="D214" s="310" t="str">
        <v>Ethernet (40Mbps)</v>
      </c>
      <c r="E214" s="341">
        <v>73.539000000000001</v>
      </c>
      <c r="F214" s="341">
        <v>15.602500000000003</v>
      </c>
      <c r="G214" s="341">
        <v>11.99</v>
      </c>
      <c r="H214" s="341">
        <v>1.7824999999999989</v>
      </c>
      <c r="I214" s="341">
        <v>1.8299999999999996</v>
      </c>
      <c r="J214" s="341">
        <v>0</v>
      </c>
      <c r="K214" s="341">
        <v>0</v>
      </c>
      <c r="L214" s="341">
        <v>0</v>
      </c>
      <c r="M214" s="341">
        <v>0</v>
      </c>
      <c r="N214" s="341">
        <v>0</v>
      </c>
      <c r="O214" s="341">
        <v>0</v>
      </c>
      <c r="P214" s="341">
        <v>0</v>
      </c>
    </row>
    <row r="215" spans="3:16" s="299" customFormat="1">
      <c r="C215" s="316"/>
      <c r="D215" s="310" t="str">
        <v>Ethernet (50Mbps)</v>
      </c>
      <c r="E215" s="341">
        <v>64.399999999999991</v>
      </c>
      <c r="F215" s="341">
        <v>24.399000000000001</v>
      </c>
      <c r="G215" s="341">
        <v>6.9645000000000001</v>
      </c>
      <c r="H215" s="341">
        <v>2.5080000000000005</v>
      </c>
      <c r="I215" s="341">
        <v>14.926500000000001</v>
      </c>
      <c r="J215" s="341">
        <v>0</v>
      </c>
      <c r="K215" s="341">
        <v>0</v>
      </c>
      <c r="L215" s="341">
        <v>0</v>
      </c>
      <c r="M215" s="341">
        <v>0</v>
      </c>
      <c r="N215" s="341">
        <v>0</v>
      </c>
      <c r="O215" s="341">
        <v>0</v>
      </c>
      <c r="P215" s="341">
        <v>0</v>
      </c>
    </row>
    <row r="216" spans="3:16" s="299" customFormat="1">
      <c r="C216" s="316"/>
      <c r="D216" s="310" t="str">
        <v>Ethernet (60Mbps)</v>
      </c>
      <c r="E216" s="341">
        <v>22.336000000000002</v>
      </c>
      <c r="F216" s="341">
        <v>1.8419999999999999</v>
      </c>
      <c r="G216" s="341">
        <v>2.5379999999999998</v>
      </c>
      <c r="H216" s="341">
        <v>0</v>
      </c>
      <c r="I216" s="341">
        <v>0.51999999999999991</v>
      </c>
      <c r="J216" s="341">
        <v>0</v>
      </c>
      <c r="K216" s="341">
        <v>0</v>
      </c>
      <c r="L216" s="341">
        <v>0</v>
      </c>
      <c r="M216" s="341">
        <v>0</v>
      </c>
      <c r="N216" s="341">
        <v>0</v>
      </c>
      <c r="O216" s="341">
        <v>0</v>
      </c>
      <c r="P216" s="341">
        <v>0</v>
      </c>
    </row>
    <row r="217" spans="3:16" s="299" customFormat="1">
      <c r="C217" s="316"/>
      <c r="D217" s="310" t="str">
        <v>Ethernet (70Mbps)</v>
      </c>
      <c r="E217" s="341">
        <v>9.2419999999999991</v>
      </c>
      <c r="F217" s="341">
        <v>3.3134999999999999</v>
      </c>
      <c r="G217" s="341">
        <v>0.79149999999999998</v>
      </c>
      <c r="H217" s="341">
        <v>0.16199999999999987</v>
      </c>
      <c r="I217" s="341">
        <v>2.36</v>
      </c>
      <c r="J217" s="341">
        <v>0</v>
      </c>
      <c r="K217" s="341">
        <v>0</v>
      </c>
      <c r="L217" s="341">
        <v>0</v>
      </c>
      <c r="M217" s="341">
        <v>0</v>
      </c>
      <c r="N217" s="341">
        <v>0</v>
      </c>
      <c r="O217" s="341">
        <v>0</v>
      </c>
      <c r="P217" s="341">
        <v>0</v>
      </c>
    </row>
    <row r="218" spans="3:16" s="299" customFormat="1">
      <c r="C218" s="316"/>
      <c r="D218" s="310" t="str">
        <v>Ethernet (80Mbps)</v>
      </c>
      <c r="E218" s="341">
        <v>22.087000000000003</v>
      </c>
      <c r="F218" s="341">
        <v>5.1500000000000011E-2</v>
      </c>
      <c r="G218" s="341">
        <v>5.1500000000000011E-2</v>
      </c>
      <c r="H218" s="341">
        <v>0</v>
      </c>
      <c r="I218" s="341">
        <v>0</v>
      </c>
      <c r="J218" s="341">
        <v>0</v>
      </c>
      <c r="K218" s="341">
        <v>0</v>
      </c>
      <c r="L218" s="341">
        <v>0</v>
      </c>
      <c r="M218" s="341">
        <v>0</v>
      </c>
      <c r="N218" s="341">
        <v>0</v>
      </c>
      <c r="O218" s="341">
        <v>0</v>
      </c>
      <c r="P218" s="341">
        <v>0</v>
      </c>
    </row>
    <row r="219" spans="3:16" s="299" customFormat="1">
      <c r="C219" s="316"/>
      <c r="D219" s="310" t="str">
        <v>Ethernet (90Mbps)</v>
      </c>
      <c r="E219" s="341">
        <v>1.994</v>
      </c>
      <c r="F219" s="341">
        <v>1.24</v>
      </c>
      <c r="G219" s="341">
        <v>0</v>
      </c>
      <c r="H219" s="341">
        <v>0</v>
      </c>
      <c r="I219" s="341">
        <v>1.24</v>
      </c>
      <c r="J219" s="341">
        <v>0</v>
      </c>
      <c r="K219" s="341">
        <v>0</v>
      </c>
      <c r="L219" s="341">
        <v>0</v>
      </c>
      <c r="M219" s="341">
        <v>0</v>
      </c>
      <c r="N219" s="341">
        <v>0</v>
      </c>
      <c r="O219" s="341">
        <v>0</v>
      </c>
      <c r="P219" s="341">
        <v>0</v>
      </c>
    </row>
    <row r="220" spans="3:16" s="299" customFormat="1">
      <c r="C220" s="316"/>
      <c r="D220" s="310" t="str">
        <v>GigaEthernet (100Mbps)</v>
      </c>
      <c r="E220" s="341">
        <v>56.900000000000006</v>
      </c>
      <c r="F220" s="341">
        <v>0.36849999999999317</v>
      </c>
      <c r="G220" s="341">
        <v>4.5624999999999973</v>
      </c>
      <c r="H220" s="341">
        <v>0</v>
      </c>
      <c r="I220" s="341">
        <v>0</v>
      </c>
      <c r="J220" s="341">
        <v>0</v>
      </c>
      <c r="K220" s="341">
        <v>0</v>
      </c>
      <c r="L220" s="341">
        <v>0</v>
      </c>
      <c r="M220" s="341">
        <v>0</v>
      </c>
      <c r="N220" s="341">
        <v>0</v>
      </c>
      <c r="O220" s="341">
        <v>0</v>
      </c>
      <c r="P220" s="341">
        <v>0</v>
      </c>
    </row>
    <row r="221" spans="3:16" s="299" customFormat="1">
      <c r="C221" s="316"/>
      <c r="D221" s="310" t="str">
        <v>GigaEthernet (150Mbps)</v>
      </c>
      <c r="E221" s="341">
        <v>22.220499999999998</v>
      </c>
      <c r="F221" s="341">
        <v>2.4400000000000004</v>
      </c>
      <c r="G221" s="341">
        <v>0</v>
      </c>
      <c r="H221" s="341">
        <v>0.19999999999999996</v>
      </c>
      <c r="I221" s="341">
        <v>2.2400000000000002</v>
      </c>
      <c r="J221" s="341">
        <v>0</v>
      </c>
      <c r="K221" s="341">
        <v>0</v>
      </c>
      <c r="L221" s="341">
        <v>0</v>
      </c>
      <c r="M221" s="341">
        <v>0</v>
      </c>
      <c r="N221" s="341">
        <v>0</v>
      </c>
      <c r="O221" s="341">
        <v>0</v>
      </c>
      <c r="P221" s="341">
        <v>0</v>
      </c>
    </row>
    <row r="222" spans="3:16" s="299" customFormat="1">
      <c r="C222" s="316"/>
      <c r="D222" s="310" t="str">
        <v>GigaEthernet (200Mbps)</v>
      </c>
      <c r="E222" s="341">
        <v>1.9025000000000016</v>
      </c>
      <c r="F222" s="341">
        <v>2.5430000000000001</v>
      </c>
      <c r="G222" s="341">
        <v>0.25599999999999984</v>
      </c>
      <c r="H222" s="341">
        <v>2.2000000000000002</v>
      </c>
      <c r="I222" s="341">
        <v>8.6999999999999966E-2</v>
      </c>
      <c r="J222" s="341">
        <v>0</v>
      </c>
      <c r="K222" s="341">
        <v>0</v>
      </c>
      <c r="L222" s="341">
        <v>0</v>
      </c>
      <c r="M222" s="341">
        <v>0</v>
      </c>
      <c r="N222" s="341">
        <v>0</v>
      </c>
      <c r="O222" s="341">
        <v>0</v>
      </c>
      <c r="P222" s="341">
        <v>0</v>
      </c>
    </row>
    <row r="223" spans="3:16" s="299" customFormat="1">
      <c r="C223" s="316"/>
      <c r="D223" s="310" t="str">
        <v>GigaEthernet (250Mbps)</v>
      </c>
      <c r="E223" s="341">
        <v>7.08</v>
      </c>
      <c r="F223" s="341">
        <v>0</v>
      </c>
      <c r="G223" s="341">
        <v>0</v>
      </c>
      <c r="H223" s="341">
        <v>0</v>
      </c>
      <c r="I223" s="341">
        <v>0</v>
      </c>
      <c r="J223" s="341">
        <v>0</v>
      </c>
      <c r="K223" s="341">
        <v>0</v>
      </c>
      <c r="L223" s="341">
        <v>0</v>
      </c>
      <c r="M223" s="341">
        <v>0</v>
      </c>
      <c r="N223" s="341">
        <v>0</v>
      </c>
      <c r="O223" s="341">
        <v>0</v>
      </c>
      <c r="P223" s="341">
        <v>0</v>
      </c>
    </row>
    <row r="224" spans="3:16" s="299" customFormat="1">
      <c r="C224" s="316"/>
      <c r="D224" s="310" t="str">
        <v>GigaEthernet (300Mbps)</v>
      </c>
      <c r="E224" s="341">
        <v>5.9499999999999993</v>
      </c>
      <c r="F224" s="341">
        <v>1.0720000000000001</v>
      </c>
      <c r="G224" s="341">
        <v>1.0720000000000001</v>
      </c>
      <c r="H224" s="341">
        <v>0</v>
      </c>
      <c r="I224" s="341">
        <v>0</v>
      </c>
      <c r="J224" s="341">
        <v>0</v>
      </c>
      <c r="K224" s="341">
        <v>0</v>
      </c>
      <c r="L224" s="341">
        <v>0</v>
      </c>
      <c r="M224" s="341">
        <v>0</v>
      </c>
      <c r="N224" s="341">
        <v>0</v>
      </c>
      <c r="O224" s="341">
        <v>0</v>
      </c>
      <c r="P224" s="341">
        <v>0</v>
      </c>
    </row>
    <row r="225" spans="3:31" s="299" customFormat="1">
      <c r="C225" s="316"/>
      <c r="D225" s="310" t="str">
        <v>GigaEthernet (350Mbps)</v>
      </c>
      <c r="E225" s="341">
        <v>0</v>
      </c>
      <c r="F225" s="341">
        <v>0</v>
      </c>
      <c r="G225" s="341">
        <v>0</v>
      </c>
      <c r="H225" s="341">
        <v>0</v>
      </c>
      <c r="I225" s="341">
        <v>0</v>
      </c>
      <c r="J225" s="341">
        <v>0</v>
      </c>
      <c r="K225" s="341">
        <v>0</v>
      </c>
      <c r="L225" s="341">
        <v>0</v>
      </c>
      <c r="M225" s="341">
        <v>0</v>
      </c>
      <c r="N225" s="341">
        <v>0</v>
      </c>
      <c r="O225" s="341">
        <v>0</v>
      </c>
      <c r="P225" s="341">
        <v>0</v>
      </c>
    </row>
    <row r="226" spans="3:31" s="299" customFormat="1">
      <c r="C226" s="316"/>
      <c r="D226" s="310" t="str">
        <v>GigaEthernet (400Mbps)</v>
      </c>
      <c r="E226" s="341">
        <v>0.89</v>
      </c>
      <c r="F226" s="341">
        <v>2.5999999999999954E-2</v>
      </c>
      <c r="G226" s="341">
        <v>0</v>
      </c>
      <c r="H226" s="341">
        <v>0</v>
      </c>
      <c r="I226" s="341">
        <v>2.5999999999999954E-2</v>
      </c>
      <c r="J226" s="341">
        <v>0</v>
      </c>
      <c r="K226" s="341">
        <v>0</v>
      </c>
      <c r="L226" s="341">
        <v>0</v>
      </c>
      <c r="M226" s="341">
        <v>0</v>
      </c>
      <c r="N226" s="341">
        <v>0</v>
      </c>
      <c r="O226" s="341">
        <v>0</v>
      </c>
      <c r="P226" s="341">
        <v>0</v>
      </c>
    </row>
    <row r="227" spans="3:31" s="299" customFormat="1">
      <c r="C227" s="316"/>
      <c r="D227" s="310" t="str">
        <v>GigaEthernet (450Mbps)</v>
      </c>
      <c r="E227" s="341">
        <v>0</v>
      </c>
      <c r="F227" s="341">
        <v>0</v>
      </c>
      <c r="G227" s="341">
        <v>0</v>
      </c>
      <c r="H227" s="341">
        <v>0</v>
      </c>
      <c r="I227" s="341">
        <v>0</v>
      </c>
      <c r="J227" s="341">
        <v>0</v>
      </c>
      <c r="K227" s="341">
        <v>0</v>
      </c>
      <c r="L227" s="341">
        <v>0</v>
      </c>
      <c r="M227" s="341">
        <v>0</v>
      </c>
      <c r="N227" s="341">
        <v>0</v>
      </c>
      <c r="O227" s="341">
        <v>0</v>
      </c>
      <c r="P227" s="341">
        <v>0</v>
      </c>
    </row>
    <row r="228" spans="3:31" s="299" customFormat="1">
      <c r="C228" s="316"/>
      <c r="D228" s="310" t="str">
        <v>GigaEthernet (500Mbps)</v>
      </c>
      <c r="E228" s="341">
        <v>2.0575000000000006</v>
      </c>
      <c r="F228" s="341">
        <v>0</v>
      </c>
      <c r="G228" s="341">
        <v>0</v>
      </c>
      <c r="H228" s="341">
        <v>0</v>
      </c>
      <c r="I228" s="341">
        <v>0</v>
      </c>
      <c r="J228" s="341">
        <v>0</v>
      </c>
      <c r="K228" s="341">
        <v>0</v>
      </c>
      <c r="L228" s="341">
        <v>0</v>
      </c>
      <c r="M228" s="341">
        <v>0</v>
      </c>
      <c r="N228" s="341">
        <v>0</v>
      </c>
      <c r="O228" s="341">
        <v>0</v>
      </c>
      <c r="P228" s="341">
        <v>0</v>
      </c>
    </row>
    <row r="229" spans="3:31" s="299" customFormat="1">
      <c r="C229" s="316"/>
      <c r="D229" s="310" t="str">
        <v>GigaEthernet (550Mbps)</v>
      </c>
      <c r="E229" s="341">
        <v>0</v>
      </c>
      <c r="F229" s="341">
        <v>0</v>
      </c>
      <c r="G229" s="341">
        <v>0</v>
      </c>
      <c r="H229" s="341">
        <v>0</v>
      </c>
      <c r="I229" s="341">
        <v>0</v>
      </c>
      <c r="J229" s="341">
        <v>0</v>
      </c>
      <c r="K229" s="341">
        <v>0</v>
      </c>
      <c r="L229" s="341">
        <v>0</v>
      </c>
      <c r="M229" s="341">
        <v>0</v>
      </c>
      <c r="N229" s="341">
        <v>0</v>
      </c>
      <c r="O229" s="341">
        <v>0</v>
      </c>
      <c r="P229" s="341">
        <v>0</v>
      </c>
    </row>
    <row r="230" spans="3:31" s="299" customFormat="1">
      <c r="C230" s="316"/>
      <c r="D230" s="310" t="str">
        <v>GigaEthernet (600Mbps)</v>
      </c>
      <c r="E230" s="341">
        <v>0</v>
      </c>
      <c r="F230" s="341">
        <v>0</v>
      </c>
      <c r="G230" s="341">
        <v>0</v>
      </c>
      <c r="H230" s="341">
        <v>0</v>
      </c>
      <c r="I230" s="341">
        <v>0</v>
      </c>
      <c r="J230" s="341">
        <v>0</v>
      </c>
      <c r="K230" s="341">
        <v>0</v>
      </c>
      <c r="L230" s="341">
        <v>0</v>
      </c>
      <c r="M230" s="341">
        <v>0</v>
      </c>
      <c r="N230" s="341">
        <v>0</v>
      </c>
      <c r="O230" s="341">
        <v>0</v>
      </c>
      <c r="P230" s="341">
        <v>0</v>
      </c>
    </row>
    <row r="231" spans="3:31" s="299" customFormat="1">
      <c r="C231" s="316"/>
      <c r="D231" s="310" t="str">
        <v>GigaEthernet (750Mbps)</v>
      </c>
      <c r="E231" s="341">
        <v>0</v>
      </c>
      <c r="F231" s="341">
        <v>0</v>
      </c>
      <c r="G231" s="341">
        <v>0</v>
      </c>
      <c r="H231" s="341">
        <v>0</v>
      </c>
      <c r="I231" s="341">
        <v>0</v>
      </c>
      <c r="J231" s="341">
        <v>0</v>
      </c>
      <c r="K231" s="341">
        <v>0</v>
      </c>
      <c r="L231" s="341">
        <v>0</v>
      </c>
      <c r="M231" s="341">
        <v>0</v>
      </c>
      <c r="N231" s="341">
        <v>0</v>
      </c>
      <c r="O231" s="341">
        <v>0</v>
      </c>
      <c r="P231" s="341">
        <v>0</v>
      </c>
    </row>
    <row r="232" spans="3:31" s="299" customFormat="1">
      <c r="C232" s="316"/>
      <c r="D232" s="310" t="str">
        <v>GigaEthernet (1 Gbps)</v>
      </c>
      <c r="E232" s="341">
        <v>7.4084999999999983</v>
      </c>
      <c r="F232" s="341">
        <v>1.08</v>
      </c>
      <c r="G232" s="341">
        <v>0</v>
      </c>
      <c r="H232" s="341">
        <v>0</v>
      </c>
      <c r="I232" s="341">
        <v>1.08</v>
      </c>
      <c r="J232" s="341">
        <v>0</v>
      </c>
      <c r="K232" s="341">
        <v>0</v>
      </c>
      <c r="L232" s="341">
        <v>0</v>
      </c>
      <c r="M232" s="341">
        <v>0</v>
      </c>
      <c r="N232" s="341">
        <v>0</v>
      </c>
      <c r="O232" s="341">
        <v>0</v>
      </c>
      <c r="P232" s="341">
        <v>0</v>
      </c>
    </row>
    <row r="233" spans="3:31">
      <c r="C233" s="106"/>
      <c r="D233" s="106"/>
    </row>
    <row r="234" spans="3:31">
      <c r="C234" s="106"/>
      <c r="D234" s="106"/>
    </row>
    <row r="235" spans="3:31" s="299" customFormat="1">
      <c r="C235" s="316"/>
      <c r="D235" s="316"/>
    </row>
    <row r="236" spans="3:31">
      <c r="C236" s="225" t="s">
        <v>249</v>
      </c>
      <c r="D236" s="106"/>
      <c r="F236" s="97" t="s">
        <v>551</v>
      </c>
      <c r="I236" s="311" t="s">
        <v>552</v>
      </c>
      <c r="S236" s="311" t="s">
        <v>553</v>
      </c>
      <c r="T236"/>
      <c r="U236"/>
      <c r="V236"/>
      <c r="W236"/>
      <c r="X236"/>
      <c r="Y236"/>
      <c r="Z236"/>
      <c r="AA236"/>
      <c r="AC236" s="311" t="s">
        <v>548</v>
      </c>
    </row>
    <row r="237" spans="3:31" customFormat="1">
      <c r="C237" s="119" t="s">
        <v>127</v>
      </c>
      <c r="F237" s="131" t="s">
        <v>40</v>
      </c>
      <c r="I237" s="131" t="s">
        <v>41</v>
      </c>
      <c r="J237" s="561" t="s">
        <v>26</v>
      </c>
      <c r="K237" s="562"/>
      <c r="L237" s="562"/>
      <c r="M237" s="562"/>
      <c r="N237" s="562"/>
      <c r="O237" s="562"/>
      <c r="P237" s="562"/>
      <c r="Q237" s="563"/>
      <c r="R237" s="95"/>
      <c r="S237" s="131" t="s">
        <v>43</v>
      </c>
      <c r="T237" s="561" t="s">
        <v>26</v>
      </c>
      <c r="U237" s="562"/>
      <c r="V237" s="562"/>
      <c r="W237" s="562"/>
      <c r="X237" s="562"/>
      <c r="Y237" s="562"/>
      <c r="Z237" s="562"/>
      <c r="AA237" s="563"/>
      <c r="AC237" s="131" t="s">
        <v>549</v>
      </c>
      <c r="AD237" s="299"/>
      <c r="AE237" s="299"/>
    </row>
    <row r="238" spans="3:31" customFormat="1" ht="24">
      <c r="C238" s="95"/>
      <c r="F238" s="95"/>
      <c r="I238" s="78" t="s">
        <v>25</v>
      </c>
      <c r="J238" s="561" t="s">
        <v>30</v>
      </c>
      <c r="K238" s="563"/>
      <c r="L238" s="561" t="s">
        <v>115</v>
      </c>
      <c r="M238" s="563"/>
      <c r="N238" s="561" t="s">
        <v>116</v>
      </c>
      <c r="O238" s="563"/>
      <c r="P238" s="561" t="s">
        <v>117</v>
      </c>
      <c r="Q238" s="563"/>
      <c r="R238" s="95"/>
      <c r="S238" s="78" t="s">
        <v>25</v>
      </c>
      <c r="T238" s="561" t="s">
        <v>30</v>
      </c>
      <c r="U238" s="563"/>
      <c r="V238" s="561" t="s">
        <v>115</v>
      </c>
      <c r="W238" s="563"/>
      <c r="X238" s="561" t="s">
        <v>116</v>
      </c>
      <c r="Y238" s="563"/>
      <c r="Z238" s="561" t="s">
        <v>117</v>
      </c>
      <c r="AA238" s="563"/>
      <c r="AC238" s="299"/>
      <c r="AD238" s="299"/>
      <c r="AE238" s="299"/>
    </row>
    <row r="239" spans="3:31" customFormat="1" ht="24">
      <c r="D239" s="1" t="s">
        <v>38</v>
      </c>
      <c r="E239" s="95"/>
      <c r="F239" s="78" t="s">
        <v>25</v>
      </c>
      <c r="G239" s="78" t="s">
        <v>26</v>
      </c>
      <c r="H239" s="95"/>
      <c r="I239" s="95"/>
      <c r="J239" s="309" t="s">
        <v>31</v>
      </c>
      <c r="K239" s="309" t="s">
        <v>32</v>
      </c>
      <c r="L239" s="309" t="s">
        <v>31</v>
      </c>
      <c r="M239" s="309" t="s">
        <v>32</v>
      </c>
      <c r="N239" s="309" t="s">
        <v>31</v>
      </c>
      <c r="O239" s="309" t="s">
        <v>32</v>
      </c>
      <c r="P239" s="309" t="s">
        <v>31</v>
      </c>
      <c r="Q239" s="309" t="s">
        <v>32</v>
      </c>
      <c r="R239" s="95"/>
      <c r="S239" s="95"/>
      <c r="T239" s="309" t="s">
        <v>31</v>
      </c>
      <c r="U239" s="309" t="s">
        <v>32</v>
      </c>
      <c r="V239" s="309" t="s">
        <v>31</v>
      </c>
      <c r="W239" s="309" t="s">
        <v>32</v>
      </c>
      <c r="X239" s="309" t="s">
        <v>31</v>
      </c>
      <c r="Y239" s="309" t="s">
        <v>32</v>
      </c>
      <c r="Z239" s="309" t="s">
        <v>31</v>
      </c>
      <c r="AA239" s="309" t="s">
        <v>32</v>
      </c>
      <c r="AC239" s="309" t="s">
        <v>25</v>
      </c>
      <c r="AD239" s="309" t="s">
        <v>26</v>
      </c>
      <c r="AE239" s="299"/>
    </row>
    <row r="240" spans="3:31" customFormat="1">
      <c r="D240" s="310" t="str">
        <f t="array" ref="D240:D277">LL.list</f>
        <v>64 kbps</v>
      </c>
      <c r="E240" s="95"/>
      <c r="F240" s="11">
        <f t="array" ref="F240:G277">LL.local.unit.costs</f>
        <v>12004.44</v>
      </c>
      <c r="G240" s="11">
        <v>752.81</v>
      </c>
      <c r="H240" s="95"/>
      <c r="I240" s="108">
        <f t="array" ref="I240:Q277">LL.national.unit.costs</f>
        <v>3688</v>
      </c>
      <c r="J240" s="317">
        <v>426.7</v>
      </c>
      <c r="K240" s="317">
        <v>11.44</v>
      </c>
      <c r="L240" s="317">
        <v>942.30000000000007</v>
      </c>
      <c r="M240" s="317">
        <v>10.799999999999999</v>
      </c>
      <c r="N240" s="317">
        <v>2386.3200000000002</v>
      </c>
      <c r="O240" s="317">
        <v>3.63</v>
      </c>
      <c r="P240" s="317">
        <v>3273.69</v>
      </c>
      <c r="Q240" s="317">
        <v>3.18</v>
      </c>
      <c r="R240" s="95"/>
      <c r="S240" s="317">
        <f t="array" ref="S240:AA277">LL.international.unit.costs</f>
        <v>4427.1500000000005</v>
      </c>
      <c r="T240" s="317">
        <v>6184.96</v>
      </c>
      <c r="U240" s="317">
        <v>14.560000000000002</v>
      </c>
      <c r="V240" s="317">
        <v>6183.0999999999995</v>
      </c>
      <c r="W240" s="317">
        <v>11.52</v>
      </c>
      <c r="X240" s="317">
        <v>7256.4</v>
      </c>
      <c r="Y240" s="317">
        <v>3.81</v>
      </c>
      <c r="Z240" s="317">
        <v>6726.0599999999995</v>
      </c>
      <c r="AA240" s="317">
        <v>3.81</v>
      </c>
      <c r="AC240" s="304">
        <f t="array" ref="AC240:AD277">LL.border.crossing.unit.costs</f>
        <v>14069.720000000001</v>
      </c>
      <c r="AD240" s="304">
        <v>4654.32</v>
      </c>
      <c r="AE240" s="299"/>
    </row>
    <row r="241" spans="4:31" customFormat="1">
      <c r="D241" s="310" t="str">
        <v>128 kbps</v>
      </c>
      <c r="E241" s="95"/>
      <c r="F241" s="11">
        <v>22459.919999999998</v>
      </c>
      <c r="G241" s="11">
        <v>1397.25</v>
      </c>
      <c r="H241" s="95"/>
      <c r="I241" s="108">
        <v>5372.5</v>
      </c>
      <c r="J241" s="317">
        <v>725.8</v>
      </c>
      <c r="K241" s="317">
        <v>30.96</v>
      </c>
      <c r="L241" s="317">
        <v>2467.6</v>
      </c>
      <c r="M241" s="317">
        <v>12.58</v>
      </c>
      <c r="N241" s="317">
        <v>4196.82</v>
      </c>
      <c r="O241" s="317">
        <v>8.26</v>
      </c>
      <c r="P241" s="317">
        <v>5122.46</v>
      </c>
      <c r="Q241" s="317">
        <v>6.5</v>
      </c>
      <c r="R241" s="95"/>
      <c r="S241" s="317">
        <v>4621.5600000000004</v>
      </c>
      <c r="T241" s="317">
        <v>8630.14</v>
      </c>
      <c r="U241" s="317">
        <v>24.72</v>
      </c>
      <c r="V241" s="317">
        <v>8059.2999999999993</v>
      </c>
      <c r="W241" s="317">
        <v>18.700000000000003</v>
      </c>
      <c r="X241" s="317">
        <v>11245.5</v>
      </c>
      <c r="Y241" s="317">
        <v>5.25</v>
      </c>
      <c r="Z241" s="317">
        <v>14198.800000000001</v>
      </c>
      <c r="AA241" s="317">
        <v>6.4</v>
      </c>
      <c r="AC241" s="304">
        <v>23621.64</v>
      </c>
      <c r="AD241" s="304">
        <v>5389.9199999999992</v>
      </c>
      <c r="AE241" s="299"/>
    </row>
    <row r="242" spans="4:31" customFormat="1">
      <c r="D242" s="310" t="str">
        <v>192 kbps</v>
      </c>
      <c r="E242" s="95"/>
      <c r="F242" s="11">
        <v>22459.919999999998</v>
      </c>
      <c r="G242" s="11">
        <v>2634.1800000000003</v>
      </c>
      <c r="H242" s="95"/>
      <c r="I242" s="108">
        <v>2183.7200000000003</v>
      </c>
      <c r="J242" s="317">
        <v>1262.52</v>
      </c>
      <c r="K242" s="317">
        <v>26.64</v>
      </c>
      <c r="L242" s="317">
        <v>3113.55</v>
      </c>
      <c r="M242" s="317">
        <v>25.48</v>
      </c>
      <c r="N242" s="317">
        <v>5137.4399999999996</v>
      </c>
      <c r="O242" s="317">
        <v>9.9</v>
      </c>
      <c r="P242" s="317">
        <v>7138</v>
      </c>
      <c r="Q242" s="317">
        <v>8.1199999999999992</v>
      </c>
      <c r="R242" s="95"/>
      <c r="S242" s="317">
        <v>5674.24</v>
      </c>
      <c r="T242" s="317">
        <v>6461</v>
      </c>
      <c r="U242" s="317">
        <v>42.48</v>
      </c>
      <c r="V242" s="317">
        <v>9379.9800000000014</v>
      </c>
      <c r="W242" s="317">
        <v>32.76</v>
      </c>
      <c r="X242" s="317">
        <v>9906.0500000000011</v>
      </c>
      <c r="Y242" s="317">
        <v>12.6</v>
      </c>
      <c r="Z242" s="317">
        <v>17946.62</v>
      </c>
      <c r="AA242" s="317">
        <v>6.79</v>
      </c>
      <c r="AC242" s="304">
        <v>21169.119999999999</v>
      </c>
      <c r="AD242" s="304">
        <v>4712.82</v>
      </c>
      <c r="AE242" s="299"/>
    </row>
    <row r="243" spans="4:31" customFormat="1">
      <c r="D243" s="310" t="str">
        <v>256 kbps</v>
      </c>
      <c r="E243" s="95"/>
      <c r="F243" s="11">
        <v>39046.699999999997</v>
      </c>
      <c r="G243" s="11">
        <v>2475.8399999999997</v>
      </c>
      <c r="H243" s="95"/>
      <c r="I243" s="108">
        <v>4428.4799999999996</v>
      </c>
      <c r="J243" s="317">
        <v>2747.01</v>
      </c>
      <c r="K243" s="317">
        <v>60.18</v>
      </c>
      <c r="L243" s="317">
        <v>3308.36</v>
      </c>
      <c r="M243" s="317">
        <v>42.18</v>
      </c>
      <c r="N243" s="317">
        <v>8897.6400000000012</v>
      </c>
      <c r="O243" s="317">
        <v>12.6</v>
      </c>
      <c r="P243" s="317">
        <v>13180.2</v>
      </c>
      <c r="Q243" s="317">
        <v>11.200000000000001</v>
      </c>
      <c r="R243" s="95"/>
      <c r="S243" s="317">
        <v>6544.14</v>
      </c>
      <c r="T243" s="317">
        <v>10937.16</v>
      </c>
      <c r="U243" s="317">
        <v>46.92</v>
      </c>
      <c r="V243" s="317">
        <v>12868.230000000001</v>
      </c>
      <c r="W243" s="317">
        <v>46.62</v>
      </c>
      <c r="X243" s="317">
        <v>12627.900000000001</v>
      </c>
      <c r="Y243" s="317">
        <v>16.8</v>
      </c>
      <c r="Z243" s="317">
        <v>24526.77</v>
      </c>
      <c r="AA243" s="317">
        <v>7.7</v>
      </c>
      <c r="AC243" s="304">
        <v>41305.599999999999</v>
      </c>
      <c r="AD243" s="304">
        <v>5231.2300000000005</v>
      </c>
      <c r="AE243" s="299"/>
    </row>
    <row r="244" spans="4:31" customFormat="1">
      <c r="D244" s="310" t="str">
        <v>384 kbps</v>
      </c>
      <c r="E244" s="95"/>
      <c r="F244" s="11">
        <v>46856.04</v>
      </c>
      <c r="G244" s="11">
        <v>2668.92</v>
      </c>
      <c r="H244" s="95"/>
      <c r="I244" s="108">
        <v>6264.6</v>
      </c>
      <c r="J244" s="317">
        <v>3866.1300000000006</v>
      </c>
      <c r="K244" s="317">
        <v>102.06</v>
      </c>
      <c r="L244" s="317">
        <v>5405.7</v>
      </c>
      <c r="M244" s="317">
        <v>64.800000000000011</v>
      </c>
      <c r="N244" s="317">
        <v>12425.52</v>
      </c>
      <c r="O244" s="317">
        <v>22.08</v>
      </c>
      <c r="P244" s="317">
        <v>22827.1</v>
      </c>
      <c r="Q244" s="317">
        <v>13.12</v>
      </c>
      <c r="R244" s="95"/>
      <c r="S244" s="317">
        <v>6533.72</v>
      </c>
      <c r="T244" s="317">
        <v>13521.97</v>
      </c>
      <c r="U244" s="317">
        <v>107.80000000000001</v>
      </c>
      <c r="V244" s="317">
        <v>18477.64</v>
      </c>
      <c r="W244" s="317">
        <v>85.679999999999993</v>
      </c>
      <c r="X244" s="317">
        <v>20433.149999999998</v>
      </c>
      <c r="Y244" s="317">
        <v>38.08</v>
      </c>
      <c r="Z244" s="317">
        <v>24565.68</v>
      </c>
      <c r="AA244" s="317">
        <v>18.799999999999997</v>
      </c>
      <c r="AC244" s="304">
        <v>39498.480000000003</v>
      </c>
      <c r="AD244" s="304">
        <v>6340.1399999999994</v>
      </c>
      <c r="AE244" s="299"/>
    </row>
    <row r="245" spans="4:31" customFormat="1">
      <c r="D245" s="310" t="str">
        <v>512 kbps</v>
      </c>
      <c r="E245" s="95"/>
      <c r="F245" s="11">
        <v>42919.1</v>
      </c>
      <c r="G245" s="11">
        <v>2970.9</v>
      </c>
      <c r="H245" s="95"/>
      <c r="I245" s="108">
        <v>7544.16</v>
      </c>
      <c r="J245" s="317">
        <v>5090.12</v>
      </c>
      <c r="K245" s="317">
        <v>102.12</v>
      </c>
      <c r="L245" s="317">
        <v>13001.91</v>
      </c>
      <c r="M245" s="317">
        <v>82</v>
      </c>
      <c r="N245" s="317">
        <v>13031.9</v>
      </c>
      <c r="O245" s="317">
        <v>38.130000000000003</v>
      </c>
      <c r="P245" s="317">
        <v>33117.919999999998</v>
      </c>
      <c r="Q245" s="317">
        <v>24.86</v>
      </c>
      <c r="R245" s="95"/>
      <c r="S245" s="317">
        <v>8897.32</v>
      </c>
      <c r="T245" s="317">
        <v>11863.88</v>
      </c>
      <c r="U245" s="317">
        <v>86.1</v>
      </c>
      <c r="V245" s="317">
        <v>19661.420000000002</v>
      </c>
      <c r="W245" s="317">
        <v>101.01</v>
      </c>
      <c r="X245" s="317">
        <v>25782.120000000003</v>
      </c>
      <c r="Y245" s="317">
        <v>35.1</v>
      </c>
      <c r="Z245" s="317">
        <v>45180.800000000003</v>
      </c>
      <c r="AA245" s="317">
        <v>23.5</v>
      </c>
      <c r="AC245" s="304">
        <v>44726.22</v>
      </c>
      <c r="AD245" s="304">
        <v>4874.58</v>
      </c>
      <c r="AE245" s="299"/>
    </row>
    <row r="246" spans="4:31" customFormat="1">
      <c r="D246" s="310" t="str">
        <v>768 kbps</v>
      </c>
      <c r="E246" s="95"/>
      <c r="F246" s="11">
        <v>46468.800000000003</v>
      </c>
      <c r="G246" s="11">
        <v>4217.21</v>
      </c>
      <c r="H246" s="95"/>
      <c r="I246" s="108">
        <v>4785.5999999999995</v>
      </c>
      <c r="J246" s="317">
        <v>5877.12</v>
      </c>
      <c r="K246" s="317">
        <v>103.6</v>
      </c>
      <c r="L246" s="317">
        <v>12980.52</v>
      </c>
      <c r="M246" s="317">
        <v>104</v>
      </c>
      <c r="N246" s="317">
        <v>30847.7</v>
      </c>
      <c r="O246" s="317">
        <v>50.8</v>
      </c>
      <c r="P246" s="317">
        <v>27256.800000000003</v>
      </c>
      <c r="Q246" s="317">
        <v>34.51</v>
      </c>
      <c r="R246" s="95"/>
      <c r="S246" s="317">
        <v>9009.36</v>
      </c>
      <c r="T246" s="317">
        <v>9380.5</v>
      </c>
      <c r="U246" s="317">
        <v>174.32999999999998</v>
      </c>
      <c r="V246" s="317">
        <v>23631.02</v>
      </c>
      <c r="W246" s="317">
        <v>124.29999999999998</v>
      </c>
      <c r="X246" s="317">
        <v>38171.25</v>
      </c>
      <c r="Y246" s="317">
        <v>51.06</v>
      </c>
      <c r="Z246" s="317">
        <v>38180.839999999997</v>
      </c>
      <c r="AA246" s="317">
        <v>38.4</v>
      </c>
      <c r="AC246" s="304">
        <v>51115.68</v>
      </c>
      <c r="AD246" s="304">
        <v>6985</v>
      </c>
      <c r="AE246" s="299"/>
    </row>
    <row r="247" spans="4:31" customFormat="1">
      <c r="D247" s="310" t="str">
        <v>1024 kbps</v>
      </c>
      <c r="E247" s="95"/>
      <c r="F247" s="11">
        <v>70284.06</v>
      </c>
      <c r="G247" s="11">
        <v>5639.68</v>
      </c>
      <c r="H247" s="95"/>
      <c r="I247" s="108">
        <v>6920.2400000000007</v>
      </c>
      <c r="J247" s="317">
        <v>8483.8799999999992</v>
      </c>
      <c r="K247" s="317">
        <v>130.9</v>
      </c>
      <c r="L247" s="317">
        <v>13282.1</v>
      </c>
      <c r="M247" s="317">
        <v>163.80000000000001</v>
      </c>
      <c r="N247" s="317">
        <v>36339.660000000003</v>
      </c>
      <c r="O247" s="317">
        <v>36.96</v>
      </c>
      <c r="P247" s="317">
        <v>39776.639999999999</v>
      </c>
      <c r="Q247" s="317">
        <v>31.150000000000002</v>
      </c>
      <c r="R247" s="95"/>
      <c r="S247" s="317">
        <v>10047.85</v>
      </c>
      <c r="T247" s="317">
        <v>11283.019999999999</v>
      </c>
      <c r="U247" s="317">
        <v>220.98</v>
      </c>
      <c r="V247" s="317">
        <v>24928.55</v>
      </c>
      <c r="W247" s="317">
        <v>166.41</v>
      </c>
      <c r="X247" s="317">
        <v>32487.84</v>
      </c>
      <c r="Y247" s="317">
        <v>69.12</v>
      </c>
      <c r="Z247" s="317">
        <v>41171.520000000004</v>
      </c>
      <c r="AA247" s="317">
        <v>43.4</v>
      </c>
      <c r="AC247" s="304">
        <v>47630.52</v>
      </c>
      <c r="AD247" s="304">
        <v>7278.42</v>
      </c>
      <c r="AE247" s="299"/>
    </row>
    <row r="248" spans="4:31" customFormat="1">
      <c r="D248" s="310" t="str">
        <v>E1 (2.04 Mbps)</v>
      </c>
      <c r="E248" s="95"/>
      <c r="F248" s="11">
        <v>85512.739999999991</v>
      </c>
      <c r="G248" s="11">
        <v>5959.52</v>
      </c>
      <c r="H248" s="95"/>
      <c r="I248" s="108">
        <v>9834.4000000000015</v>
      </c>
      <c r="J248" s="317">
        <v>11899.199999999999</v>
      </c>
      <c r="K248" s="317">
        <v>264.41999999999996</v>
      </c>
      <c r="L248" s="317">
        <v>26245.8</v>
      </c>
      <c r="M248" s="317">
        <v>211.68</v>
      </c>
      <c r="N248" s="317">
        <v>50898.9</v>
      </c>
      <c r="O248" s="317">
        <v>48.64</v>
      </c>
      <c r="P248" s="317">
        <v>59646.240000000005</v>
      </c>
      <c r="Q248" s="317">
        <v>47.84</v>
      </c>
      <c r="R248" s="95"/>
      <c r="S248" s="317">
        <v>19362</v>
      </c>
      <c r="T248" s="317">
        <v>12670.32</v>
      </c>
      <c r="U248" s="317">
        <v>232.78</v>
      </c>
      <c r="V248" s="317">
        <v>35855.300000000003</v>
      </c>
      <c r="W248" s="317">
        <v>157.91999999999999</v>
      </c>
      <c r="X248" s="317">
        <v>58763.88</v>
      </c>
      <c r="Y248" s="317">
        <v>68.48</v>
      </c>
      <c r="Z248" s="317">
        <v>56386.840000000004</v>
      </c>
      <c r="AA248" s="317">
        <v>48.760000000000005</v>
      </c>
      <c r="AC248" s="304">
        <v>111894.33</v>
      </c>
      <c r="AD248" s="304">
        <v>7819.64</v>
      </c>
      <c r="AE248" s="299"/>
    </row>
    <row r="249" spans="4:31" customFormat="1">
      <c r="D249" s="310" t="str">
        <v>E2 *</v>
      </c>
      <c r="E249" s="95"/>
      <c r="F249" s="11">
        <v>447577.32</v>
      </c>
      <c r="G249" s="11">
        <v>22348.2</v>
      </c>
      <c r="H249" s="95"/>
      <c r="I249" s="108">
        <v>39829.32</v>
      </c>
      <c r="J249" s="317">
        <v>32921.119999999995</v>
      </c>
      <c r="K249" s="317">
        <v>786.48</v>
      </c>
      <c r="L249" s="317">
        <v>82486.8</v>
      </c>
      <c r="M249" s="317">
        <v>551.04</v>
      </c>
      <c r="N249" s="317">
        <v>191066.63999999998</v>
      </c>
      <c r="O249" s="317">
        <v>291.83999999999997</v>
      </c>
      <c r="P249" s="317">
        <v>271721.76</v>
      </c>
      <c r="Q249" s="317">
        <v>163.76</v>
      </c>
      <c r="R249" s="95"/>
      <c r="S249" s="317">
        <v>54582.400000000001</v>
      </c>
      <c r="T249" s="317">
        <v>70823.840000000011</v>
      </c>
      <c r="U249" s="317">
        <v>1012.4800000000001</v>
      </c>
      <c r="V249" s="317">
        <v>133492.04</v>
      </c>
      <c r="W249" s="317">
        <v>645.12</v>
      </c>
      <c r="X249" s="317">
        <v>242517.6</v>
      </c>
      <c r="Y249" s="317">
        <v>286.72000000000003</v>
      </c>
      <c r="Z249" s="317">
        <v>205273.44</v>
      </c>
      <c r="AA249" s="317">
        <v>222.64</v>
      </c>
      <c r="AC249" s="304">
        <v>269274.15999999997</v>
      </c>
      <c r="AD249" s="304">
        <v>43625.36</v>
      </c>
      <c r="AE249" s="299"/>
    </row>
    <row r="250" spans="4:31" s="299" customFormat="1">
      <c r="D250" s="310" t="str">
        <v>E3 (34 Mbps)</v>
      </c>
      <c r="F250" s="304">
        <v>464165.88</v>
      </c>
      <c r="G250" s="304">
        <v>41893.5</v>
      </c>
      <c r="I250" s="317">
        <v>20380.29</v>
      </c>
      <c r="J250" s="317">
        <v>137916.12</v>
      </c>
      <c r="K250" s="317">
        <v>243.8956</v>
      </c>
      <c r="L250" s="317">
        <v>169487.28</v>
      </c>
      <c r="M250" s="317">
        <v>165.21959999999999</v>
      </c>
      <c r="N250" s="317">
        <v>177795.48</v>
      </c>
      <c r="O250" s="317">
        <v>178.9879</v>
      </c>
      <c r="P250" s="317">
        <v>202720.08</v>
      </c>
      <c r="Q250" s="317">
        <v>236.02799999999999</v>
      </c>
      <c r="S250" s="317">
        <v>0</v>
      </c>
      <c r="T250" s="317">
        <v>0</v>
      </c>
      <c r="U250" s="317">
        <v>0</v>
      </c>
      <c r="V250" s="317">
        <v>0</v>
      </c>
      <c r="W250" s="317">
        <v>0</v>
      </c>
      <c r="X250" s="317">
        <v>0</v>
      </c>
      <c r="Y250" s="317">
        <v>0</v>
      </c>
      <c r="Z250" s="317">
        <v>0</v>
      </c>
      <c r="AA250" s="317">
        <v>0</v>
      </c>
      <c r="AC250" s="304">
        <v>710229.72</v>
      </c>
      <c r="AD250" s="304">
        <v>0</v>
      </c>
    </row>
    <row r="251" spans="4:31" s="299" customFormat="1">
      <c r="D251" s="310" t="str">
        <v>STM-1 (155 Mbps)</v>
      </c>
      <c r="F251" s="304">
        <v>1152629.3799999999</v>
      </c>
      <c r="G251" s="304">
        <v>178151</v>
      </c>
      <c r="I251" s="317">
        <v>353957.94</v>
      </c>
      <c r="J251" s="317">
        <v>336621.60000000003</v>
      </c>
      <c r="K251" s="317">
        <v>352.92570000000001</v>
      </c>
      <c r="L251" s="317">
        <v>304562.39999999997</v>
      </c>
      <c r="M251" s="317">
        <v>330.15629999999999</v>
      </c>
      <c r="N251" s="317">
        <v>310974.24</v>
      </c>
      <c r="O251" s="317">
        <v>288.41239999999999</v>
      </c>
      <c r="P251" s="317">
        <v>323797.92</v>
      </c>
      <c r="Q251" s="317">
        <v>402.25940000000003</v>
      </c>
      <c r="S251" s="317">
        <v>973467.41</v>
      </c>
      <c r="T251" s="317">
        <v>380863.08</v>
      </c>
      <c r="U251" s="317">
        <v>296.00220000000002</v>
      </c>
      <c r="V251" s="317">
        <v>419654.69</v>
      </c>
      <c r="W251" s="317">
        <v>345.33590000000004</v>
      </c>
      <c r="X251" s="317">
        <v>289173.82</v>
      </c>
      <c r="Y251" s="317">
        <v>292.20730000000003</v>
      </c>
      <c r="Z251" s="317">
        <v>423181.2</v>
      </c>
      <c r="AA251" s="317">
        <v>394.6696</v>
      </c>
      <c r="AC251" s="304">
        <v>71418.2</v>
      </c>
      <c r="AD251" s="304">
        <v>197748.72</v>
      </c>
    </row>
    <row r="252" spans="4:31" s="299" customFormat="1">
      <c r="D252" s="310" t="str">
        <v>STM-4 (622.08 Mbps)</v>
      </c>
      <c r="F252" s="304">
        <v>2203255.6799999997</v>
      </c>
      <c r="G252" s="304">
        <v>554121.6</v>
      </c>
      <c r="I252" s="317">
        <v>1080148.77</v>
      </c>
      <c r="J252" s="317">
        <v>703763.20000000007</v>
      </c>
      <c r="K252" s="317">
        <v>669.42</v>
      </c>
      <c r="L252" s="317">
        <v>785450</v>
      </c>
      <c r="M252" s="317">
        <v>825.61800000000005</v>
      </c>
      <c r="N252" s="317">
        <v>785450</v>
      </c>
      <c r="O252" s="317">
        <v>557.84999999999991</v>
      </c>
      <c r="P252" s="317">
        <v>534106</v>
      </c>
      <c r="Q252" s="317">
        <v>565.28800000000001</v>
      </c>
      <c r="S252" s="317">
        <v>4033889.53</v>
      </c>
      <c r="T252" s="317">
        <v>504573.08</v>
      </c>
      <c r="U252" s="317">
        <v>818.18000000000006</v>
      </c>
      <c r="V252" s="317">
        <v>546044.84</v>
      </c>
      <c r="W252" s="317">
        <v>758.67599999999993</v>
      </c>
      <c r="X252" s="317">
        <v>836347.16</v>
      </c>
      <c r="Y252" s="317">
        <v>885.12199999999996</v>
      </c>
      <c r="Z252" s="317">
        <v>705019.92</v>
      </c>
      <c r="AA252" s="317">
        <v>535.53599999999994</v>
      </c>
      <c r="AC252" s="304">
        <v>2501613.2200000002</v>
      </c>
      <c r="AD252" s="304">
        <v>943742.71000000008</v>
      </c>
    </row>
    <row r="253" spans="4:31" s="299" customFormat="1">
      <c r="D253" s="310" t="str">
        <v>STM-16 (2488.32Mbps)</v>
      </c>
      <c r="F253" s="304">
        <v>6081903.7000000002</v>
      </c>
      <c r="G253" s="304">
        <v>1168850.25</v>
      </c>
      <c r="I253" s="317">
        <v>2767048.19</v>
      </c>
      <c r="J253" s="317">
        <v>1193884</v>
      </c>
      <c r="K253" s="317">
        <v>1376.03</v>
      </c>
      <c r="L253" s="317">
        <v>1712281.0000000002</v>
      </c>
      <c r="M253" s="317">
        <v>2101.2349999999997</v>
      </c>
      <c r="N253" s="317">
        <v>1115339</v>
      </c>
      <c r="O253" s="317">
        <v>2268.59</v>
      </c>
      <c r="P253" s="317">
        <v>1932207</v>
      </c>
      <c r="Q253" s="317">
        <v>1506.1950000000002</v>
      </c>
      <c r="S253" s="317">
        <v>6400881.5999999996</v>
      </c>
      <c r="T253" s="317">
        <v>1570900</v>
      </c>
      <c r="U253" s="317">
        <v>2064.0450000000001</v>
      </c>
      <c r="V253" s="317">
        <v>1665154</v>
      </c>
      <c r="W253" s="317">
        <v>1878.095</v>
      </c>
      <c r="X253" s="317">
        <v>1241011</v>
      </c>
      <c r="Y253" s="317">
        <v>2324.375</v>
      </c>
      <c r="Z253" s="317">
        <v>1178175</v>
      </c>
      <c r="AA253" s="317">
        <v>2064.0450000000001</v>
      </c>
      <c r="AC253" s="304">
        <v>5336009.8500000006</v>
      </c>
      <c r="AD253" s="304">
        <v>2207837.94</v>
      </c>
    </row>
    <row r="254" spans="4:31" s="299" customFormat="1">
      <c r="D254" s="310" t="str">
        <v>STM-64 (9953.28Mbps)</v>
      </c>
      <c r="F254" s="304">
        <v>8904825.0399999991</v>
      </c>
      <c r="G254" s="304">
        <v>5396913.5</v>
      </c>
      <c r="I254" s="317">
        <v>4571337.12</v>
      </c>
      <c r="J254" s="317">
        <v>4646722.2</v>
      </c>
      <c r="K254" s="317">
        <v>8218.6</v>
      </c>
      <c r="L254" s="317">
        <v>4005795</v>
      </c>
      <c r="M254" s="317">
        <v>4551.84</v>
      </c>
      <c r="N254" s="317">
        <v>4593311.5999999996</v>
      </c>
      <c r="O254" s="317">
        <v>7396.74</v>
      </c>
      <c r="P254" s="317">
        <v>5608113</v>
      </c>
      <c r="Q254" s="317">
        <v>8092.16</v>
      </c>
      <c r="S254" s="317">
        <v>8445813.4399999995</v>
      </c>
      <c r="T254" s="317">
        <v>5074007</v>
      </c>
      <c r="U254" s="317">
        <v>5120.8200000000006</v>
      </c>
      <c r="V254" s="317">
        <v>5554702.4000000004</v>
      </c>
      <c r="W254" s="317">
        <v>4804.72</v>
      </c>
      <c r="X254" s="317">
        <v>3738741.9999999995</v>
      </c>
      <c r="Y254" s="317">
        <v>7207.079999999999</v>
      </c>
      <c r="Z254" s="317">
        <v>4059205.6</v>
      </c>
      <c r="AA254" s="317">
        <v>4804.72</v>
      </c>
      <c r="AC254" s="304">
        <v>10740871.439999999</v>
      </c>
      <c r="AD254" s="304">
        <v>6329136.46</v>
      </c>
    </row>
    <row r="255" spans="4:31" s="299" customFormat="1">
      <c r="D255" s="310" t="str">
        <v>STM-256 (39813.12 Mbps)*</v>
      </c>
      <c r="F255" s="304">
        <v>39658602.240000002</v>
      </c>
      <c r="G255" s="304">
        <v>22765162.399999999</v>
      </c>
      <c r="I255" s="317">
        <v>20897541.120000001</v>
      </c>
      <c r="J255" s="317">
        <v>17305034.400000002</v>
      </c>
      <c r="K255" s="317">
        <v>19977.52</v>
      </c>
      <c r="L255" s="317">
        <v>21364240</v>
      </c>
      <c r="M255" s="317">
        <v>22000.560000000001</v>
      </c>
      <c r="N255" s="317">
        <v>27346227.199999999</v>
      </c>
      <c r="O255" s="317">
        <v>19471.760000000002</v>
      </c>
      <c r="P255" s="317">
        <v>20082385.599999998</v>
      </c>
      <c r="Q255" s="317">
        <v>22000.560000000001</v>
      </c>
      <c r="S255" s="317">
        <v>44432322.879999995</v>
      </c>
      <c r="T255" s="317">
        <v>20082385.599999998</v>
      </c>
      <c r="U255" s="317">
        <v>31357.119999999999</v>
      </c>
      <c r="V255" s="317">
        <v>19441458.400000002</v>
      </c>
      <c r="W255" s="317">
        <v>23770.719999999998</v>
      </c>
      <c r="X255" s="317">
        <v>16664107.200000001</v>
      </c>
      <c r="Y255" s="317">
        <v>29081.199999999997</v>
      </c>
      <c r="Z255" s="317">
        <v>23714306.400000002</v>
      </c>
      <c r="AA255" s="317">
        <v>23264.960000000003</v>
      </c>
      <c r="AC255" s="304">
        <v>26071858.879999999</v>
      </c>
      <c r="AD255" s="304">
        <v>37974818.759999998</v>
      </c>
    </row>
    <row r="256" spans="4:31" s="299" customFormat="1">
      <c r="D256" s="310" t="str">
        <v>Ethernet (10Mbps)</v>
      </c>
      <c r="F256" s="304">
        <v>262500</v>
      </c>
      <c r="G256" s="304">
        <v>18500</v>
      </c>
      <c r="I256" s="317">
        <v>127500</v>
      </c>
      <c r="J256" s="317">
        <v>18500</v>
      </c>
      <c r="K256" s="317">
        <v>129.95999999999998</v>
      </c>
      <c r="L256" s="317">
        <v>18500</v>
      </c>
      <c r="M256" s="317">
        <v>102.60000000000001</v>
      </c>
      <c r="N256" s="317">
        <v>18500</v>
      </c>
      <c r="O256" s="317">
        <v>126.54</v>
      </c>
      <c r="P256" s="317">
        <v>18500</v>
      </c>
      <c r="Q256" s="317">
        <v>96.899999999999991</v>
      </c>
      <c r="S256" s="317">
        <v>148750</v>
      </c>
      <c r="T256" s="317">
        <v>18500</v>
      </c>
      <c r="U256" s="317">
        <v>143.64000000000001</v>
      </c>
      <c r="V256" s="317">
        <v>18500</v>
      </c>
      <c r="W256" s="317">
        <v>136.79999999999998</v>
      </c>
      <c r="X256" s="317">
        <v>18500</v>
      </c>
      <c r="Y256" s="317">
        <v>143.64000000000001</v>
      </c>
      <c r="Z256" s="317">
        <v>18500</v>
      </c>
      <c r="AA256" s="317">
        <v>116.28</v>
      </c>
      <c r="AC256" s="304">
        <v>142500</v>
      </c>
      <c r="AD256" s="304">
        <v>18500</v>
      </c>
    </row>
    <row r="257" spans="4:30" s="299" customFormat="1">
      <c r="D257" s="310" t="str">
        <v>Ethernet (20Mbps)</v>
      </c>
      <c r="F257" s="304">
        <v>290000</v>
      </c>
      <c r="G257" s="304">
        <v>19125</v>
      </c>
      <c r="I257" s="317">
        <v>161250</v>
      </c>
      <c r="J257" s="317">
        <v>19125</v>
      </c>
      <c r="K257" s="317">
        <v>127.2</v>
      </c>
      <c r="L257" s="317">
        <v>19125</v>
      </c>
      <c r="M257" s="317">
        <v>88.8</v>
      </c>
      <c r="N257" s="317">
        <v>19125</v>
      </c>
      <c r="O257" s="317">
        <v>145.19999999999999</v>
      </c>
      <c r="P257" s="317">
        <v>19125</v>
      </c>
      <c r="Q257" s="317">
        <v>111.60000000000001</v>
      </c>
      <c r="S257" s="317">
        <v>160000</v>
      </c>
      <c r="T257" s="317">
        <v>19125</v>
      </c>
      <c r="U257" s="317">
        <v>129.60000000000002</v>
      </c>
      <c r="V257" s="317">
        <v>19125</v>
      </c>
      <c r="W257" s="317">
        <v>152.4</v>
      </c>
      <c r="X257" s="317">
        <v>19125</v>
      </c>
      <c r="Y257" s="317">
        <v>87.6</v>
      </c>
      <c r="Z257" s="317">
        <v>19125</v>
      </c>
      <c r="AA257" s="317">
        <v>100.8</v>
      </c>
      <c r="AC257" s="304">
        <v>147500</v>
      </c>
      <c r="AD257" s="304">
        <v>19125</v>
      </c>
    </row>
    <row r="258" spans="4:30" s="299" customFormat="1">
      <c r="D258" s="310" t="str">
        <v>Ethernet (30Mbps)</v>
      </c>
      <c r="F258" s="304">
        <v>190000</v>
      </c>
      <c r="G258" s="304">
        <v>25330</v>
      </c>
      <c r="I258" s="317">
        <v>133750</v>
      </c>
      <c r="J258" s="317">
        <v>25330</v>
      </c>
      <c r="K258" s="317">
        <v>121.8</v>
      </c>
      <c r="L258" s="317">
        <v>25330</v>
      </c>
      <c r="M258" s="317">
        <v>121.8</v>
      </c>
      <c r="N258" s="317">
        <v>25330</v>
      </c>
      <c r="O258" s="317">
        <v>114.8</v>
      </c>
      <c r="P258" s="317">
        <v>25330</v>
      </c>
      <c r="Q258" s="317">
        <v>163.79999999999998</v>
      </c>
      <c r="S258" s="317">
        <v>97500</v>
      </c>
      <c r="T258" s="317">
        <v>25330</v>
      </c>
      <c r="U258" s="317">
        <v>152.60000000000002</v>
      </c>
      <c r="V258" s="317">
        <v>25330</v>
      </c>
      <c r="W258" s="317">
        <v>169.4</v>
      </c>
      <c r="X258" s="317">
        <v>25330</v>
      </c>
      <c r="Y258" s="317">
        <v>135.79999999999998</v>
      </c>
      <c r="Z258" s="317">
        <v>25330</v>
      </c>
      <c r="AA258" s="317">
        <v>151.20000000000002</v>
      </c>
      <c r="AC258" s="304">
        <v>110000</v>
      </c>
      <c r="AD258" s="304">
        <v>25330</v>
      </c>
    </row>
    <row r="259" spans="4:30" s="299" customFormat="1">
      <c r="D259" s="310" t="str">
        <v>Ethernet (40Mbps)</v>
      </c>
      <c r="F259" s="304">
        <v>322500</v>
      </c>
      <c r="G259" s="304">
        <v>31126</v>
      </c>
      <c r="I259" s="317">
        <v>122500</v>
      </c>
      <c r="J259" s="317">
        <v>31126</v>
      </c>
      <c r="K259" s="317">
        <v>182.51999999999998</v>
      </c>
      <c r="L259" s="317">
        <v>31126</v>
      </c>
      <c r="M259" s="317">
        <v>141.96</v>
      </c>
      <c r="N259" s="317">
        <v>31126</v>
      </c>
      <c r="O259" s="317">
        <v>118.56</v>
      </c>
      <c r="P259" s="317">
        <v>31126</v>
      </c>
      <c r="Q259" s="317">
        <v>185.64</v>
      </c>
      <c r="S259" s="317">
        <v>148750</v>
      </c>
      <c r="T259" s="317">
        <v>31126</v>
      </c>
      <c r="U259" s="317">
        <v>135.72</v>
      </c>
      <c r="V259" s="317">
        <v>31126</v>
      </c>
      <c r="W259" s="317">
        <v>198.12</v>
      </c>
      <c r="X259" s="317">
        <v>31126</v>
      </c>
      <c r="Y259" s="317">
        <v>190.32</v>
      </c>
      <c r="Z259" s="317">
        <v>31126</v>
      </c>
      <c r="AA259" s="317">
        <v>177.83999999999997</v>
      </c>
      <c r="AC259" s="304">
        <v>141250</v>
      </c>
      <c r="AD259" s="304">
        <v>31126</v>
      </c>
    </row>
    <row r="260" spans="4:30" s="299" customFormat="1">
      <c r="D260" s="310" t="str">
        <v>Ethernet (50Mbps)</v>
      </c>
      <c r="F260" s="304">
        <v>325000</v>
      </c>
      <c r="G260" s="304">
        <v>55440</v>
      </c>
      <c r="I260" s="317">
        <v>102500</v>
      </c>
      <c r="J260" s="317">
        <v>55440</v>
      </c>
      <c r="K260" s="317">
        <v>196.20000000000002</v>
      </c>
      <c r="L260" s="317">
        <v>55440</v>
      </c>
      <c r="M260" s="317">
        <v>183.6</v>
      </c>
      <c r="N260" s="317">
        <v>55440</v>
      </c>
      <c r="O260" s="317">
        <v>189</v>
      </c>
      <c r="P260" s="317">
        <v>55440</v>
      </c>
      <c r="Q260" s="317">
        <v>169.2</v>
      </c>
      <c r="S260" s="317">
        <v>150000</v>
      </c>
      <c r="T260" s="317">
        <v>55440</v>
      </c>
      <c r="U260" s="317">
        <v>144</v>
      </c>
      <c r="V260" s="317">
        <v>55440</v>
      </c>
      <c r="W260" s="317">
        <v>133.19999999999999</v>
      </c>
      <c r="X260" s="317">
        <v>55440</v>
      </c>
      <c r="Y260" s="317">
        <v>203.39999999999998</v>
      </c>
      <c r="Z260" s="317">
        <v>55440</v>
      </c>
      <c r="AA260" s="317">
        <v>174.6</v>
      </c>
      <c r="AC260" s="304">
        <v>135000</v>
      </c>
      <c r="AD260" s="304">
        <v>55440</v>
      </c>
    </row>
    <row r="261" spans="4:30" s="299" customFormat="1">
      <c r="D261" s="310" t="str">
        <v>Ethernet (60Mbps)</v>
      </c>
      <c r="F261" s="304">
        <v>195000</v>
      </c>
      <c r="G261" s="304">
        <v>42252</v>
      </c>
      <c r="I261" s="317">
        <v>116250</v>
      </c>
      <c r="J261" s="317">
        <v>42252</v>
      </c>
      <c r="K261" s="317">
        <v>160.38000000000002</v>
      </c>
      <c r="L261" s="317">
        <v>42252</v>
      </c>
      <c r="M261" s="317">
        <v>172.26</v>
      </c>
      <c r="N261" s="317">
        <v>42252</v>
      </c>
      <c r="O261" s="317">
        <v>205.92000000000002</v>
      </c>
      <c r="P261" s="317">
        <v>42252</v>
      </c>
      <c r="Q261" s="317">
        <v>172.26</v>
      </c>
      <c r="S261" s="317">
        <v>106250</v>
      </c>
      <c r="T261" s="317">
        <v>42252</v>
      </c>
      <c r="U261" s="317">
        <v>198</v>
      </c>
      <c r="V261" s="317">
        <v>42252</v>
      </c>
      <c r="W261" s="317">
        <v>199.98</v>
      </c>
      <c r="X261" s="317">
        <v>42252</v>
      </c>
      <c r="Y261" s="317">
        <v>237.6</v>
      </c>
      <c r="Z261" s="317">
        <v>42252</v>
      </c>
      <c r="AA261" s="317">
        <v>162.35999999999999</v>
      </c>
      <c r="AC261" s="304">
        <v>162500</v>
      </c>
      <c r="AD261" s="304">
        <v>42252</v>
      </c>
    </row>
    <row r="262" spans="4:30" s="299" customFormat="1">
      <c r="D262" s="310" t="str">
        <v>Ethernet (70Mbps)</v>
      </c>
      <c r="F262" s="304">
        <v>187500</v>
      </c>
      <c r="G262" s="304">
        <v>51324</v>
      </c>
      <c r="I262" s="317">
        <v>106250</v>
      </c>
      <c r="J262" s="317">
        <v>51324</v>
      </c>
      <c r="K262" s="317">
        <v>254.1</v>
      </c>
      <c r="L262" s="317">
        <v>51324</v>
      </c>
      <c r="M262" s="317">
        <v>165.9</v>
      </c>
      <c r="N262" s="317">
        <v>51324</v>
      </c>
      <c r="O262" s="317">
        <v>168</v>
      </c>
      <c r="P262" s="317">
        <v>51324</v>
      </c>
      <c r="Q262" s="317">
        <v>203.7</v>
      </c>
      <c r="S262" s="317">
        <v>112500</v>
      </c>
      <c r="T262" s="317">
        <v>51324</v>
      </c>
      <c r="U262" s="317">
        <v>214.20000000000002</v>
      </c>
      <c r="V262" s="317">
        <v>51324</v>
      </c>
      <c r="W262" s="317">
        <v>245.7</v>
      </c>
      <c r="X262" s="317">
        <v>51324</v>
      </c>
      <c r="Y262" s="317">
        <v>273</v>
      </c>
      <c r="Z262" s="317">
        <v>51324</v>
      </c>
      <c r="AA262" s="317">
        <v>256.2</v>
      </c>
      <c r="AC262" s="304">
        <v>101250</v>
      </c>
      <c r="AD262" s="304">
        <v>51324</v>
      </c>
    </row>
    <row r="263" spans="4:30" s="299" customFormat="1">
      <c r="D263" s="310" t="str">
        <v>Ethernet (80Mbps)</v>
      </c>
      <c r="F263" s="304">
        <v>307500</v>
      </c>
      <c r="G263" s="304">
        <v>63612.000000000007</v>
      </c>
      <c r="I263" s="317">
        <v>103750</v>
      </c>
      <c r="J263" s="317">
        <v>63612.000000000007</v>
      </c>
      <c r="K263" s="317">
        <v>254.88</v>
      </c>
      <c r="L263" s="317">
        <v>63612.000000000007</v>
      </c>
      <c r="M263" s="317">
        <v>168.48000000000002</v>
      </c>
      <c r="N263" s="317">
        <v>63612.000000000007</v>
      </c>
      <c r="O263" s="317">
        <v>203.04</v>
      </c>
      <c r="P263" s="317">
        <v>63612.000000000007</v>
      </c>
      <c r="Q263" s="317">
        <v>235.44000000000003</v>
      </c>
      <c r="S263" s="317">
        <v>91250</v>
      </c>
      <c r="T263" s="317">
        <v>63612.000000000007</v>
      </c>
      <c r="U263" s="317">
        <v>226.8</v>
      </c>
      <c r="V263" s="317">
        <v>63612.000000000007</v>
      </c>
      <c r="W263" s="317">
        <v>213.84</v>
      </c>
      <c r="X263" s="317">
        <v>63612.000000000007</v>
      </c>
      <c r="Y263" s="317">
        <v>261.36</v>
      </c>
      <c r="Z263" s="317">
        <v>63612.000000000007</v>
      </c>
      <c r="AA263" s="317">
        <v>228.96</v>
      </c>
      <c r="AC263" s="304">
        <v>95000</v>
      </c>
      <c r="AD263" s="304">
        <v>63612.000000000007</v>
      </c>
    </row>
    <row r="264" spans="4:30" s="299" customFormat="1">
      <c r="D264" s="310" t="str">
        <v>Ethernet (90Mbps)</v>
      </c>
      <c r="F264" s="304">
        <v>175000</v>
      </c>
      <c r="G264" s="304">
        <v>46136</v>
      </c>
      <c r="I264" s="317">
        <v>106250</v>
      </c>
      <c r="J264" s="317">
        <v>46136</v>
      </c>
      <c r="K264" s="317">
        <v>189.2</v>
      </c>
      <c r="L264" s="317">
        <v>46136</v>
      </c>
      <c r="M264" s="317">
        <v>275</v>
      </c>
      <c r="N264" s="317">
        <v>46136</v>
      </c>
      <c r="O264" s="317">
        <v>213.4</v>
      </c>
      <c r="P264" s="317">
        <v>46136</v>
      </c>
      <c r="Q264" s="317">
        <v>154</v>
      </c>
      <c r="S264" s="317">
        <v>91250</v>
      </c>
      <c r="T264" s="317">
        <v>46136</v>
      </c>
      <c r="U264" s="317">
        <v>178.20000000000002</v>
      </c>
      <c r="V264" s="317">
        <v>46136</v>
      </c>
      <c r="W264" s="317">
        <v>228.8</v>
      </c>
      <c r="X264" s="317">
        <v>46136</v>
      </c>
      <c r="Y264" s="317">
        <v>198</v>
      </c>
      <c r="Z264" s="317">
        <v>46136</v>
      </c>
      <c r="AA264" s="317">
        <v>235.4</v>
      </c>
      <c r="AC264" s="304">
        <v>130000</v>
      </c>
      <c r="AD264" s="304">
        <v>46136</v>
      </c>
    </row>
    <row r="265" spans="4:30" s="299" customFormat="1">
      <c r="D265" s="310" t="str">
        <v>GigaEthernet (100Mbps)</v>
      </c>
      <c r="F265" s="304">
        <v>420000</v>
      </c>
      <c r="G265" s="304">
        <v>56550</v>
      </c>
      <c r="I265" s="317">
        <v>240000</v>
      </c>
      <c r="J265" s="317">
        <v>56550</v>
      </c>
      <c r="K265" s="317">
        <v>200.25</v>
      </c>
      <c r="L265" s="317">
        <v>56550</v>
      </c>
      <c r="M265" s="317">
        <v>218.25</v>
      </c>
      <c r="N265" s="317">
        <v>56550</v>
      </c>
      <c r="O265" s="317">
        <v>265.5</v>
      </c>
      <c r="P265" s="317">
        <v>56550</v>
      </c>
      <c r="Q265" s="317">
        <v>285.75</v>
      </c>
      <c r="S265" s="317">
        <v>267500</v>
      </c>
      <c r="T265" s="317">
        <v>56550</v>
      </c>
      <c r="U265" s="317">
        <v>166.5</v>
      </c>
      <c r="V265" s="317">
        <v>56550</v>
      </c>
      <c r="W265" s="317">
        <v>247.50000000000003</v>
      </c>
      <c r="X265" s="317">
        <v>56550</v>
      </c>
      <c r="Y265" s="317">
        <v>225</v>
      </c>
      <c r="Z265" s="317">
        <v>56550</v>
      </c>
      <c r="AA265" s="317">
        <v>220.5</v>
      </c>
      <c r="AC265" s="304">
        <v>200000</v>
      </c>
      <c r="AD265" s="304">
        <v>56550</v>
      </c>
    </row>
    <row r="266" spans="4:30" s="299" customFormat="1">
      <c r="D266" s="310" t="str">
        <v>GigaEthernet (150Mbps)</v>
      </c>
      <c r="F266" s="304">
        <v>425000</v>
      </c>
      <c r="G266" s="304">
        <v>79514</v>
      </c>
      <c r="I266" s="317">
        <v>212500</v>
      </c>
      <c r="J266" s="317">
        <v>79514</v>
      </c>
      <c r="K266" s="317">
        <v>318.14999999999998</v>
      </c>
      <c r="L266" s="317">
        <v>79514</v>
      </c>
      <c r="M266" s="317">
        <v>261.45</v>
      </c>
      <c r="N266" s="317">
        <v>79514</v>
      </c>
      <c r="O266" s="317">
        <v>286.65000000000003</v>
      </c>
      <c r="P266" s="317">
        <v>79514</v>
      </c>
      <c r="Q266" s="317">
        <v>384.3</v>
      </c>
      <c r="S266" s="317">
        <v>227500</v>
      </c>
      <c r="T266" s="317">
        <v>79514</v>
      </c>
      <c r="U266" s="317">
        <v>299.25</v>
      </c>
      <c r="V266" s="317">
        <v>79514</v>
      </c>
      <c r="W266" s="317">
        <v>396.9</v>
      </c>
      <c r="X266" s="317">
        <v>79514</v>
      </c>
      <c r="Y266" s="317">
        <v>349.65000000000003</v>
      </c>
      <c r="Z266" s="317">
        <v>79514</v>
      </c>
      <c r="AA266" s="317">
        <v>283.5</v>
      </c>
      <c r="AC266" s="304">
        <v>245000</v>
      </c>
      <c r="AD266" s="304">
        <v>79514</v>
      </c>
    </row>
    <row r="267" spans="4:30" s="299" customFormat="1">
      <c r="D267" s="310" t="str">
        <v>GigaEthernet (200Mbps)</v>
      </c>
      <c r="F267" s="304">
        <v>555000</v>
      </c>
      <c r="G267" s="304">
        <v>117696</v>
      </c>
      <c r="I267" s="317">
        <v>230000</v>
      </c>
      <c r="J267" s="317">
        <v>117696</v>
      </c>
      <c r="K267" s="317">
        <v>529.20000000000005</v>
      </c>
      <c r="L267" s="317">
        <v>117696</v>
      </c>
      <c r="M267" s="317">
        <v>323.40000000000003</v>
      </c>
      <c r="N267" s="317">
        <v>117696</v>
      </c>
      <c r="O267" s="317">
        <v>432.6</v>
      </c>
      <c r="P267" s="317">
        <v>117696</v>
      </c>
      <c r="Q267" s="317">
        <v>336</v>
      </c>
      <c r="S267" s="317">
        <v>297500</v>
      </c>
      <c r="T267" s="317">
        <v>117696</v>
      </c>
      <c r="U267" s="317">
        <v>420</v>
      </c>
      <c r="V267" s="317">
        <v>117696</v>
      </c>
      <c r="W267" s="317">
        <v>525</v>
      </c>
      <c r="X267" s="317">
        <v>117696</v>
      </c>
      <c r="Y267" s="317">
        <v>466.20000000000005</v>
      </c>
      <c r="Z267" s="317">
        <v>117696</v>
      </c>
      <c r="AA267" s="317">
        <v>428.40000000000003</v>
      </c>
      <c r="AC267" s="304">
        <v>200000</v>
      </c>
      <c r="AD267" s="304">
        <v>117696</v>
      </c>
    </row>
    <row r="268" spans="4:30" s="299" customFormat="1">
      <c r="D268" s="310" t="str">
        <v>GigaEthernet (250Mbps)</v>
      </c>
      <c r="F268" s="304">
        <v>490000</v>
      </c>
      <c r="G268" s="304">
        <v>105120</v>
      </c>
      <c r="I268" s="317">
        <v>297500</v>
      </c>
      <c r="J268" s="317">
        <v>105120</v>
      </c>
      <c r="K268" s="317">
        <v>551.43999999999994</v>
      </c>
      <c r="L268" s="317">
        <v>105120</v>
      </c>
      <c r="M268" s="317">
        <v>541.68000000000006</v>
      </c>
      <c r="N268" s="317">
        <v>105120</v>
      </c>
      <c r="O268" s="317">
        <v>448.96000000000004</v>
      </c>
      <c r="P268" s="317">
        <v>105120</v>
      </c>
      <c r="Q268" s="317">
        <v>483.12</v>
      </c>
      <c r="S268" s="317">
        <v>185000</v>
      </c>
      <c r="T268" s="317">
        <v>105120</v>
      </c>
      <c r="U268" s="317">
        <v>468.47999999999996</v>
      </c>
      <c r="V268" s="317">
        <v>105120</v>
      </c>
      <c r="W268" s="317">
        <v>390.40000000000003</v>
      </c>
      <c r="X268" s="317">
        <v>105120</v>
      </c>
      <c r="Y268" s="317">
        <v>507.52000000000004</v>
      </c>
      <c r="Z268" s="317">
        <v>105120</v>
      </c>
      <c r="AA268" s="317">
        <v>531.92000000000007</v>
      </c>
      <c r="AC268" s="304">
        <v>322500</v>
      </c>
      <c r="AD268" s="304">
        <v>105120</v>
      </c>
    </row>
    <row r="269" spans="4:30" s="299" customFormat="1">
      <c r="D269" s="310" t="str">
        <v>GigaEthernet (300Mbps)</v>
      </c>
      <c r="F269" s="304">
        <v>485000</v>
      </c>
      <c r="G269" s="304">
        <v>147295</v>
      </c>
      <c r="I269" s="317">
        <v>245000</v>
      </c>
      <c r="J269" s="317">
        <v>147295</v>
      </c>
      <c r="K269" s="317">
        <v>579.15</v>
      </c>
      <c r="L269" s="317">
        <v>147295</v>
      </c>
      <c r="M269" s="317">
        <v>520.65</v>
      </c>
      <c r="N269" s="317">
        <v>147295</v>
      </c>
      <c r="O269" s="317">
        <v>514.79999999999995</v>
      </c>
      <c r="P269" s="317">
        <v>147295</v>
      </c>
      <c r="Q269" s="317">
        <v>690.3</v>
      </c>
      <c r="S269" s="317">
        <v>230000</v>
      </c>
      <c r="T269" s="317">
        <v>147295</v>
      </c>
      <c r="U269" s="317">
        <v>573.29999999999995</v>
      </c>
      <c r="V269" s="317">
        <v>147295</v>
      </c>
      <c r="W269" s="317">
        <v>748.80000000000007</v>
      </c>
      <c r="X269" s="317">
        <v>147295</v>
      </c>
      <c r="Y269" s="317">
        <v>409.5</v>
      </c>
      <c r="Z269" s="317">
        <v>147295</v>
      </c>
      <c r="AA269" s="317">
        <v>555.75</v>
      </c>
      <c r="AC269" s="304">
        <v>325000</v>
      </c>
      <c r="AD269" s="304">
        <v>147295</v>
      </c>
    </row>
    <row r="270" spans="4:30" s="299" customFormat="1">
      <c r="D270" s="310" t="str">
        <v>GigaEthernet (350Mbps)</v>
      </c>
      <c r="F270" s="304">
        <v>520000</v>
      </c>
      <c r="G270" s="304">
        <v>157164</v>
      </c>
      <c r="I270" s="317">
        <v>190000</v>
      </c>
      <c r="J270" s="317">
        <v>157164</v>
      </c>
      <c r="K270" s="317">
        <v>792.28</v>
      </c>
      <c r="L270" s="317">
        <v>157164</v>
      </c>
      <c r="M270" s="317">
        <v>648.85</v>
      </c>
      <c r="N270" s="317">
        <v>157164</v>
      </c>
      <c r="O270" s="317">
        <v>853.75</v>
      </c>
      <c r="P270" s="317">
        <v>157164</v>
      </c>
      <c r="Q270" s="317">
        <v>826.43</v>
      </c>
      <c r="S270" s="317">
        <v>267500</v>
      </c>
      <c r="T270" s="317">
        <v>157164</v>
      </c>
      <c r="U270" s="317">
        <v>703.49</v>
      </c>
      <c r="V270" s="317">
        <v>157164</v>
      </c>
      <c r="W270" s="317">
        <v>601.04</v>
      </c>
      <c r="X270" s="317">
        <v>157164</v>
      </c>
      <c r="Y270" s="317">
        <v>594.21</v>
      </c>
      <c r="Z270" s="317">
        <v>157164</v>
      </c>
      <c r="AA270" s="317">
        <v>764.96</v>
      </c>
      <c r="AC270" s="304">
        <v>247500</v>
      </c>
      <c r="AD270" s="304">
        <v>157164</v>
      </c>
    </row>
    <row r="271" spans="4:30" s="299" customFormat="1">
      <c r="D271" s="310" t="str">
        <v>GigaEthernet (400Mbps)</v>
      </c>
      <c r="F271" s="304">
        <v>400000</v>
      </c>
      <c r="G271" s="304">
        <v>235604.99999999997</v>
      </c>
      <c r="I271" s="317">
        <v>247500</v>
      </c>
      <c r="J271" s="317">
        <v>235604.99999999997</v>
      </c>
      <c r="K271" s="317">
        <v>686.4</v>
      </c>
      <c r="L271" s="317">
        <v>235604.99999999997</v>
      </c>
      <c r="M271" s="317">
        <v>655.19999999999993</v>
      </c>
      <c r="N271" s="317">
        <v>235604.99999999997</v>
      </c>
      <c r="O271" s="317">
        <v>748.8</v>
      </c>
      <c r="P271" s="317">
        <v>235604.99999999997</v>
      </c>
      <c r="Q271" s="317">
        <v>647.4</v>
      </c>
      <c r="S271" s="317">
        <v>230000</v>
      </c>
      <c r="T271" s="317">
        <v>235604.99999999997</v>
      </c>
      <c r="U271" s="317">
        <v>616.20000000000005</v>
      </c>
      <c r="V271" s="317">
        <v>235604.99999999997</v>
      </c>
      <c r="W271" s="317">
        <v>717.6</v>
      </c>
      <c r="X271" s="317">
        <v>235604.99999999997</v>
      </c>
      <c r="Y271" s="317">
        <v>858.00000000000011</v>
      </c>
      <c r="Z271" s="317">
        <v>235604.99999999997</v>
      </c>
      <c r="AA271" s="317">
        <v>982.8</v>
      </c>
      <c r="AC271" s="304">
        <v>222500</v>
      </c>
      <c r="AD271" s="304">
        <v>235604.99999999997</v>
      </c>
    </row>
    <row r="272" spans="4:30" s="299" customFormat="1">
      <c r="D272" s="310" t="str">
        <v>GigaEthernet (450Mbps)</v>
      </c>
      <c r="F272" s="304">
        <v>475000</v>
      </c>
      <c r="G272" s="304">
        <v>174800</v>
      </c>
      <c r="I272" s="317">
        <v>247500</v>
      </c>
      <c r="J272" s="317">
        <v>174800</v>
      </c>
      <c r="K272" s="317">
        <v>763.86</v>
      </c>
      <c r="L272" s="317">
        <v>174800</v>
      </c>
      <c r="M272" s="317">
        <v>623.38</v>
      </c>
      <c r="N272" s="317">
        <v>174800</v>
      </c>
      <c r="O272" s="317">
        <v>1115.06</v>
      </c>
      <c r="P272" s="317">
        <v>174800</v>
      </c>
      <c r="Q272" s="317">
        <v>851.66</v>
      </c>
      <c r="S272" s="317">
        <v>212500</v>
      </c>
      <c r="T272" s="317">
        <v>174800</v>
      </c>
      <c r="U272" s="317">
        <v>1132.6200000000001</v>
      </c>
      <c r="V272" s="317">
        <v>174800</v>
      </c>
      <c r="W272" s="317">
        <v>728.74</v>
      </c>
      <c r="X272" s="317">
        <v>174800</v>
      </c>
      <c r="Y272" s="317">
        <v>658.5</v>
      </c>
      <c r="Z272" s="317">
        <v>174800</v>
      </c>
      <c r="AA272" s="317">
        <v>1106.28</v>
      </c>
      <c r="AC272" s="304">
        <v>207500</v>
      </c>
      <c r="AD272" s="304">
        <v>174800</v>
      </c>
    </row>
    <row r="273" spans="3:31" s="299" customFormat="1">
      <c r="D273" s="310" t="str">
        <v>GigaEthernet (500Mbps)</v>
      </c>
      <c r="F273" s="304">
        <v>505000</v>
      </c>
      <c r="G273" s="304">
        <v>176050</v>
      </c>
      <c r="I273" s="317">
        <v>210000</v>
      </c>
      <c r="J273" s="317">
        <v>176050</v>
      </c>
      <c r="K273" s="317">
        <v>1153.26</v>
      </c>
      <c r="L273" s="317">
        <v>176050</v>
      </c>
      <c r="M273" s="317">
        <v>1063.8599999999999</v>
      </c>
      <c r="N273" s="317">
        <v>176050</v>
      </c>
      <c r="O273" s="317">
        <v>697.32</v>
      </c>
      <c r="P273" s="317">
        <v>176050</v>
      </c>
      <c r="Q273" s="317">
        <v>938.7</v>
      </c>
      <c r="S273" s="317">
        <v>240000</v>
      </c>
      <c r="T273" s="317">
        <v>176050</v>
      </c>
      <c r="U273" s="317">
        <v>1019.16</v>
      </c>
      <c r="V273" s="317">
        <v>176050</v>
      </c>
      <c r="W273" s="317">
        <v>840.3599999999999</v>
      </c>
      <c r="X273" s="317">
        <v>176050</v>
      </c>
      <c r="Y273" s="317">
        <v>625.79999999999995</v>
      </c>
      <c r="Z273" s="317">
        <v>176050</v>
      </c>
      <c r="AA273" s="317">
        <v>759.9</v>
      </c>
      <c r="AC273" s="304">
        <v>227500</v>
      </c>
      <c r="AD273" s="304">
        <v>176050</v>
      </c>
    </row>
    <row r="274" spans="3:31" s="299" customFormat="1">
      <c r="D274" s="310" t="str">
        <v>GigaEthernet (550Mbps)</v>
      </c>
      <c r="F274" s="304">
        <v>545000</v>
      </c>
      <c r="G274" s="304">
        <v>281087</v>
      </c>
      <c r="I274" s="317">
        <v>322500</v>
      </c>
      <c r="J274" s="317">
        <v>281087</v>
      </c>
      <c r="K274" s="317">
        <v>1238.58</v>
      </c>
      <c r="L274" s="317">
        <v>281087</v>
      </c>
      <c r="M274" s="317">
        <v>747.08</v>
      </c>
      <c r="N274" s="317">
        <v>281087</v>
      </c>
      <c r="O274" s="317">
        <v>1022.32</v>
      </c>
      <c r="P274" s="317">
        <v>281087</v>
      </c>
      <c r="Q274" s="317">
        <v>914.19</v>
      </c>
      <c r="S274" s="317">
        <v>275000</v>
      </c>
      <c r="T274" s="317">
        <v>281087</v>
      </c>
      <c r="U274" s="317">
        <v>1150.1099999999999</v>
      </c>
      <c r="V274" s="317">
        <v>281087</v>
      </c>
      <c r="W274" s="317">
        <v>1081.3000000000002</v>
      </c>
      <c r="X274" s="317">
        <v>281087</v>
      </c>
      <c r="Y274" s="317">
        <v>1150.1099999999999</v>
      </c>
      <c r="Z274" s="317">
        <v>281087</v>
      </c>
      <c r="AA274" s="317">
        <v>1032.1500000000001</v>
      </c>
      <c r="AC274" s="304">
        <v>225000</v>
      </c>
      <c r="AD274" s="304">
        <v>281087</v>
      </c>
    </row>
    <row r="275" spans="3:31" s="299" customFormat="1">
      <c r="D275" s="310" t="str">
        <v>GigaEthernet (600Mbps)</v>
      </c>
      <c r="F275" s="304">
        <v>635000</v>
      </c>
      <c r="G275" s="304">
        <v>209095</v>
      </c>
      <c r="I275" s="317">
        <v>230000</v>
      </c>
      <c r="J275" s="317">
        <v>209095</v>
      </c>
      <c r="K275" s="317">
        <v>1180.3000000000002</v>
      </c>
      <c r="L275" s="317">
        <v>209095</v>
      </c>
      <c r="M275" s="317">
        <v>1394.9</v>
      </c>
      <c r="N275" s="317">
        <v>209095</v>
      </c>
      <c r="O275" s="317">
        <v>751.09999999999991</v>
      </c>
      <c r="P275" s="317">
        <v>209095</v>
      </c>
      <c r="Q275" s="317">
        <v>1233.9499999999998</v>
      </c>
      <c r="S275" s="317">
        <v>282500</v>
      </c>
      <c r="T275" s="317">
        <v>209095</v>
      </c>
      <c r="U275" s="317">
        <v>976.43000000000006</v>
      </c>
      <c r="V275" s="317">
        <v>209095</v>
      </c>
      <c r="W275" s="317">
        <v>1384.17</v>
      </c>
      <c r="X275" s="317">
        <v>209095</v>
      </c>
      <c r="Y275" s="317">
        <v>890.58999999999992</v>
      </c>
      <c r="Z275" s="317">
        <v>209095</v>
      </c>
      <c r="AA275" s="317">
        <v>1030.08</v>
      </c>
      <c r="AC275" s="304">
        <v>307500</v>
      </c>
      <c r="AD275" s="304">
        <v>209095</v>
      </c>
    </row>
    <row r="276" spans="3:31" s="299" customFormat="1">
      <c r="D276" s="310" t="str">
        <v>GigaEthernet (750Mbps)</v>
      </c>
      <c r="F276" s="304">
        <v>555000</v>
      </c>
      <c r="G276" s="304">
        <v>467649</v>
      </c>
      <c r="I276" s="317">
        <v>310000</v>
      </c>
      <c r="J276" s="317">
        <v>467649</v>
      </c>
      <c r="K276" s="317">
        <v>1059.3900000000001</v>
      </c>
      <c r="L276" s="317">
        <v>467649</v>
      </c>
      <c r="M276" s="317">
        <v>1434.8700000000001</v>
      </c>
      <c r="N276" s="317">
        <v>467649</v>
      </c>
      <c r="O276" s="317">
        <v>1287.3599999999999</v>
      </c>
      <c r="P276" s="317">
        <v>467649</v>
      </c>
      <c r="Q276" s="317">
        <v>1139.8499999999999</v>
      </c>
      <c r="S276" s="317">
        <v>220000</v>
      </c>
      <c r="T276" s="317">
        <v>467649</v>
      </c>
      <c r="U276" s="317">
        <v>965.52</v>
      </c>
      <c r="V276" s="317">
        <v>467649</v>
      </c>
      <c r="W276" s="317">
        <v>1743.3</v>
      </c>
      <c r="X276" s="317">
        <v>467649</v>
      </c>
      <c r="Y276" s="317">
        <v>1180.08</v>
      </c>
      <c r="Z276" s="317">
        <v>467649</v>
      </c>
      <c r="AA276" s="317">
        <v>1381.23</v>
      </c>
      <c r="AC276" s="304">
        <v>325000</v>
      </c>
      <c r="AD276" s="304">
        <v>467649</v>
      </c>
    </row>
    <row r="277" spans="3:31" s="299" customFormat="1">
      <c r="D277" s="310" t="str">
        <v>GigaEthernet (1 Gbps)</v>
      </c>
      <c r="F277" s="304">
        <v>480000</v>
      </c>
      <c r="G277" s="304">
        <v>522313</v>
      </c>
      <c r="I277" s="317">
        <v>187500</v>
      </c>
      <c r="J277" s="317">
        <v>522313</v>
      </c>
      <c r="K277" s="317">
        <v>1186.25</v>
      </c>
      <c r="L277" s="317">
        <v>522313</v>
      </c>
      <c r="M277" s="317">
        <v>2015</v>
      </c>
      <c r="N277" s="317">
        <v>522313</v>
      </c>
      <c r="O277" s="317">
        <v>1998.75</v>
      </c>
      <c r="P277" s="317">
        <v>522313</v>
      </c>
      <c r="Q277" s="317">
        <v>1283.75</v>
      </c>
      <c r="S277" s="317">
        <v>305000</v>
      </c>
      <c r="T277" s="317">
        <v>522313</v>
      </c>
      <c r="U277" s="317">
        <v>1218.75</v>
      </c>
      <c r="V277" s="317">
        <v>522313</v>
      </c>
      <c r="W277" s="317">
        <v>1413.75</v>
      </c>
      <c r="X277" s="317">
        <v>522313</v>
      </c>
      <c r="Y277" s="317">
        <v>1153.75</v>
      </c>
      <c r="Z277" s="317">
        <v>522313</v>
      </c>
      <c r="AA277" s="317">
        <v>1560</v>
      </c>
      <c r="AC277" s="304">
        <v>245000</v>
      </c>
      <c r="AD277" s="304">
        <v>522313</v>
      </c>
    </row>
    <row r="278" spans="3:31" customFormat="1">
      <c r="E278" s="95"/>
      <c r="F278" s="95"/>
      <c r="G278" s="95"/>
      <c r="I278" s="95"/>
      <c r="K278" s="95"/>
      <c r="L278" s="95"/>
      <c r="M278" s="95"/>
      <c r="N278" s="95"/>
      <c r="O278" s="95"/>
      <c r="P278" s="95"/>
      <c r="Q278" s="95"/>
      <c r="S278" s="95"/>
      <c r="U278" s="95"/>
      <c r="V278" s="95"/>
      <c r="W278" s="95"/>
      <c r="X278" s="95"/>
      <c r="Y278" s="95"/>
      <c r="Z278" s="95"/>
      <c r="AA278" s="95"/>
      <c r="AC278" s="299"/>
      <c r="AD278" s="299"/>
      <c r="AE278" s="299"/>
    </row>
    <row r="279" spans="3:31" customFormat="1">
      <c r="AC279" s="299"/>
      <c r="AD279" s="299"/>
      <c r="AE279" s="299"/>
    </row>
    <row r="281" spans="3:31">
      <c r="C281" s="226" t="s">
        <v>250</v>
      </c>
    </row>
    <row r="282" spans="3:31" ht="24">
      <c r="C282" s="119" t="s">
        <v>128</v>
      </c>
      <c r="E282" s="338" t="str">
        <f t="array" ref="E282:P283">Enlaces.decidados.tipos.categorías</f>
        <v>Local</v>
      </c>
      <c r="F282" s="338" t="str">
        <v>Nacional</v>
      </c>
      <c r="G282" s="299" t="str">
        <v>-</v>
      </c>
      <c r="H282" s="299" t="str">
        <v>-</v>
      </c>
      <c r="I282" s="299" t="str">
        <v>-</v>
      </c>
      <c r="J282" s="299" t="str">
        <v>-</v>
      </c>
      <c r="K282" s="338" t="str">
        <v>Internacional</v>
      </c>
      <c r="L282" s="299" t="str">
        <v>-</v>
      </c>
      <c r="M282" s="299" t="str">
        <v>-</v>
      </c>
      <c r="N282" s="299" t="str">
        <v>-</v>
      </c>
      <c r="O282" s="299" t="str">
        <v>-</v>
      </c>
      <c r="P282" s="338" t="str">
        <v>Cruce fronterizo</v>
      </c>
    </row>
    <row r="283" spans="3:31" ht="24">
      <c r="D283" s="227" t="s">
        <v>251</v>
      </c>
      <c r="E283" s="299" t="str">
        <v>-</v>
      </c>
      <c r="F283" s="299" t="str">
        <v>-</v>
      </c>
      <c r="G283" s="338" t="str">
        <v>De los cuales 0-81 km</v>
      </c>
      <c r="H283" s="338" t="str">
        <v>De los cuales 81-161 km</v>
      </c>
      <c r="I283" s="338" t="str">
        <v>De los cuales 161-805 km</v>
      </c>
      <c r="J283" s="338" t="str">
        <v>De los cuales  &gt; 805 km</v>
      </c>
      <c r="K283" s="299" t="str">
        <v>-</v>
      </c>
      <c r="L283" s="338" t="str">
        <v>De los cuales 0-81 km</v>
      </c>
      <c r="M283" s="338" t="str">
        <v>De los cuales  81-161 km</v>
      </c>
      <c r="N283" s="338" t="str">
        <v>De los cuales 161-805 km</v>
      </c>
      <c r="O283" s="338" t="str">
        <v>De los cuales  &gt; 805 km</v>
      </c>
      <c r="P283" s="299" t="str">
        <v>-</v>
      </c>
    </row>
    <row r="284" spans="3:31" ht="24">
      <c r="D284" s="119" t="s">
        <v>129</v>
      </c>
      <c r="E284" s="338" t="str">
        <f t="array" ref="E284:P285">LL.type.categories</f>
        <v>Local</v>
      </c>
      <c r="F284" s="338" t="str">
        <v>National</v>
      </c>
      <c r="G284" s="299" t="str">
        <v>-</v>
      </c>
      <c r="H284" s="299" t="str">
        <v>-</v>
      </c>
      <c r="I284" s="299" t="str">
        <v>-</v>
      </c>
      <c r="J284" s="299" t="str">
        <v>-</v>
      </c>
      <c r="K284" s="338" t="str">
        <v>International</v>
      </c>
      <c r="L284" s="299" t="str">
        <v>-</v>
      </c>
      <c r="M284" s="299" t="str">
        <v>-</v>
      </c>
      <c r="N284" s="299" t="str">
        <v>-</v>
      </c>
      <c r="O284" s="299" t="str">
        <v>-</v>
      </c>
      <c r="P284" s="338" t="str">
        <v>Border crossing</v>
      </c>
    </row>
    <row r="285" spans="3:31" ht="24">
      <c r="E285" s="299" t="str">
        <v>-</v>
      </c>
      <c r="F285" s="299" t="str">
        <v>-</v>
      </c>
      <c r="G285" s="338" t="str">
        <v>Of which 0-81 Km</v>
      </c>
      <c r="H285" s="338" t="str">
        <v>Of which 81-161 Km</v>
      </c>
      <c r="I285" s="338" t="str">
        <v>Of which 161-805 Km</v>
      </c>
      <c r="J285" s="338" t="str">
        <v>Of which &gt; 805 Km</v>
      </c>
      <c r="K285" s="299" t="str">
        <v>-</v>
      </c>
      <c r="L285" s="338" t="str">
        <v>Of which 0-81 Km</v>
      </c>
      <c r="M285" s="338" t="str">
        <v>Of which 81-161 Km</v>
      </c>
      <c r="N285" s="338" t="str">
        <v>Of which 161-805 Km</v>
      </c>
      <c r="O285" s="338" t="str">
        <v>Of which &gt; 805 Km</v>
      </c>
      <c r="P285" s="299" t="str">
        <v>-</v>
      </c>
    </row>
    <row r="286" spans="3:31">
      <c r="D286" s="310" t="str">
        <f t="array" ref="D286:D323">LL.list</f>
        <v>64 kbps</v>
      </c>
      <c r="E286" s="302">
        <f t="array" ref="E286:E323">F240:F277</f>
        <v>12004.44</v>
      </c>
      <c r="F286" s="11">
        <f t="array" ref="F286:F323">I240:I277</f>
        <v>3688</v>
      </c>
      <c r="G286" s="302">
        <f t="array" ref="G286:G323">$F286:$F323</f>
        <v>3688</v>
      </c>
      <c r="H286" s="302">
        <f t="array" ref="H286:H323">$F286:$F323</f>
        <v>3688</v>
      </c>
      <c r="I286" s="302">
        <f t="array" ref="I286:I323">$F286:$F323</f>
        <v>3688</v>
      </c>
      <c r="J286" s="302">
        <f t="array" ref="J286:J323">$F286:$F323</f>
        <v>3688</v>
      </c>
      <c r="K286" s="11">
        <f t="array" ref="K286:K323">S240:S277</f>
        <v>4427.1500000000005</v>
      </c>
      <c r="L286" s="302">
        <f t="array" ref="L286:L323">$K286:$K323</f>
        <v>4427.1500000000005</v>
      </c>
      <c r="M286" s="302">
        <f t="array" ref="M286:M323">$K286:$K323</f>
        <v>4427.1500000000005</v>
      </c>
      <c r="N286" s="302">
        <f t="array" ref="N286:N323">$K286:$K323</f>
        <v>4427.1500000000005</v>
      </c>
      <c r="O286" s="302">
        <f t="array" ref="O286:O323">$K286:$K323</f>
        <v>4427.1500000000005</v>
      </c>
      <c r="P286" s="304">
        <f t="array" ref="P286:P323">AC240:AC277</f>
        <v>14069.720000000001</v>
      </c>
    </row>
    <row r="287" spans="3:31">
      <c r="D287" s="310" t="str">
        <v>128 kbps</v>
      </c>
      <c r="E287" s="302">
        <v>22459.919999999998</v>
      </c>
      <c r="F287" s="11">
        <v>5372.5</v>
      </c>
      <c r="G287" s="302">
        <v>5372.5</v>
      </c>
      <c r="H287" s="302">
        <v>5372.5</v>
      </c>
      <c r="I287" s="302">
        <v>5372.5</v>
      </c>
      <c r="J287" s="302">
        <v>5372.5</v>
      </c>
      <c r="K287" s="11">
        <v>4621.5600000000004</v>
      </c>
      <c r="L287" s="302">
        <v>4621.5600000000004</v>
      </c>
      <c r="M287" s="302">
        <v>4621.5600000000004</v>
      </c>
      <c r="N287" s="302">
        <v>4621.5600000000004</v>
      </c>
      <c r="O287" s="302">
        <v>4621.5600000000004</v>
      </c>
      <c r="P287" s="304">
        <v>23621.64</v>
      </c>
    </row>
    <row r="288" spans="3:31">
      <c r="D288" s="310" t="str">
        <v>192 kbps</v>
      </c>
      <c r="E288" s="302">
        <v>22459.919999999998</v>
      </c>
      <c r="F288" s="11">
        <v>2183.7200000000003</v>
      </c>
      <c r="G288" s="302">
        <v>2183.7200000000003</v>
      </c>
      <c r="H288" s="302">
        <v>2183.7200000000003</v>
      </c>
      <c r="I288" s="302">
        <v>2183.7200000000003</v>
      </c>
      <c r="J288" s="302">
        <v>2183.7200000000003</v>
      </c>
      <c r="K288" s="11">
        <v>5674.24</v>
      </c>
      <c r="L288" s="302">
        <v>5674.24</v>
      </c>
      <c r="M288" s="302">
        <v>5674.24</v>
      </c>
      <c r="N288" s="302">
        <v>5674.24</v>
      </c>
      <c r="O288" s="302">
        <v>5674.24</v>
      </c>
      <c r="P288" s="304">
        <v>21169.119999999999</v>
      </c>
    </row>
    <row r="289" spans="4:16">
      <c r="D289" s="310" t="str">
        <v>256 kbps</v>
      </c>
      <c r="E289" s="302">
        <v>39046.699999999997</v>
      </c>
      <c r="F289" s="11">
        <v>4428.4799999999996</v>
      </c>
      <c r="G289" s="302">
        <v>4428.4799999999996</v>
      </c>
      <c r="H289" s="302">
        <v>4428.4799999999996</v>
      </c>
      <c r="I289" s="302">
        <v>4428.4799999999996</v>
      </c>
      <c r="J289" s="302">
        <v>4428.4799999999996</v>
      </c>
      <c r="K289" s="11">
        <v>6544.14</v>
      </c>
      <c r="L289" s="302">
        <v>6544.14</v>
      </c>
      <c r="M289" s="302">
        <v>6544.14</v>
      </c>
      <c r="N289" s="302">
        <v>6544.14</v>
      </c>
      <c r="O289" s="302">
        <v>6544.14</v>
      </c>
      <c r="P289" s="304">
        <v>41305.599999999999</v>
      </c>
    </row>
    <row r="290" spans="4:16">
      <c r="D290" s="310" t="str">
        <v>384 kbps</v>
      </c>
      <c r="E290" s="302">
        <v>46856.04</v>
      </c>
      <c r="F290" s="11">
        <v>6264.6</v>
      </c>
      <c r="G290" s="302">
        <v>6264.6</v>
      </c>
      <c r="H290" s="302">
        <v>6264.6</v>
      </c>
      <c r="I290" s="302">
        <v>6264.6</v>
      </c>
      <c r="J290" s="302">
        <v>6264.6</v>
      </c>
      <c r="K290" s="11">
        <v>6533.72</v>
      </c>
      <c r="L290" s="302">
        <v>6533.72</v>
      </c>
      <c r="M290" s="302">
        <v>6533.72</v>
      </c>
      <c r="N290" s="302">
        <v>6533.72</v>
      </c>
      <c r="O290" s="302">
        <v>6533.72</v>
      </c>
      <c r="P290" s="304">
        <v>39498.480000000003</v>
      </c>
    </row>
    <row r="291" spans="4:16">
      <c r="D291" s="310" t="str">
        <v>512 kbps</v>
      </c>
      <c r="E291" s="302">
        <v>42919.1</v>
      </c>
      <c r="F291" s="11">
        <v>7544.16</v>
      </c>
      <c r="G291" s="302">
        <v>7544.16</v>
      </c>
      <c r="H291" s="302">
        <v>7544.16</v>
      </c>
      <c r="I291" s="302">
        <v>7544.16</v>
      </c>
      <c r="J291" s="302">
        <v>7544.16</v>
      </c>
      <c r="K291" s="11">
        <v>8897.32</v>
      </c>
      <c r="L291" s="302">
        <v>8897.32</v>
      </c>
      <c r="M291" s="302">
        <v>8897.32</v>
      </c>
      <c r="N291" s="302">
        <v>8897.32</v>
      </c>
      <c r="O291" s="302">
        <v>8897.32</v>
      </c>
      <c r="P291" s="304">
        <v>44726.22</v>
      </c>
    </row>
    <row r="292" spans="4:16">
      <c r="D292" s="310" t="str">
        <v>768 kbps</v>
      </c>
      <c r="E292" s="302">
        <v>46468.800000000003</v>
      </c>
      <c r="F292" s="11">
        <v>4785.5999999999995</v>
      </c>
      <c r="G292" s="302">
        <v>4785.5999999999995</v>
      </c>
      <c r="H292" s="302">
        <v>4785.5999999999995</v>
      </c>
      <c r="I292" s="302">
        <v>4785.5999999999995</v>
      </c>
      <c r="J292" s="302">
        <v>4785.5999999999995</v>
      </c>
      <c r="K292" s="11">
        <v>9009.36</v>
      </c>
      <c r="L292" s="302">
        <v>9009.36</v>
      </c>
      <c r="M292" s="302">
        <v>9009.36</v>
      </c>
      <c r="N292" s="302">
        <v>9009.36</v>
      </c>
      <c r="O292" s="302">
        <v>9009.36</v>
      </c>
      <c r="P292" s="304">
        <v>51115.68</v>
      </c>
    </row>
    <row r="293" spans="4:16">
      <c r="D293" s="310" t="str">
        <v>1024 kbps</v>
      </c>
      <c r="E293" s="302">
        <v>70284.06</v>
      </c>
      <c r="F293" s="11">
        <v>6920.2400000000007</v>
      </c>
      <c r="G293" s="302">
        <v>6920.2400000000007</v>
      </c>
      <c r="H293" s="302">
        <v>6920.2400000000007</v>
      </c>
      <c r="I293" s="302">
        <v>6920.2400000000007</v>
      </c>
      <c r="J293" s="302">
        <v>6920.2400000000007</v>
      </c>
      <c r="K293" s="11">
        <v>10047.85</v>
      </c>
      <c r="L293" s="302">
        <v>10047.85</v>
      </c>
      <c r="M293" s="302">
        <v>10047.85</v>
      </c>
      <c r="N293" s="302">
        <v>10047.85</v>
      </c>
      <c r="O293" s="302">
        <v>10047.85</v>
      </c>
      <c r="P293" s="304">
        <v>47630.52</v>
      </c>
    </row>
    <row r="294" spans="4:16">
      <c r="D294" s="310" t="str">
        <v>E1 (2.04 Mbps)</v>
      </c>
      <c r="E294" s="302">
        <v>85512.739999999991</v>
      </c>
      <c r="F294" s="11">
        <v>9834.4000000000015</v>
      </c>
      <c r="G294" s="302">
        <v>9834.4000000000015</v>
      </c>
      <c r="H294" s="302">
        <v>9834.4000000000015</v>
      </c>
      <c r="I294" s="302">
        <v>9834.4000000000015</v>
      </c>
      <c r="J294" s="302">
        <v>9834.4000000000015</v>
      </c>
      <c r="K294" s="11">
        <v>19362</v>
      </c>
      <c r="L294" s="302">
        <v>19362</v>
      </c>
      <c r="M294" s="302">
        <v>19362</v>
      </c>
      <c r="N294" s="302">
        <v>19362</v>
      </c>
      <c r="O294" s="302">
        <v>19362</v>
      </c>
      <c r="P294" s="304">
        <v>111894.33</v>
      </c>
    </row>
    <row r="295" spans="4:16">
      <c r="D295" s="310" t="str">
        <v>E2 *</v>
      </c>
      <c r="E295" s="302">
        <v>447577.32</v>
      </c>
      <c r="F295" s="11">
        <v>39829.32</v>
      </c>
      <c r="G295" s="302">
        <v>39829.32</v>
      </c>
      <c r="H295" s="302">
        <v>39829.32</v>
      </c>
      <c r="I295" s="302">
        <v>39829.32</v>
      </c>
      <c r="J295" s="302">
        <v>39829.32</v>
      </c>
      <c r="K295" s="11">
        <v>54582.400000000001</v>
      </c>
      <c r="L295" s="302">
        <v>54582.400000000001</v>
      </c>
      <c r="M295" s="302">
        <v>54582.400000000001</v>
      </c>
      <c r="N295" s="302">
        <v>54582.400000000001</v>
      </c>
      <c r="O295" s="302">
        <v>54582.400000000001</v>
      </c>
      <c r="P295" s="304">
        <v>269274.15999999997</v>
      </c>
    </row>
    <row r="296" spans="4:16" s="299" customFormat="1">
      <c r="D296" s="310" t="str">
        <v>E3 (34 Mbps)</v>
      </c>
      <c r="E296" s="302">
        <v>464165.88</v>
      </c>
      <c r="F296" s="304">
        <v>20380.29</v>
      </c>
      <c r="G296" s="302">
        <v>20380.29</v>
      </c>
      <c r="H296" s="302">
        <v>20380.29</v>
      </c>
      <c r="I296" s="302">
        <v>20380.29</v>
      </c>
      <c r="J296" s="302">
        <v>20380.29</v>
      </c>
      <c r="K296" s="304">
        <v>0</v>
      </c>
      <c r="L296" s="302">
        <v>0</v>
      </c>
      <c r="M296" s="302">
        <v>0</v>
      </c>
      <c r="N296" s="302">
        <v>0</v>
      </c>
      <c r="O296" s="302">
        <v>0</v>
      </c>
      <c r="P296" s="304">
        <v>710229.72</v>
      </c>
    </row>
    <row r="297" spans="4:16" s="299" customFormat="1">
      <c r="D297" s="310" t="str">
        <v>STM-1 (155 Mbps)</v>
      </c>
      <c r="E297" s="302">
        <v>1152629.3799999999</v>
      </c>
      <c r="F297" s="304">
        <v>353957.94</v>
      </c>
      <c r="G297" s="302">
        <v>353957.94</v>
      </c>
      <c r="H297" s="302">
        <v>353957.94</v>
      </c>
      <c r="I297" s="302">
        <v>353957.94</v>
      </c>
      <c r="J297" s="302">
        <v>353957.94</v>
      </c>
      <c r="K297" s="304">
        <v>973467.41</v>
      </c>
      <c r="L297" s="302">
        <v>973467.41</v>
      </c>
      <c r="M297" s="302">
        <v>973467.41</v>
      </c>
      <c r="N297" s="302">
        <v>973467.41</v>
      </c>
      <c r="O297" s="302">
        <v>973467.41</v>
      </c>
      <c r="P297" s="304">
        <v>71418.2</v>
      </c>
    </row>
    <row r="298" spans="4:16" s="299" customFormat="1">
      <c r="D298" s="310" t="str">
        <v>STM-4 (622.08 Mbps)</v>
      </c>
      <c r="E298" s="302">
        <v>2203255.6799999997</v>
      </c>
      <c r="F298" s="304">
        <v>1080148.77</v>
      </c>
      <c r="G298" s="302">
        <v>1080148.77</v>
      </c>
      <c r="H298" s="302">
        <v>1080148.77</v>
      </c>
      <c r="I298" s="302">
        <v>1080148.77</v>
      </c>
      <c r="J298" s="302">
        <v>1080148.77</v>
      </c>
      <c r="K298" s="304">
        <v>4033889.53</v>
      </c>
      <c r="L298" s="302">
        <v>4033889.53</v>
      </c>
      <c r="M298" s="302">
        <v>4033889.53</v>
      </c>
      <c r="N298" s="302">
        <v>4033889.53</v>
      </c>
      <c r="O298" s="302">
        <v>4033889.53</v>
      </c>
      <c r="P298" s="304">
        <v>2501613.2200000002</v>
      </c>
    </row>
    <row r="299" spans="4:16" s="299" customFormat="1">
      <c r="D299" s="310" t="str">
        <v>STM-16 (2488.32Mbps)</v>
      </c>
      <c r="E299" s="302">
        <v>6081903.7000000002</v>
      </c>
      <c r="F299" s="304">
        <v>2767048.19</v>
      </c>
      <c r="G299" s="302">
        <v>2767048.19</v>
      </c>
      <c r="H299" s="302">
        <v>2767048.19</v>
      </c>
      <c r="I299" s="302">
        <v>2767048.19</v>
      </c>
      <c r="J299" s="302">
        <v>2767048.19</v>
      </c>
      <c r="K299" s="304">
        <v>6400881.5999999996</v>
      </c>
      <c r="L299" s="302">
        <v>6400881.5999999996</v>
      </c>
      <c r="M299" s="302">
        <v>6400881.5999999996</v>
      </c>
      <c r="N299" s="302">
        <v>6400881.5999999996</v>
      </c>
      <c r="O299" s="302">
        <v>6400881.5999999996</v>
      </c>
      <c r="P299" s="304">
        <v>5336009.8500000006</v>
      </c>
    </row>
    <row r="300" spans="4:16" s="299" customFormat="1">
      <c r="D300" s="310" t="str">
        <v>STM-64 (9953.28Mbps)</v>
      </c>
      <c r="E300" s="302">
        <v>8904825.0399999991</v>
      </c>
      <c r="F300" s="304">
        <v>4571337.12</v>
      </c>
      <c r="G300" s="302">
        <v>4571337.12</v>
      </c>
      <c r="H300" s="302">
        <v>4571337.12</v>
      </c>
      <c r="I300" s="302">
        <v>4571337.12</v>
      </c>
      <c r="J300" s="302">
        <v>4571337.12</v>
      </c>
      <c r="K300" s="304">
        <v>8445813.4399999995</v>
      </c>
      <c r="L300" s="302">
        <v>8445813.4399999995</v>
      </c>
      <c r="M300" s="302">
        <v>8445813.4399999995</v>
      </c>
      <c r="N300" s="302">
        <v>8445813.4399999995</v>
      </c>
      <c r="O300" s="302">
        <v>8445813.4399999995</v>
      </c>
      <c r="P300" s="304">
        <v>10740871.439999999</v>
      </c>
    </row>
    <row r="301" spans="4:16" s="299" customFormat="1">
      <c r="D301" s="310" t="str">
        <v>STM-256 (39813.12 Mbps)*</v>
      </c>
      <c r="E301" s="302">
        <v>39658602.240000002</v>
      </c>
      <c r="F301" s="304">
        <v>20897541.120000001</v>
      </c>
      <c r="G301" s="302">
        <v>20897541.120000001</v>
      </c>
      <c r="H301" s="302">
        <v>20897541.120000001</v>
      </c>
      <c r="I301" s="302">
        <v>20897541.120000001</v>
      </c>
      <c r="J301" s="302">
        <v>20897541.120000001</v>
      </c>
      <c r="K301" s="304">
        <v>44432322.879999995</v>
      </c>
      <c r="L301" s="302">
        <v>44432322.879999995</v>
      </c>
      <c r="M301" s="302">
        <v>44432322.879999995</v>
      </c>
      <c r="N301" s="302">
        <v>44432322.879999995</v>
      </c>
      <c r="O301" s="302">
        <v>44432322.879999995</v>
      </c>
      <c r="P301" s="304">
        <v>26071858.879999999</v>
      </c>
    </row>
    <row r="302" spans="4:16" s="299" customFormat="1">
      <c r="D302" s="310" t="str">
        <v>Ethernet (10Mbps)</v>
      </c>
      <c r="E302" s="302">
        <v>262500</v>
      </c>
      <c r="F302" s="304">
        <v>127500</v>
      </c>
      <c r="G302" s="302">
        <v>127500</v>
      </c>
      <c r="H302" s="302">
        <v>127500</v>
      </c>
      <c r="I302" s="302">
        <v>127500</v>
      </c>
      <c r="J302" s="302">
        <v>127500</v>
      </c>
      <c r="K302" s="304">
        <v>148750</v>
      </c>
      <c r="L302" s="302">
        <v>148750</v>
      </c>
      <c r="M302" s="302">
        <v>148750</v>
      </c>
      <c r="N302" s="302">
        <v>148750</v>
      </c>
      <c r="O302" s="302">
        <v>148750</v>
      </c>
      <c r="P302" s="304">
        <v>142500</v>
      </c>
    </row>
    <row r="303" spans="4:16" s="299" customFormat="1">
      <c r="D303" s="310" t="str">
        <v>Ethernet (20Mbps)</v>
      </c>
      <c r="E303" s="302">
        <v>290000</v>
      </c>
      <c r="F303" s="304">
        <v>161250</v>
      </c>
      <c r="G303" s="302">
        <v>161250</v>
      </c>
      <c r="H303" s="302">
        <v>161250</v>
      </c>
      <c r="I303" s="302">
        <v>161250</v>
      </c>
      <c r="J303" s="302">
        <v>161250</v>
      </c>
      <c r="K303" s="304">
        <v>160000</v>
      </c>
      <c r="L303" s="302">
        <v>160000</v>
      </c>
      <c r="M303" s="302">
        <v>160000</v>
      </c>
      <c r="N303" s="302">
        <v>160000</v>
      </c>
      <c r="O303" s="302">
        <v>160000</v>
      </c>
      <c r="P303" s="304">
        <v>147500</v>
      </c>
    </row>
    <row r="304" spans="4:16" s="299" customFormat="1">
      <c r="D304" s="310" t="str">
        <v>Ethernet (30Mbps)</v>
      </c>
      <c r="E304" s="302">
        <v>190000</v>
      </c>
      <c r="F304" s="304">
        <v>133750</v>
      </c>
      <c r="G304" s="302">
        <v>133750</v>
      </c>
      <c r="H304" s="302">
        <v>133750</v>
      </c>
      <c r="I304" s="302">
        <v>133750</v>
      </c>
      <c r="J304" s="302">
        <v>133750</v>
      </c>
      <c r="K304" s="304">
        <v>97500</v>
      </c>
      <c r="L304" s="302">
        <v>97500</v>
      </c>
      <c r="M304" s="302">
        <v>97500</v>
      </c>
      <c r="N304" s="302">
        <v>97500</v>
      </c>
      <c r="O304" s="302">
        <v>97500</v>
      </c>
      <c r="P304" s="304">
        <v>110000</v>
      </c>
    </row>
    <row r="305" spans="4:16" s="299" customFormat="1">
      <c r="D305" s="310" t="str">
        <v>Ethernet (40Mbps)</v>
      </c>
      <c r="E305" s="302">
        <v>322500</v>
      </c>
      <c r="F305" s="304">
        <v>122500</v>
      </c>
      <c r="G305" s="302">
        <v>122500</v>
      </c>
      <c r="H305" s="302">
        <v>122500</v>
      </c>
      <c r="I305" s="302">
        <v>122500</v>
      </c>
      <c r="J305" s="302">
        <v>122500</v>
      </c>
      <c r="K305" s="304">
        <v>148750</v>
      </c>
      <c r="L305" s="302">
        <v>148750</v>
      </c>
      <c r="M305" s="302">
        <v>148750</v>
      </c>
      <c r="N305" s="302">
        <v>148750</v>
      </c>
      <c r="O305" s="302">
        <v>148750</v>
      </c>
      <c r="P305" s="304">
        <v>141250</v>
      </c>
    </row>
    <row r="306" spans="4:16" s="299" customFormat="1">
      <c r="D306" s="310" t="str">
        <v>Ethernet (50Mbps)</v>
      </c>
      <c r="E306" s="302">
        <v>325000</v>
      </c>
      <c r="F306" s="304">
        <v>102500</v>
      </c>
      <c r="G306" s="302">
        <v>102500</v>
      </c>
      <c r="H306" s="302">
        <v>102500</v>
      </c>
      <c r="I306" s="302">
        <v>102500</v>
      </c>
      <c r="J306" s="302">
        <v>102500</v>
      </c>
      <c r="K306" s="304">
        <v>150000</v>
      </c>
      <c r="L306" s="302">
        <v>150000</v>
      </c>
      <c r="M306" s="302">
        <v>150000</v>
      </c>
      <c r="N306" s="302">
        <v>150000</v>
      </c>
      <c r="O306" s="302">
        <v>150000</v>
      </c>
      <c r="P306" s="304">
        <v>135000</v>
      </c>
    </row>
    <row r="307" spans="4:16" s="299" customFormat="1">
      <c r="D307" s="310" t="str">
        <v>Ethernet (60Mbps)</v>
      </c>
      <c r="E307" s="302">
        <v>195000</v>
      </c>
      <c r="F307" s="304">
        <v>116250</v>
      </c>
      <c r="G307" s="302">
        <v>116250</v>
      </c>
      <c r="H307" s="302">
        <v>116250</v>
      </c>
      <c r="I307" s="302">
        <v>116250</v>
      </c>
      <c r="J307" s="302">
        <v>116250</v>
      </c>
      <c r="K307" s="304">
        <v>106250</v>
      </c>
      <c r="L307" s="302">
        <v>106250</v>
      </c>
      <c r="M307" s="302">
        <v>106250</v>
      </c>
      <c r="N307" s="302">
        <v>106250</v>
      </c>
      <c r="O307" s="302">
        <v>106250</v>
      </c>
      <c r="P307" s="304">
        <v>162500</v>
      </c>
    </row>
    <row r="308" spans="4:16" s="299" customFormat="1">
      <c r="D308" s="310" t="str">
        <v>Ethernet (70Mbps)</v>
      </c>
      <c r="E308" s="302">
        <v>187500</v>
      </c>
      <c r="F308" s="304">
        <v>106250</v>
      </c>
      <c r="G308" s="302">
        <v>106250</v>
      </c>
      <c r="H308" s="302">
        <v>106250</v>
      </c>
      <c r="I308" s="302">
        <v>106250</v>
      </c>
      <c r="J308" s="302">
        <v>106250</v>
      </c>
      <c r="K308" s="304">
        <v>112500</v>
      </c>
      <c r="L308" s="302">
        <v>112500</v>
      </c>
      <c r="M308" s="302">
        <v>112500</v>
      </c>
      <c r="N308" s="302">
        <v>112500</v>
      </c>
      <c r="O308" s="302">
        <v>112500</v>
      </c>
      <c r="P308" s="304">
        <v>101250</v>
      </c>
    </row>
    <row r="309" spans="4:16" s="299" customFormat="1">
      <c r="D309" s="310" t="str">
        <v>Ethernet (80Mbps)</v>
      </c>
      <c r="E309" s="302">
        <v>307500</v>
      </c>
      <c r="F309" s="304">
        <v>103750</v>
      </c>
      <c r="G309" s="302">
        <v>103750</v>
      </c>
      <c r="H309" s="302">
        <v>103750</v>
      </c>
      <c r="I309" s="302">
        <v>103750</v>
      </c>
      <c r="J309" s="302">
        <v>103750</v>
      </c>
      <c r="K309" s="304">
        <v>91250</v>
      </c>
      <c r="L309" s="302">
        <v>91250</v>
      </c>
      <c r="M309" s="302">
        <v>91250</v>
      </c>
      <c r="N309" s="302">
        <v>91250</v>
      </c>
      <c r="O309" s="302">
        <v>91250</v>
      </c>
      <c r="P309" s="304">
        <v>95000</v>
      </c>
    </row>
    <row r="310" spans="4:16" s="299" customFormat="1">
      <c r="D310" s="310" t="str">
        <v>Ethernet (90Mbps)</v>
      </c>
      <c r="E310" s="302">
        <v>175000</v>
      </c>
      <c r="F310" s="304">
        <v>106250</v>
      </c>
      <c r="G310" s="302">
        <v>106250</v>
      </c>
      <c r="H310" s="302">
        <v>106250</v>
      </c>
      <c r="I310" s="302">
        <v>106250</v>
      </c>
      <c r="J310" s="302">
        <v>106250</v>
      </c>
      <c r="K310" s="304">
        <v>91250</v>
      </c>
      <c r="L310" s="302">
        <v>91250</v>
      </c>
      <c r="M310" s="302">
        <v>91250</v>
      </c>
      <c r="N310" s="302">
        <v>91250</v>
      </c>
      <c r="O310" s="302">
        <v>91250</v>
      </c>
      <c r="P310" s="304">
        <v>130000</v>
      </c>
    </row>
    <row r="311" spans="4:16" s="299" customFormat="1">
      <c r="D311" s="310" t="str">
        <v>GigaEthernet (100Mbps)</v>
      </c>
      <c r="E311" s="302">
        <v>420000</v>
      </c>
      <c r="F311" s="304">
        <v>240000</v>
      </c>
      <c r="G311" s="302">
        <v>240000</v>
      </c>
      <c r="H311" s="302">
        <v>240000</v>
      </c>
      <c r="I311" s="302">
        <v>240000</v>
      </c>
      <c r="J311" s="302">
        <v>240000</v>
      </c>
      <c r="K311" s="304">
        <v>267500</v>
      </c>
      <c r="L311" s="302">
        <v>267500</v>
      </c>
      <c r="M311" s="302">
        <v>267500</v>
      </c>
      <c r="N311" s="302">
        <v>267500</v>
      </c>
      <c r="O311" s="302">
        <v>267500</v>
      </c>
      <c r="P311" s="304">
        <v>200000</v>
      </c>
    </row>
    <row r="312" spans="4:16" s="299" customFormat="1">
      <c r="D312" s="310" t="str">
        <v>GigaEthernet (150Mbps)</v>
      </c>
      <c r="E312" s="302">
        <v>425000</v>
      </c>
      <c r="F312" s="304">
        <v>212500</v>
      </c>
      <c r="G312" s="302">
        <v>212500</v>
      </c>
      <c r="H312" s="302">
        <v>212500</v>
      </c>
      <c r="I312" s="302">
        <v>212500</v>
      </c>
      <c r="J312" s="302">
        <v>212500</v>
      </c>
      <c r="K312" s="304">
        <v>227500</v>
      </c>
      <c r="L312" s="302">
        <v>227500</v>
      </c>
      <c r="M312" s="302">
        <v>227500</v>
      </c>
      <c r="N312" s="302">
        <v>227500</v>
      </c>
      <c r="O312" s="302">
        <v>227500</v>
      </c>
      <c r="P312" s="304">
        <v>245000</v>
      </c>
    </row>
    <row r="313" spans="4:16" s="299" customFormat="1">
      <c r="D313" s="310" t="str">
        <v>GigaEthernet (200Mbps)</v>
      </c>
      <c r="E313" s="302">
        <v>555000</v>
      </c>
      <c r="F313" s="304">
        <v>230000</v>
      </c>
      <c r="G313" s="302">
        <v>230000</v>
      </c>
      <c r="H313" s="302">
        <v>230000</v>
      </c>
      <c r="I313" s="302">
        <v>230000</v>
      </c>
      <c r="J313" s="302">
        <v>230000</v>
      </c>
      <c r="K313" s="304">
        <v>297500</v>
      </c>
      <c r="L313" s="302">
        <v>297500</v>
      </c>
      <c r="M313" s="302">
        <v>297500</v>
      </c>
      <c r="N313" s="302">
        <v>297500</v>
      </c>
      <c r="O313" s="302">
        <v>297500</v>
      </c>
      <c r="P313" s="304">
        <v>200000</v>
      </c>
    </row>
    <row r="314" spans="4:16" s="299" customFormat="1">
      <c r="D314" s="310" t="str">
        <v>GigaEthernet (250Mbps)</v>
      </c>
      <c r="E314" s="302">
        <v>490000</v>
      </c>
      <c r="F314" s="304">
        <v>297500</v>
      </c>
      <c r="G314" s="302">
        <v>297500</v>
      </c>
      <c r="H314" s="302">
        <v>297500</v>
      </c>
      <c r="I314" s="302">
        <v>297500</v>
      </c>
      <c r="J314" s="302">
        <v>297500</v>
      </c>
      <c r="K314" s="304">
        <v>185000</v>
      </c>
      <c r="L314" s="302">
        <v>185000</v>
      </c>
      <c r="M314" s="302">
        <v>185000</v>
      </c>
      <c r="N314" s="302">
        <v>185000</v>
      </c>
      <c r="O314" s="302">
        <v>185000</v>
      </c>
      <c r="P314" s="304">
        <v>322500</v>
      </c>
    </row>
    <row r="315" spans="4:16" s="299" customFormat="1">
      <c r="D315" s="310" t="str">
        <v>GigaEthernet (300Mbps)</v>
      </c>
      <c r="E315" s="302">
        <v>485000</v>
      </c>
      <c r="F315" s="304">
        <v>245000</v>
      </c>
      <c r="G315" s="302">
        <v>245000</v>
      </c>
      <c r="H315" s="302">
        <v>245000</v>
      </c>
      <c r="I315" s="302">
        <v>245000</v>
      </c>
      <c r="J315" s="302">
        <v>245000</v>
      </c>
      <c r="K315" s="304">
        <v>230000</v>
      </c>
      <c r="L315" s="302">
        <v>230000</v>
      </c>
      <c r="M315" s="302">
        <v>230000</v>
      </c>
      <c r="N315" s="302">
        <v>230000</v>
      </c>
      <c r="O315" s="302">
        <v>230000</v>
      </c>
      <c r="P315" s="304">
        <v>325000</v>
      </c>
    </row>
    <row r="316" spans="4:16" s="299" customFormat="1">
      <c r="D316" s="310" t="str">
        <v>GigaEthernet (350Mbps)</v>
      </c>
      <c r="E316" s="302">
        <v>520000</v>
      </c>
      <c r="F316" s="304">
        <v>190000</v>
      </c>
      <c r="G316" s="302">
        <v>190000</v>
      </c>
      <c r="H316" s="302">
        <v>190000</v>
      </c>
      <c r="I316" s="302">
        <v>190000</v>
      </c>
      <c r="J316" s="302">
        <v>190000</v>
      </c>
      <c r="K316" s="304">
        <v>267500</v>
      </c>
      <c r="L316" s="302">
        <v>267500</v>
      </c>
      <c r="M316" s="302">
        <v>267500</v>
      </c>
      <c r="N316" s="302">
        <v>267500</v>
      </c>
      <c r="O316" s="302">
        <v>267500</v>
      </c>
      <c r="P316" s="304">
        <v>247500</v>
      </c>
    </row>
    <row r="317" spans="4:16" s="299" customFormat="1">
      <c r="D317" s="310" t="str">
        <v>GigaEthernet (400Mbps)</v>
      </c>
      <c r="E317" s="302">
        <v>400000</v>
      </c>
      <c r="F317" s="304">
        <v>247500</v>
      </c>
      <c r="G317" s="302">
        <v>247500</v>
      </c>
      <c r="H317" s="302">
        <v>247500</v>
      </c>
      <c r="I317" s="302">
        <v>247500</v>
      </c>
      <c r="J317" s="302">
        <v>247500</v>
      </c>
      <c r="K317" s="304">
        <v>230000</v>
      </c>
      <c r="L317" s="302">
        <v>230000</v>
      </c>
      <c r="M317" s="302">
        <v>230000</v>
      </c>
      <c r="N317" s="302">
        <v>230000</v>
      </c>
      <c r="O317" s="302">
        <v>230000</v>
      </c>
      <c r="P317" s="304">
        <v>222500</v>
      </c>
    </row>
    <row r="318" spans="4:16" s="299" customFormat="1">
      <c r="D318" s="310" t="str">
        <v>GigaEthernet (450Mbps)</v>
      </c>
      <c r="E318" s="302">
        <v>475000</v>
      </c>
      <c r="F318" s="304">
        <v>247500</v>
      </c>
      <c r="G318" s="302">
        <v>247500</v>
      </c>
      <c r="H318" s="302">
        <v>247500</v>
      </c>
      <c r="I318" s="302">
        <v>247500</v>
      </c>
      <c r="J318" s="302">
        <v>247500</v>
      </c>
      <c r="K318" s="304">
        <v>212500</v>
      </c>
      <c r="L318" s="302">
        <v>212500</v>
      </c>
      <c r="M318" s="302">
        <v>212500</v>
      </c>
      <c r="N318" s="302">
        <v>212500</v>
      </c>
      <c r="O318" s="302">
        <v>212500</v>
      </c>
      <c r="P318" s="304">
        <v>207500</v>
      </c>
    </row>
    <row r="319" spans="4:16" s="299" customFormat="1">
      <c r="D319" s="310" t="str">
        <v>GigaEthernet (500Mbps)</v>
      </c>
      <c r="E319" s="302">
        <v>505000</v>
      </c>
      <c r="F319" s="304">
        <v>210000</v>
      </c>
      <c r="G319" s="302">
        <v>210000</v>
      </c>
      <c r="H319" s="302">
        <v>210000</v>
      </c>
      <c r="I319" s="302">
        <v>210000</v>
      </c>
      <c r="J319" s="302">
        <v>210000</v>
      </c>
      <c r="K319" s="304">
        <v>240000</v>
      </c>
      <c r="L319" s="302">
        <v>240000</v>
      </c>
      <c r="M319" s="302">
        <v>240000</v>
      </c>
      <c r="N319" s="302">
        <v>240000</v>
      </c>
      <c r="O319" s="302">
        <v>240000</v>
      </c>
      <c r="P319" s="304">
        <v>227500</v>
      </c>
    </row>
    <row r="320" spans="4:16" s="299" customFormat="1">
      <c r="D320" s="310" t="str">
        <v>GigaEthernet (550Mbps)</v>
      </c>
      <c r="E320" s="302">
        <v>545000</v>
      </c>
      <c r="F320" s="304">
        <v>322500</v>
      </c>
      <c r="G320" s="302">
        <v>322500</v>
      </c>
      <c r="H320" s="302">
        <v>322500</v>
      </c>
      <c r="I320" s="302">
        <v>322500</v>
      </c>
      <c r="J320" s="302">
        <v>322500</v>
      </c>
      <c r="K320" s="304">
        <v>275000</v>
      </c>
      <c r="L320" s="302">
        <v>275000</v>
      </c>
      <c r="M320" s="302">
        <v>275000</v>
      </c>
      <c r="N320" s="302">
        <v>275000</v>
      </c>
      <c r="O320" s="302">
        <v>275000</v>
      </c>
      <c r="P320" s="304">
        <v>225000</v>
      </c>
    </row>
    <row r="321" spans="4:31" s="299" customFormat="1">
      <c r="D321" s="310" t="str">
        <v>GigaEthernet (600Mbps)</v>
      </c>
      <c r="E321" s="302">
        <v>635000</v>
      </c>
      <c r="F321" s="304">
        <v>230000</v>
      </c>
      <c r="G321" s="302">
        <v>230000</v>
      </c>
      <c r="H321" s="302">
        <v>230000</v>
      </c>
      <c r="I321" s="302">
        <v>230000</v>
      </c>
      <c r="J321" s="302">
        <v>230000</v>
      </c>
      <c r="K321" s="304">
        <v>282500</v>
      </c>
      <c r="L321" s="302">
        <v>282500</v>
      </c>
      <c r="M321" s="302">
        <v>282500</v>
      </c>
      <c r="N321" s="302">
        <v>282500</v>
      </c>
      <c r="O321" s="302">
        <v>282500</v>
      </c>
      <c r="P321" s="304">
        <v>307500</v>
      </c>
    </row>
    <row r="322" spans="4:31" s="299" customFormat="1">
      <c r="D322" s="310" t="str">
        <v>GigaEthernet (750Mbps)</v>
      </c>
      <c r="E322" s="302">
        <v>555000</v>
      </c>
      <c r="F322" s="304">
        <v>310000</v>
      </c>
      <c r="G322" s="302">
        <v>310000</v>
      </c>
      <c r="H322" s="302">
        <v>310000</v>
      </c>
      <c r="I322" s="302">
        <v>310000</v>
      </c>
      <c r="J322" s="302">
        <v>310000</v>
      </c>
      <c r="K322" s="304">
        <v>220000</v>
      </c>
      <c r="L322" s="302">
        <v>220000</v>
      </c>
      <c r="M322" s="302">
        <v>220000</v>
      </c>
      <c r="N322" s="302">
        <v>220000</v>
      </c>
      <c r="O322" s="302">
        <v>220000</v>
      </c>
      <c r="P322" s="304">
        <v>325000</v>
      </c>
    </row>
    <row r="323" spans="4:31" s="299" customFormat="1">
      <c r="D323" s="310" t="str">
        <v>GigaEthernet (1 Gbps)</v>
      </c>
      <c r="E323" s="302">
        <v>480000</v>
      </c>
      <c r="F323" s="304">
        <v>187500</v>
      </c>
      <c r="G323" s="302">
        <v>187500</v>
      </c>
      <c r="H323" s="302">
        <v>187500</v>
      </c>
      <c r="I323" s="302">
        <v>187500</v>
      </c>
      <c r="J323" s="302">
        <v>187500</v>
      </c>
      <c r="K323" s="304">
        <v>305000</v>
      </c>
      <c r="L323" s="302">
        <v>305000</v>
      </c>
      <c r="M323" s="302">
        <v>305000</v>
      </c>
      <c r="N323" s="302">
        <v>305000</v>
      </c>
      <c r="O323" s="302">
        <v>305000</v>
      </c>
      <c r="P323" s="304">
        <v>245000</v>
      </c>
    </row>
    <row r="327" spans="4:31" s="227" customFormat="1" ht="24">
      <c r="D327" s="231" t="s">
        <v>252</v>
      </c>
      <c r="E327" s="338" t="str">
        <f t="array" ref="E327:P328">Enlaces.decidados.tipos.categorías</f>
        <v>Local</v>
      </c>
      <c r="F327" s="338" t="str">
        <v>Nacional</v>
      </c>
      <c r="G327" s="299" t="str">
        <v>-</v>
      </c>
      <c r="H327" s="299" t="str">
        <v>-</v>
      </c>
      <c r="I327" s="299" t="str">
        <v>-</v>
      </c>
      <c r="J327" s="299" t="str">
        <v>-</v>
      </c>
      <c r="K327" s="338" t="str">
        <v>Internacional</v>
      </c>
      <c r="L327" s="299" t="str">
        <v>-</v>
      </c>
      <c r="M327" s="299" t="str">
        <v>-</v>
      </c>
      <c r="N327" s="299" t="str">
        <v>-</v>
      </c>
      <c r="O327" s="299" t="str">
        <v>-</v>
      </c>
      <c r="P327" s="338" t="str">
        <v>Cruce fronterizo</v>
      </c>
      <c r="AC327" s="299"/>
      <c r="AD327" s="299"/>
      <c r="AE327" s="299"/>
    </row>
    <row r="328" spans="4:31" s="227" customFormat="1" ht="24">
      <c r="D328" s="119" t="s">
        <v>130</v>
      </c>
      <c r="E328" s="299" t="str">
        <v>-</v>
      </c>
      <c r="F328" s="299" t="str">
        <v>-</v>
      </c>
      <c r="G328" s="338" t="str">
        <v>De los cuales 0-81 km</v>
      </c>
      <c r="H328" s="338" t="str">
        <v>De los cuales 81-161 km</v>
      </c>
      <c r="I328" s="338" t="str">
        <v>De los cuales 161-805 km</v>
      </c>
      <c r="J328" s="338" t="str">
        <v>De los cuales  &gt; 805 km</v>
      </c>
      <c r="K328" s="299" t="str">
        <v>-</v>
      </c>
      <c r="L328" s="338" t="str">
        <v>De los cuales 0-81 km</v>
      </c>
      <c r="M328" s="338" t="str">
        <v>De los cuales  81-161 km</v>
      </c>
      <c r="N328" s="338" t="str">
        <v>De los cuales 161-805 km</v>
      </c>
      <c r="O328" s="338" t="str">
        <v>De los cuales  &gt; 805 km</v>
      </c>
      <c r="P328" s="299" t="str">
        <v>-</v>
      </c>
      <c r="AC328" s="299"/>
      <c r="AD328" s="299"/>
      <c r="AE328" s="299"/>
    </row>
    <row r="329" spans="4:31" ht="24">
      <c r="E329" s="338" t="str">
        <f t="array" ref="E329:P330">LL.type.categories</f>
        <v>Local</v>
      </c>
      <c r="F329" s="338" t="str">
        <v>National</v>
      </c>
      <c r="G329" s="299" t="str">
        <v>-</v>
      </c>
      <c r="H329" s="299" t="str">
        <v>-</v>
      </c>
      <c r="I329" s="299" t="str">
        <v>-</v>
      </c>
      <c r="J329" s="299" t="str">
        <v>-</v>
      </c>
      <c r="K329" s="338" t="str">
        <v>International</v>
      </c>
      <c r="L329" s="299" t="str">
        <v>-</v>
      </c>
      <c r="M329" s="299" t="str">
        <v>-</v>
      </c>
      <c r="N329" s="299" t="str">
        <v>-</v>
      </c>
      <c r="O329" s="299" t="str">
        <v>-</v>
      </c>
      <c r="P329" s="338" t="str">
        <v>Border crossing</v>
      </c>
    </row>
    <row r="330" spans="4:31" ht="24">
      <c r="E330" s="299" t="str">
        <v>-</v>
      </c>
      <c r="F330" s="299" t="str">
        <v>-</v>
      </c>
      <c r="G330" s="338" t="str">
        <v>Of which 0-81 Km</v>
      </c>
      <c r="H330" s="338" t="str">
        <v>Of which 81-161 Km</v>
      </c>
      <c r="I330" s="338" t="str">
        <v>Of which 161-805 Km</v>
      </c>
      <c r="J330" s="338" t="str">
        <v>Of which &gt; 805 Km</v>
      </c>
      <c r="K330" s="299" t="str">
        <v>-</v>
      </c>
      <c r="L330" s="338" t="str">
        <v>Of which 0-81 Km</v>
      </c>
      <c r="M330" s="338" t="str">
        <v>Of which 81-161 Km</v>
      </c>
      <c r="N330" s="338" t="str">
        <v>Of which 161-805 Km</v>
      </c>
      <c r="O330" s="338" t="str">
        <v>Of which &gt; 805 Km</v>
      </c>
      <c r="P330" s="299" t="str">
        <v>-</v>
      </c>
    </row>
    <row r="331" spans="4:31">
      <c r="D331" s="310" t="str">
        <f t="array" ref="D331:D368">LL.list</f>
        <v>64 kbps</v>
      </c>
      <c r="E331" s="12">
        <f t="array" ref="E331:E368">G240:G277</f>
        <v>752.81</v>
      </c>
      <c r="F331"/>
      <c r="G331" s="11">
        <f t="array" ref="G331:G368">J240:J277</f>
        <v>426.7</v>
      </c>
      <c r="H331" s="302">
        <f t="array" ref="H331:H368">L240:L277</f>
        <v>942.30000000000007</v>
      </c>
      <c r="I331" s="304">
        <f t="array" ref="I331:I368">N240:N277</f>
        <v>2386.3200000000002</v>
      </c>
      <c r="J331" s="302">
        <f t="array" ref="J331:J368">P240:P277</f>
        <v>3273.69</v>
      </c>
      <c r="K331"/>
      <c r="L331" s="11">
        <f t="array" ref="L331:L368">T240:T277</f>
        <v>6184.96</v>
      </c>
      <c r="M331" s="302">
        <f t="array" ref="M331:M368">V240:V277</f>
        <v>6183.0999999999995</v>
      </c>
      <c r="N331" s="304">
        <f t="array" ref="N331:N368">X240:X277</f>
        <v>7256.4</v>
      </c>
      <c r="O331" s="302">
        <f t="array" ref="O331:O368">Z240:Z277</f>
        <v>6726.0599999999995</v>
      </c>
      <c r="P331" s="304">
        <f t="array" ref="P331:P368">AD240:AD277</f>
        <v>4654.32</v>
      </c>
    </row>
    <row r="332" spans="4:31">
      <c r="D332" s="310" t="str">
        <v>128 kbps</v>
      </c>
      <c r="E332" s="12">
        <v>1397.25</v>
      </c>
      <c r="F332"/>
      <c r="G332" s="11">
        <v>725.8</v>
      </c>
      <c r="H332" s="302">
        <v>2467.6</v>
      </c>
      <c r="I332" s="304">
        <v>4196.82</v>
      </c>
      <c r="J332" s="302">
        <v>5122.46</v>
      </c>
      <c r="K332"/>
      <c r="L332" s="11">
        <v>8630.14</v>
      </c>
      <c r="M332" s="302">
        <v>8059.2999999999993</v>
      </c>
      <c r="N332" s="304">
        <v>11245.5</v>
      </c>
      <c r="O332" s="302">
        <v>14198.800000000001</v>
      </c>
      <c r="P332" s="304">
        <v>5389.9199999999992</v>
      </c>
    </row>
    <row r="333" spans="4:31">
      <c r="D333" s="310" t="str">
        <v>192 kbps</v>
      </c>
      <c r="E333" s="12">
        <v>2634.1800000000003</v>
      </c>
      <c r="F333"/>
      <c r="G333" s="11">
        <v>1262.52</v>
      </c>
      <c r="H333" s="302">
        <v>3113.55</v>
      </c>
      <c r="I333" s="304">
        <v>5137.4399999999996</v>
      </c>
      <c r="J333" s="302">
        <v>7138</v>
      </c>
      <c r="K333"/>
      <c r="L333" s="11">
        <v>6461</v>
      </c>
      <c r="M333" s="302">
        <v>9379.9800000000014</v>
      </c>
      <c r="N333" s="304">
        <v>9906.0500000000011</v>
      </c>
      <c r="O333" s="302">
        <v>17946.62</v>
      </c>
      <c r="P333" s="304">
        <v>4712.82</v>
      </c>
    </row>
    <row r="334" spans="4:31">
      <c r="D334" s="310" t="str">
        <v>256 kbps</v>
      </c>
      <c r="E334" s="12">
        <v>2475.8399999999997</v>
      </c>
      <c r="F334"/>
      <c r="G334" s="11">
        <v>2747.01</v>
      </c>
      <c r="H334" s="302">
        <v>3308.36</v>
      </c>
      <c r="I334" s="304">
        <v>8897.6400000000012</v>
      </c>
      <c r="J334" s="302">
        <v>13180.2</v>
      </c>
      <c r="K334"/>
      <c r="L334" s="11">
        <v>10937.16</v>
      </c>
      <c r="M334" s="302">
        <v>12868.230000000001</v>
      </c>
      <c r="N334" s="304">
        <v>12627.900000000001</v>
      </c>
      <c r="O334" s="302">
        <v>24526.77</v>
      </c>
      <c r="P334" s="304">
        <v>5231.2300000000005</v>
      </c>
    </row>
    <row r="335" spans="4:31">
      <c r="D335" s="310" t="str">
        <v>384 kbps</v>
      </c>
      <c r="E335" s="12">
        <v>2668.92</v>
      </c>
      <c r="F335"/>
      <c r="G335" s="11">
        <v>3866.1300000000006</v>
      </c>
      <c r="H335" s="302">
        <v>5405.7</v>
      </c>
      <c r="I335" s="304">
        <v>12425.52</v>
      </c>
      <c r="J335" s="302">
        <v>22827.1</v>
      </c>
      <c r="K335"/>
      <c r="L335" s="11">
        <v>13521.97</v>
      </c>
      <c r="M335" s="302">
        <v>18477.64</v>
      </c>
      <c r="N335" s="304">
        <v>20433.149999999998</v>
      </c>
      <c r="O335" s="302">
        <v>24565.68</v>
      </c>
      <c r="P335" s="304">
        <v>6340.1399999999994</v>
      </c>
    </row>
    <row r="336" spans="4:31">
      <c r="D336" s="310" t="str">
        <v>512 kbps</v>
      </c>
      <c r="E336" s="12">
        <v>2970.9</v>
      </c>
      <c r="F336"/>
      <c r="G336" s="11">
        <v>5090.12</v>
      </c>
      <c r="H336" s="302">
        <v>13001.91</v>
      </c>
      <c r="I336" s="304">
        <v>13031.9</v>
      </c>
      <c r="J336" s="302">
        <v>33117.919999999998</v>
      </c>
      <c r="K336"/>
      <c r="L336" s="11">
        <v>11863.88</v>
      </c>
      <c r="M336" s="302">
        <v>19661.420000000002</v>
      </c>
      <c r="N336" s="304">
        <v>25782.120000000003</v>
      </c>
      <c r="O336" s="302">
        <v>45180.800000000003</v>
      </c>
      <c r="P336" s="304">
        <v>4874.58</v>
      </c>
    </row>
    <row r="337" spans="4:16">
      <c r="D337" s="310" t="str">
        <v>768 kbps</v>
      </c>
      <c r="E337" s="12">
        <v>4217.21</v>
      </c>
      <c r="F337"/>
      <c r="G337" s="11">
        <v>5877.12</v>
      </c>
      <c r="H337" s="302">
        <v>12980.52</v>
      </c>
      <c r="I337" s="304">
        <v>30847.7</v>
      </c>
      <c r="J337" s="302">
        <v>27256.800000000003</v>
      </c>
      <c r="K337"/>
      <c r="L337" s="11">
        <v>9380.5</v>
      </c>
      <c r="M337" s="302">
        <v>23631.02</v>
      </c>
      <c r="N337" s="304">
        <v>38171.25</v>
      </c>
      <c r="O337" s="302">
        <v>38180.839999999997</v>
      </c>
      <c r="P337" s="304">
        <v>6985</v>
      </c>
    </row>
    <row r="338" spans="4:16">
      <c r="D338" s="310" t="str">
        <v>1024 kbps</v>
      </c>
      <c r="E338" s="12">
        <v>5639.68</v>
      </c>
      <c r="F338"/>
      <c r="G338" s="11">
        <v>8483.8799999999992</v>
      </c>
      <c r="H338" s="302">
        <v>13282.1</v>
      </c>
      <c r="I338" s="304">
        <v>36339.660000000003</v>
      </c>
      <c r="J338" s="302">
        <v>39776.639999999999</v>
      </c>
      <c r="K338"/>
      <c r="L338" s="11">
        <v>11283.019999999999</v>
      </c>
      <c r="M338" s="302">
        <v>24928.55</v>
      </c>
      <c r="N338" s="304">
        <v>32487.84</v>
      </c>
      <c r="O338" s="302">
        <v>41171.520000000004</v>
      </c>
      <c r="P338" s="304">
        <v>7278.42</v>
      </c>
    </row>
    <row r="339" spans="4:16">
      <c r="D339" s="310" t="str">
        <v>E1 (2.04 Mbps)</v>
      </c>
      <c r="E339" s="12">
        <v>5959.52</v>
      </c>
      <c r="F339"/>
      <c r="G339" s="11">
        <v>11899.199999999999</v>
      </c>
      <c r="H339" s="302">
        <v>26245.8</v>
      </c>
      <c r="I339" s="304">
        <v>50898.9</v>
      </c>
      <c r="J339" s="302">
        <v>59646.240000000005</v>
      </c>
      <c r="K339"/>
      <c r="L339" s="11">
        <v>12670.32</v>
      </c>
      <c r="M339" s="302">
        <v>35855.300000000003</v>
      </c>
      <c r="N339" s="304">
        <v>58763.88</v>
      </c>
      <c r="O339" s="302">
        <v>56386.840000000004</v>
      </c>
      <c r="P339" s="304">
        <v>7819.64</v>
      </c>
    </row>
    <row r="340" spans="4:16">
      <c r="D340" s="310" t="str">
        <v>E2 *</v>
      </c>
      <c r="E340" s="12">
        <v>22348.2</v>
      </c>
      <c r="F340"/>
      <c r="G340" s="11">
        <v>32921.119999999995</v>
      </c>
      <c r="H340" s="302">
        <v>82486.8</v>
      </c>
      <c r="I340" s="304">
        <v>191066.63999999998</v>
      </c>
      <c r="J340" s="302">
        <v>271721.76</v>
      </c>
      <c r="K340"/>
      <c r="L340" s="11">
        <v>70823.840000000011</v>
      </c>
      <c r="M340" s="302">
        <v>133492.04</v>
      </c>
      <c r="N340" s="304">
        <v>242517.6</v>
      </c>
      <c r="O340" s="302">
        <v>205273.44</v>
      </c>
      <c r="P340" s="304">
        <v>43625.36</v>
      </c>
    </row>
    <row r="341" spans="4:16" s="299" customFormat="1">
      <c r="D341" s="310" t="str">
        <v>E3 (34 Mbps)</v>
      </c>
      <c r="E341" s="305">
        <v>41893.5</v>
      </c>
      <c r="G341" s="304">
        <v>137916.12</v>
      </c>
      <c r="H341" s="302">
        <v>169487.28</v>
      </c>
      <c r="I341" s="304">
        <v>177795.48</v>
      </c>
      <c r="J341" s="302">
        <v>202720.08</v>
      </c>
      <c r="L341" s="304">
        <v>0</v>
      </c>
      <c r="M341" s="302">
        <v>0</v>
      </c>
      <c r="N341" s="304">
        <v>0</v>
      </c>
      <c r="O341" s="302">
        <v>0</v>
      </c>
      <c r="P341" s="304">
        <v>0</v>
      </c>
    </row>
    <row r="342" spans="4:16" s="299" customFormat="1">
      <c r="D342" s="310" t="str">
        <v>STM-1 (155 Mbps)</v>
      </c>
      <c r="E342" s="305">
        <v>178151</v>
      </c>
      <c r="G342" s="304">
        <v>336621.60000000003</v>
      </c>
      <c r="H342" s="302">
        <v>304562.39999999997</v>
      </c>
      <c r="I342" s="304">
        <v>310974.24</v>
      </c>
      <c r="J342" s="302">
        <v>323797.92</v>
      </c>
      <c r="L342" s="304">
        <v>380863.08</v>
      </c>
      <c r="M342" s="302">
        <v>419654.69</v>
      </c>
      <c r="N342" s="304">
        <v>289173.82</v>
      </c>
      <c r="O342" s="302">
        <v>423181.2</v>
      </c>
      <c r="P342" s="304">
        <v>197748.72</v>
      </c>
    </row>
    <row r="343" spans="4:16" s="299" customFormat="1">
      <c r="D343" s="310" t="str">
        <v>STM-4 (622.08 Mbps)</v>
      </c>
      <c r="E343" s="305">
        <v>554121.6</v>
      </c>
      <c r="G343" s="304">
        <v>703763.20000000007</v>
      </c>
      <c r="H343" s="302">
        <v>785450</v>
      </c>
      <c r="I343" s="304">
        <v>785450</v>
      </c>
      <c r="J343" s="302">
        <v>534106</v>
      </c>
      <c r="L343" s="304">
        <v>504573.08</v>
      </c>
      <c r="M343" s="302">
        <v>546044.84</v>
      </c>
      <c r="N343" s="304">
        <v>836347.16</v>
      </c>
      <c r="O343" s="302">
        <v>705019.92</v>
      </c>
      <c r="P343" s="304">
        <v>943742.71000000008</v>
      </c>
    </row>
    <row r="344" spans="4:16" s="299" customFormat="1">
      <c r="D344" s="310" t="str">
        <v>STM-16 (2488.32Mbps)</v>
      </c>
      <c r="E344" s="305">
        <v>1168850.25</v>
      </c>
      <c r="G344" s="304">
        <v>1193884</v>
      </c>
      <c r="H344" s="302">
        <v>1712281.0000000002</v>
      </c>
      <c r="I344" s="304">
        <v>1115339</v>
      </c>
      <c r="J344" s="302">
        <v>1932207</v>
      </c>
      <c r="L344" s="304">
        <v>1570900</v>
      </c>
      <c r="M344" s="302">
        <v>1665154</v>
      </c>
      <c r="N344" s="304">
        <v>1241011</v>
      </c>
      <c r="O344" s="302">
        <v>1178175</v>
      </c>
      <c r="P344" s="304">
        <v>2207837.94</v>
      </c>
    </row>
    <row r="345" spans="4:16" s="299" customFormat="1">
      <c r="D345" s="310" t="str">
        <v>STM-64 (9953.28Mbps)</v>
      </c>
      <c r="E345" s="305">
        <v>5396913.5</v>
      </c>
      <c r="G345" s="304">
        <v>4646722.2</v>
      </c>
      <c r="H345" s="302">
        <v>4005795</v>
      </c>
      <c r="I345" s="304">
        <v>4593311.5999999996</v>
      </c>
      <c r="J345" s="302">
        <v>5608113</v>
      </c>
      <c r="L345" s="304">
        <v>5074007</v>
      </c>
      <c r="M345" s="302">
        <v>5554702.4000000004</v>
      </c>
      <c r="N345" s="304">
        <v>3738741.9999999995</v>
      </c>
      <c r="O345" s="302">
        <v>4059205.6</v>
      </c>
      <c r="P345" s="304">
        <v>6329136.46</v>
      </c>
    </row>
    <row r="346" spans="4:16" s="299" customFormat="1">
      <c r="D346" s="310" t="str">
        <v>STM-256 (39813.12 Mbps)*</v>
      </c>
      <c r="E346" s="305">
        <v>22765162.399999999</v>
      </c>
      <c r="G346" s="304">
        <v>17305034.400000002</v>
      </c>
      <c r="H346" s="302">
        <v>21364240</v>
      </c>
      <c r="I346" s="304">
        <v>27346227.199999999</v>
      </c>
      <c r="J346" s="302">
        <v>20082385.599999998</v>
      </c>
      <c r="L346" s="304">
        <v>20082385.599999998</v>
      </c>
      <c r="M346" s="302">
        <v>19441458.400000002</v>
      </c>
      <c r="N346" s="304">
        <v>16664107.200000001</v>
      </c>
      <c r="O346" s="302">
        <v>23714306.400000002</v>
      </c>
      <c r="P346" s="304">
        <v>37974818.759999998</v>
      </c>
    </row>
    <row r="347" spans="4:16" s="299" customFormat="1">
      <c r="D347" s="310" t="str">
        <v>Ethernet (10Mbps)</v>
      </c>
      <c r="E347" s="305">
        <v>18500</v>
      </c>
      <c r="G347" s="304">
        <v>18500</v>
      </c>
      <c r="H347" s="302">
        <v>18500</v>
      </c>
      <c r="I347" s="304">
        <v>18500</v>
      </c>
      <c r="J347" s="302">
        <v>18500</v>
      </c>
      <c r="L347" s="304">
        <v>18500</v>
      </c>
      <c r="M347" s="302">
        <v>18500</v>
      </c>
      <c r="N347" s="304">
        <v>18500</v>
      </c>
      <c r="O347" s="302">
        <v>18500</v>
      </c>
      <c r="P347" s="304">
        <v>18500</v>
      </c>
    </row>
    <row r="348" spans="4:16" s="299" customFormat="1">
      <c r="D348" s="310" t="str">
        <v>Ethernet (20Mbps)</v>
      </c>
      <c r="E348" s="305">
        <v>19125</v>
      </c>
      <c r="G348" s="304">
        <v>19125</v>
      </c>
      <c r="H348" s="302">
        <v>19125</v>
      </c>
      <c r="I348" s="304">
        <v>19125</v>
      </c>
      <c r="J348" s="302">
        <v>19125</v>
      </c>
      <c r="L348" s="304">
        <v>19125</v>
      </c>
      <c r="M348" s="302">
        <v>19125</v>
      </c>
      <c r="N348" s="304">
        <v>19125</v>
      </c>
      <c r="O348" s="302">
        <v>19125</v>
      </c>
      <c r="P348" s="304">
        <v>19125</v>
      </c>
    </row>
    <row r="349" spans="4:16" s="299" customFormat="1">
      <c r="D349" s="310" t="str">
        <v>Ethernet (30Mbps)</v>
      </c>
      <c r="E349" s="305">
        <v>25330</v>
      </c>
      <c r="G349" s="304">
        <v>25330</v>
      </c>
      <c r="H349" s="302">
        <v>25330</v>
      </c>
      <c r="I349" s="304">
        <v>25330</v>
      </c>
      <c r="J349" s="302">
        <v>25330</v>
      </c>
      <c r="L349" s="304">
        <v>25330</v>
      </c>
      <c r="M349" s="302">
        <v>25330</v>
      </c>
      <c r="N349" s="304">
        <v>25330</v>
      </c>
      <c r="O349" s="302">
        <v>25330</v>
      </c>
      <c r="P349" s="304">
        <v>25330</v>
      </c>
    </row>
    <row r="350" spans="4:16" s="299" customFormat="1">
      <c r="D350" s="310" t="str">
        <v>Ethernet (40Mbps)</v>
      </c>
      <c r="E350" s="305">
        <v>31126</v>
      </c>
      <c r="G350" s="304">
        <v>31126</v>
      </c>
      <c r="H350" s="302">
        <v>31126</v>
      </c>
      <c r="I350" s="304">
        <v>31126</v>
      </c>
      <c r="J350" s="302">
        <v>31126</v>
      </c>
      <c r="L350" s="304">
        <v>31126</v>
      </c>
      <c r="M350" s="302">
        <v>31126</v>
      </c>
      <c r="N350" s="304">
        <v>31126</v>
      </c>
      <c r="O350" s="302">
        <v>31126</v>
      </c>
      <c r="P350" s="304">
        <v>31126</v>
      </c>
    </row>
    <row r="351" spans="4:16" s="299" customFormat="1">
      <c r="D351" s="310" t="str">
        <v>Ethernet (50Mbps)</v>
      </c>
      <c r="E351" s="305">
        <v>55440</v>
      </c>
      <c r="G351" s="304">
        <v>55440</v>
      </c>
      <c r="H351" s="302">
        <v>55440</v>
      </c>
      <c r="I351" s="304">
        <v>55440</v>
      </c>
      <c r="J351" s="302">
        <v>55440</v>
      </c>
      <c r="L351" s="304">
        <v>55440</v>
      </c>
      <c r="M351" s="302">
        <v>55440</v>
      </c>
      <c r="N351" s="304">
        <v>55440</v>
      </c>
      <c r="O351" s="302">
        <v>55440</v>
      </c>
      <c r="P351" s="304">
        <v>55440</v>
      </c>
    </row>
    <row r="352" spans="4:16" s="299" customFormat="1">
      <c r="D352" s="310" t="str">
        <v>Ethernet (60Mbps)</v>
      </c>
      <c r="E352" s="305">
        <v>42252</v>
      </c>
      <c r="G352" s="304">
        <v>42252</v>
      </c>
      <c r="H352" s="302">
        <v>42252</v>
      </c>
      <c r="I352" s="304">
        <v>42252</v>
      </c>
      <c r="J352" s="302">
        <v>42252</v>
      </c>
      <c r="L352" s="304">
        <v>42252</v>
      </c>
      <c r="M352" s="302">
        <v>42252</v>
      </c>
      <c r="N352" s="304">
        <v>42252</v>
      </c>
      <c r="O352" s="302">
        <v>42252</v>
      </c>
      <c r="P352" s="304">
        <v>42252</v>
      </c>
    </row>
    <row r="353" spans="4:16" s="299" customFormat="1">
      <c r="D353" s="310" t="str">
        <v>Ethernet (70Mbps)</v>
      </c>
      <c r="E353" s="305">
        <v>51324</v>
      </c>
      <c r="G353" s="304">
        <v>51324</v>
      </c>
      <c r="H353" s="302">
        <v>51324</v>
      </c>
      <c r="I353" s="304">
        <v>51324</v>
      </c>
      <c r="J353" s="302">
        <v>51324</v>
      </c>
      <c r="L353" s="304">
        <v>51324</v>
      </c>
      <c r="M353" s="302">
        <v>51324</v>
      </c>
      <c r="N353" s="304">
        <v>51324</v>
      </c>
      <c r="O353" s="302">
        <v>51324</v>
      </c>
      <c r="P353" s="304">
        <v>51324</v>
      </c>
    </row>
    <row r="354" spans="4:16" s="299" customFormat="1">
      <c r="D354" s="310" t="str">
        <v>Ethernet (80Mbps)</v>
      </c>
      <c r="E354" s="305">
        <v>63612.000000000007</v>
      </c>
      <c r="G354" s="304">
        <v>63612.000000000007</v>
      </c>
      <c r="H354" s="302">
        <v>63612.000000000007</v>
      </c>
      <c r="I354" s="304">
        <v>63612.000000000007</v>
      </c>
      <c r="J354" s="302">
        <v>63612.000000000007</v>
      </c>
      <c r="L354" s="304">
        <v>63612.000000000007</v>
      </c>
      <c r="M354" s="302">
        <v>63612.000000000007</v>
      </c>
      <c r="N354" s="304">
        <v>63612.000000000007</v>
      </c>
      <c r="O354" s="302">
        <v>63612.000000000007</v>
      </c>
      <c r="P354" s="304">
        <v>63612.000000000007</v>
      </c>
    </row>
    <row r="355" spans="4:16" s="299" customFormat="1">
      <c r="D355" s="310" t="str">
        <v>Ethernet (90Mbps)</v>
      </c>
      <c r="E355" s="305">
        <v>46136</v>
      </c>
      <c r="G355" s="304">
        <v>46136</v>
      </c>
      <c r="H355" s="302">
        <v>46136</v>
      </c>
      <c r="I355" s="304">
        <v>46136</v>
      </c>
      <c r="J355" s="302">
        <v>46136</v>
      </c>
      <c r="L355" s="304">
        <v>46136</v>
      </c>
      <c r="M355" s="302">
        <v>46136</v>
      </c>
      <c r="N355" s="304">
        <v>46136</v>
      </c>
      <c r="O355" s="302">
        <v>46136</v>
      </c>
      <c r="P355" s="304">
        <v>46136</v>
      </c>
    </row>
    <row r="356" spans="4:16" s="299" customFormat="1">
      <c r="D356" s="310" t="str">
        <v>GigaEthernet (100Mbps)</v>
      </c>
      <c r="E356" s="305">
        <v>56550</v>
      </c>
      <c r="G356" s="304">
        <v>56550</v>
      </c>
      <c r="H356" s="302">
        <v>56550</v>
      </c>
      <c r="I356" s="304">
        <v>56550</v>
      </c>
      <c r="J356" s="302">
        <v>56550</v>
      </c>
      <c r="L356" s="304">
        <v>56550</v>
      </c>
      <c r="M356" s="302">
        <v>56550</v>
      </c>
      <c r="N356" s="304">
        <v>56550</v>
      </c>
      <c r="O356" s="302">
        <v>56550</v>
      </c>
      <c r="P356" s="304">
        <v>56550</v>
      </c>
    </row>
    <row r="357" spans="4:16" s="299" customFormat="1">
      <c r="D357" s="310" t="str">
        <v>GigaEthernet (150Mbps)</v>
      </c>
      <c r="E357" s="305">
        <v>79514</v>
      </c>
      <c r="G357" s="304">
        <v>79514</v>
      </c>
      <c r="H357" s="302">
        <v>79514</v>
      </c>
      <c r="I357" s="304">
        <v>79514</v>
      </c>
      <c r="J357" s="302">
        <v>79514</v>
      </c>
      <c r="L357" s="304">
        <v>79514</v>
      </c>
      <c r="M357" s="302">
        <v>79514</v>
      </c>
      <c r="N357" s="304">
        <v>79514</v>
      </c>
      <c r="O357" s="302">
        <v>79514</v>
      </c>
      <c r="P357" s="304">
        <v>79514</v>
      </c>
    </row>
    <row r="358" spans="4:16" s="299" customFormat="1">
      <c r="D358" s="310" t="str">
        <v>GigaEthernet (200Mbps)</v>
      </c>
      <c r="E358" s="305">
        <v>117696</v>
      </c>
      <c r="G358" s="304">
        <v>117696</v>
      </c>
      <c r="H358" s="302">
        <v>117696</v>
      </c>
      <c r="I358" s="304">
        <v>117696</v>
      </c>
      <c r="J358" s="302">
        <v>117696</v>
      </c>
      <c r="L358" s="304">
        <v>117696</v>
      </c>
      <c r="M358" s="302">
        <v>117696</v>
      </c>
      <c r="N358" s="304">
        <v>117696</v>
      </c>
      <c r="O358" s="302">
        <v>117696</v>
      </c>
      <c r="P358" s="304">
        <v>117696</v>
      </c>
    </row>
    <row r="359" spans="4:16" s="299" customFormat="1">
      <c r="D359" s="310" t="str">
        <v>GigaEthernet (250Mbps)</v>
      </c>
      <c r="E359" s="305">
        <v>105120</v>
      </c>
      <c r="G359" s="304">
        <v>105120</v>
      </c>
      <c r="H359" s="302">
        <v>105120</v>
      </c>
      <c r="I359" s="304">
        <v>105120</v>
      </c>
      <c r="J359" s="302">
        <v>105120</v>
      </c>
      <c r="L359" s="304">
        <v>105120</v>
      </c>
      <c r="M359" s="302">
        <v>105120</v>
      </c>
      <c r="N359" s="304">
        <v>105120</v>
      </c>
      <c r="O359" s="302">
        <v>105120</v>
      </c>
      <c r="P359" s="304">
        <v>105120</v>
      </c>
    </row>
    <row r="360" spans="4:16" s="299" customFormat="1">
      <c r="D360" s="310" t="str">
        <v>GigaEthernet (300Mbps)</v>
      </c>
      <c r="E360" s="305">
        <v>147295</v>
      </c>
      <c r="G360" s="304">
        <v>147295</v>
      </c>
      <c r="H360" s="302">
        <v>147295</v>
      </c>
      <c r="I360" s="304">
        <v>147295</v>
      </c>
      <c r="J360" s="302">
        <v>147295</v>
      </c>
      <c r="L360" s="304">
        <v>147295</v>
      </c>
      <c r="M360" s="302">
        <v>147295</v>
      </c>
      <c r="N360" s="304">
        <v>147295</v>
      </c>
      <c r="O360" s="302">
        <v>147295</v>
      </c>
      <c r="P360" s="304">
        <v>147295</v>
      </c>
    </row>
    <row r="361" spans="4:16" s="299" customFormat="1">
      <c r="D361" s="310" t="str">
        <v>GigaEthernet (350Mbps)</v>
      </c>
      <c r="E361" s="305">
        <v>157164</v>
      </c>
      <c r="G361" s="304">
        <v>157164</v>
      </c>
      <c r="H361" s="302">
        <v>157164</v>
      </c>
      <c r="I361" s="304">
        <v>157164</v>
      </c>
      <c r="J361" s="302">
        <v>157164</v>
      </c>
      <c r="L361" s="304">
        <v>157164</v>
      </c>
      <c r="M361" s="302">
        <v>157164</v>
      </c>
      <c r="N361" s="304">
        <v>157164</v>
      </c>
      <c r="O361" s="302">
        <v>157164</v>
      </c>
      <c r="P361" s="304">
        <v>157164</v>
      </c>
    </row>
    <row r="362" spans="4:16" s="299" customFormat="1">
      <c r="D362" s="310" t="str">
        <v>GigaEthernet (400Mbps)</v>
      </c>
      <c r="E362" s="305">
        <v>235604.99999999997</v>
      </c>
      <c r="G362" s="304">
        <v>235604.99999999997</v>
      </c>
      <c r="H362" s="302">
        <v>235604.99999999997</v>
      </c>
      <c r="I362" s="304">
        <v>235604.99999999997</v>
      </c>
      <c r="J362" s="302">
        <v>235604.99999999997</v>
      </c>
      <c r="L362" s="304">
        <v>235604.99999999997</v>
      </c>
      <c r="M362" s="302">
        <v>235604.99999999997</v>
      </c>
      <c r="N362" s="304">
        <v>235604.99999999997</v>
      </c>
      <c r="O362" s="302">
        <v>235604.99999999997</v>
      </c>
      <c r="P362" s="304">
        <v>235604.99999999997</v>
      </c>
    </row>
    <row r="363" spans="4:16" s="299" customFormat="1">
      <c r="D363" s="310" t="str">
        <v>GigaEthernet (450Mbps)</v>
      </c>
      <c r="E363" s="305">
        <v>174800</v>
      </c>
      <c r="G363" s="304">
        <v>174800</v>
      </c>
      <c r="H363" s="302">
        <v>174800</v>
      </c>
      <c r="I363" s="304">
        <v>174800</v>
      </c>
      <c r="J363" s="302">
        <v>174800</v>
      </c>
      <c r="L363" s="304">
        <v>174800</v>
      </c>
      <c r="M363" s="302">
        <v>174800</v>
      </c>
      <c r="N363" s="304">
        <v>174800</v>
      </c>
      <c r="O363" s="302">
        <v>174800</v>
      </c>
      <c r="P363" s="304">
        <v>174800</v>
      </c>
    </row>
    <row r="364" spans="4:16" s="299" customFormat="1">
      <c r="D364" s="310" t="str">
        <v>GigaEthernet (500Mbps)</v>
      </c>
      <c r="E364" s="305">
        <v>176050</v>
      </c>
      <c r="G364" s="304">
        <v>176050</v>
      </c>
      <c r="H364" s="302">
        <v>176050</v>
      </c>
      <c r="I364" s="304">
        <v>176050</v>
      </c>
      <c r="J364" s="302">
        <v>176050</v>
      </c>
      <c r="L364" s="304">
        <v>176050</v>
      </c>
      <c r="M364" s="302">
        <v>176050</v>
      </c>
      <c r="N364" s="304">
        <v>176050</v>
      </c>
      <c r="O364" s="302">
        <v>176050</v>
      </c>
      <c r="P364" s="304">
        <v>176050</v>
      </c>
    </row>
    <row r="365" spans="4:16" s="299" customFormat="1">
      <c r="D365" s="310" t="str">
        <v>GigaEthernet (550Mbps)</v>
      </c>
      <c r="E365" s="305">
        <v>281087</v>
      </c>
      <c r="G365" s="304">
        <v>281087</v>
      </c>
      <c r="H365" s="302">
        <v>281087</v>
      </c>
      <c r="I365" s="304">
        <v>281087</v>
      </c>
      <c r="J365" s="302">
        <v>281087</v>
      </c>
      <c r="L365" s="304">
        <v>281087</v>
      </c>
      <c r="M365" s="302">
        <v>281087</v>
      </c>
      <c r="N365" s="304">
        <v>281087</v>
      </c>
      <c r="O365" s="302">
        <v>281087</v>
      </c>
      <c r="P365" s="304">
        <v>281087</v>
      </c>
    </row>
    <row r="366" spans="4:16" s="299" customFormat="1">
      <c r="D366" s="310" t="str">
        <v>GigaEthernet (600Mbps)</v>
      </c>
      <c r="E366" s="305">
        <v>209095</v>
      </c>
      <c r="G366" s="304">
        <v>209095</v>
      </c>
      <c r="H366" s="302">
        <v>209095</v>
      </c>
      <c r="I366" s="304">
        <v>209095</v>
      </c>
      <c r="J366" s="302">
        <v>209095</v>
      </c>
      <c r="L366" s="304">
        <v>209095</v>
      </c>
      <c r="M366" s="302">
        <v>209095</v>
      </c>
      <c r="N366" s="304">
        <v>209095</v>
      </c>
      <c r="O366" s="302">
        <v>209095</v>
      </c>
      <c r="P366" s="304">
        <v>209095</v>
      </c>
    </row>
    <row r="367" spans="4:16" s="299" customFormat="1">
      <c r="D367" s="310" t="str">
        <v>GigaEthernet (750Mbps)</v>
      </c>
      <c r="E367" s="305">
        <v>467649</v>
      </c>
      <c r="G367" s="304">
        <v>467649</v>
      </c>
      <c r="H367" s="302">
        <v>467649</v>
      </c>
      <c r="I367" s="304">
        <v>467649</v>
      </c>
      <c r="J367" s="302">
        <v>467649</v>
      </c>
      <c r="L367" s="304">
        <v>467649</v>
      </c>
      <c r="M367" s="302">
        <v>467649</v>
      </c>
      <c r="N367" s="304">
        <v>467649</v>
      </c>
      <c r="O367" s="302">
        <v>467649</v>
      </c>
      <c r="P367" s="304">
        <v>467649</v>
      </c>
    </row>
    <row r="368" spans="4:16" s="299" customFormat="1">
      <c r="D368" s="310" t="str">
        <v>GigaEthernet (1 Gbps)</v>
      </c>
      <c r="E368" s="305">
        <v>522313</v>
      </c>
      <c r="G368" s="304">
        <v>522313</v>
      </c>
      <c r="H368" s="302">
        <v>522313</v>
      </c>
      <c r="I368" s="304">
        <v>522313</v>
      </c>
      <c r="J368" s="302">
        <v>522313</v>
      </c>
      <c r="L368" s="304">
        <v>522313</v>
      </c>
      <c r="M368" s="302">
        <v>522313</v>
      </c>
      <c r="N368" s="304">
        <v>522313</v>
      </c>
      <c r="O368" s="302">
        <v>522313</v>
      </c>
      <c r="P368" s="304">
        <v>522313</v>
      </c>
    </row>
    <row r="372" spans="4:31" s="227" customFormat="1" ht="24">
      <c r="D372" s="232" t="s">
        <v>253</v>
      </c>
      <c r="E372" s="338" t="str">
        <f t="array" ref="E372:P373">Enlaces.decidados.tipos.categorías</f>
        <v>Local</v>
      </c>
      <c r="F372" s="338" t="str">
        <v>Nacional</v>
      </c>
      <c r="G372" s="299" t="str">
        <v>-</v>
      </c>
      <c r="H372" s="299" t="str">
        <v>-</v>
      </c>
      <c r="I372" s="299" t="str">
        <v>-</v>
      </c>
      <c r="J372" s="299" t="str">
        <v>-</v>
      </c>
      <c r="K372" s="338" t="str">
        <v>Internacional</v>
      </c>
      <c r="L372" s="299" t="str">
        <v>-</v>
      </c>
      <c r="M372" s="299" t="str">
        <v>-</v>
      </c>
      <c r="N372" s="299" t="str">
        <v>-</v>
      </c>
      <c r="O372" s="299" t="str">
        <v>-</v>
      </c>
      <c r="P372" s="338" t="str">
        <v>Cruce fronterizo</v>
      </c>
      <c r="AC372" s="299"/>
      <c r="AD372" s="299"/>
      <c r="AE372" s="299"/>
    </row>
    <row r="373" spans="4:31" s="227" customFormat="1" ht="24">
      <c r="D373" s="119" t="s">
        <v>131</v>
      </c>
      <c r="E373" s="299" t="str">
        <v>-</v>
      </c>
      <c r="F373" s="299" t="str">
        <v>-</v>
      </c>
      <c r="G373" s="338" t="str">
        <v>De los cuales 0-81 km</v>
      </c>
      <c r="H373" s="338" t="str">
        <v>De los cuales 81-161 km</v>
      </c>
      <c r="I373" s="338" t="str">
        <v>De los cuales 161-805 km</v>
      </c>
      <c r="J373" s="338" t="str">
        <v>De los cuales  &gt; 805 km</v>
      </c>
      <c r="K373" s="299" t="str">
        <v>-</v>
      </c>
      <c r="L373" s="338" t="str">
        <v>De los cuales 0-81 km</v>
      </c>
      <c r="M373" s="338" t="str">
        <v>De los cuales  81-161 km</v>
      </c>
      <c r="N373" s="338" t="str">
        <v>De los cuales 161-805 km</v>
      </c>
      <c r="O373" s="338" t="str">
        <v>De los cuales  &gt; 805 km</v>
      </c>
      <c r="P373" s="299" t="str">
        <v>-</v>
      </c>
      <c r="AC373" s="299"/>
      <c r="AD373" s="299"/>
      <c r="AE373" s="299"/>
    </row>
    <row r="374" spans="4:31" ht="24">
      <c r="E374" s="338" t="str">
        <f t="array" ref="E374:P375">LL.type.categories</f>
        <v>Local</v>
      </c>
      <c r="F374" s="338" t="str">
        <v>National</v>
      </c>
      <c r="G374" s="299" t="str">
        <v>-</v>
      </c>
      <c r="H374" s="299" t="str">
        <v>-</v>
      </c>
      <c r="I374" s="299" t="str">
        <v>-</v>
      </c>
      <c r="J374" s="299" t="str">
        <v>-</v>
      </c>
      <c r="K374" s="338" t="str">
        <v>International</v>
      </c>
      <c r="L374" s="299" t="str">
        <v>-</v>
      </c>
      <c r="M374" s="299" t="str">
        <v>-</v>
      </c>
      <c r="N374" s="299" t="str">
        <v>-</v>
      </c>
      <c r="O374" s="299" t="str">
        <v>-</v>
      </c>
      <c r="P374" s="338" t="str">
        <v>Border crossing</v>
      </c>
    </row>
    <row r="375" spans="4:31" ht="24">
      <c r="E375" s="299" t="str">
        <v>-</v>
      </c>
      <c r="F375" s="299" t="str">
        <v>-</v>
      </c>
      <c r="G375" s="338" t="str">
        <v>Of which 0-81 Km</v>
      </c>
      <c r="H375" s="338" t="str">
        <v>Of which 81-161 Km</v>
      </c>
      <c r="I375" s="338" t="str">
        <v>Of which 161-805 Km</v>
      </c>
      <c r="J375" s="338" t="str">
        <v>Of which &gt; 805 Km</v>
      </c>
      <c r="K375" s="299" t="str">
        <v>-</v>
      </c>
      <c r="L375" s="338" t="str">
        <v>Of which 0-81 Km</v>
      </c>
      <c r="M375" s="338" t="str">
        <v>Of which 81-161 Km</v>
      </c>
      <c r="N375" s="338" t="str">
        <v>Of which 161-805 Km</v>
      </c>
      <c r="O375" s="338" t="str">
        <v>Of which &gt; 805 Km</v>
      </c>
      <c r="P375" s="299" t="str">
        <v>-</v>
      </c>
    </row>
    <row r="376" spans="4:31">
      <c r="D376" s="310" t="str">
        <f t="array" ref="D376:D413">LL.list</f>
        <v>64 kbps</v>
      </c>
      <c r="E376" s="8" t="s">
        <v>132</v>
      </c>
      <c r="G376" s="304">
        <f t="array" ref="G376:G413">K240:K277</f>
        <v>11.44</v>
      </c>
      <c r="H376" s="302">
        <f t="array" ref="H376:H413">M240:M277</f>
        <v>10.799999999999999</v>
      </c>
      <c r="I376" s="304">
        <f t="array" ref="I376:I413">O240:O277</f>
        <v>3.63</v>
      </c>
      <c r="J376" s="302">
        <f t="array" ref="J376:J413">Q240:Q277</f>
        <v>3.18</v>
      </c>
      <c r="K376" s="299"/>
      <c r="L376" s="304">
        <f t="array" ref="L376:L413">U240:U277</f>
        <v>14.560000000000002</v>
      </c>
      <c r="M376" s="302">
        <f t="array" ref="M376:M413">W240:W277</f>
        <v>11.52</v>
      </c>
      <c r="N376" s="304">
        <f t="array" ref="N376:N413">Y240:Y277</f>
        <v>3.81</v>
      </c>
      <c r="O376" s="302">
        <f t="array" ref="O376:O413">AA240:AA277</f>
        <v>3.81</v>
      </c>
      <c r="P376" s="301" t="s">
        <v>132</v>
      </c>
    </row>
    <row r="377" spans="4:31">
      <c r="D377" s="310" t="str">
        <v>128 kbps</v>
      </c>
      <c r="E377" s="301" t="s">
        <v>132</v>
      </c>
      <c r="G377" s="304">
        <v>30.96</v>
      </c>
      <c r="H377" s="302">
        <v>12.58</v>
      </c>
      <c r="I377" s="304">
        <v>8.26</v>
      </c>
      <c r="J377" s="302">
        <v>6.5</v>
      </c>
      <c r="K377" s="299"/>
      <c r="L377" s="304">
        <v>24.72</v>
      </c>
      <c r="M377" s="302">
        <v>18.700000000000003</v>
      </c>
      <c r="N377" s="304">
        <v>5.25</v>
      </c>
      <c r="O377" s="302">
        <v>6.4</v>
      </c>
      <c r="P377" s="301" t="s">
        <v>132</v>
      </c>
    </row>
    <row r="378" spans="4:31">
      <c r="D378" s="310" t="str">
        <v>192 kbps</v>
      </c>
      <c r="E378" s="301" t="s">
        <v>132</v>
      </c>
      <c r="G378" s="304">
        <v>26.64</v>
      </c>
      <c r="H378" s="302">
        <v>25.48</v>
      </c>
      <c r="I378" s="304">
        <v>9.9</v>
      </c>
      <c r="J378" s="302">
        <v>8.1199999999999992</v>
      </c>
      <c r="K378" s="299"/>
      <c r="L378" s="304">
        <v>42.48</v>
      </c>
      <c r="M378" s="302">
        <v>32.76</v>
      </c>
      <c r="N378" s="304">
        <v>12.6</v>
      </c>
      <c r="O378" s="302">
        <v>6.79</v>
      </c>
      <c r="P378" s="301" t="s">
        <v>132</v>
      </c>
    </row>
    <row r="379" spans="4:31">
      <c r="D379" s="310" t="str">
        <v>256 kbps</v>
      </c>
      <c r="E379" s="301" t="s">
        <v>132</v>
      </c>
      <c r="G379" s="304">
        <v>60.18</v>
      </c>
      <c r="H379" s="302">
        <v>42.18</v>
      </c>
      <c r="I379" s="304">
        <v>12.6</v>
      </c>
      <c r="J379" s="302">
        <v>11.200000000000001</v>
      </c>
      <c r="K379" s="299"/>
      <c r="L379" s="304">
        <v>46.92</v>
      </c>
      <c r="M379" s="302">
        <v>46.62</v>
      </c>
      <c r="N379" s="304">
        <v>16.8</v>
      </c>
      <c r="O379" s="302">
        <v>7.7</v>
      </c>
      <c r="P379" s="301" t="s">
        <v>132</v>
      </c>
    </row>
    <row r="380" spans="4:31">
      <c r="D380" s="310" t="str">
        <v>384 kbps</v>
      </c>
      <c r="E380" s="301" t="s">
        <v>132</v>
      </c>
      <c r="G380" s="304">
        <v>102.06</v>
      </c>
      <c r="H380" s="302">
        <v>64.800000000000011</v>
      </c>
      <c r="I380" s="304">
        <v>22.08</v>
      </c>
      <c r="J380" s="302">
        <v>13.12</v>
      </c>
      <c r="K380" s="299"/>
      <c r="L380" s="304">
        <v>107.80000000000001</v>
      </c>
      <c r="M380" s="302">
        <v>85.679999999999993</v>
      </c>
      <c r="N380" s="304">
        <v>38.08</v>
      </c>
      <c r="O380" s="302">
        <v>18.799999999999997</v>
      </c>
      <c r="P380" s="301" t="s">
        <v>132</v>
      </c>
    </row>
    <row r="381" spans="4:31">
      <c r="D381" s="310" t="str">
        <v>512 kbps</v>
      </c>
      <c r="E381" s="301" t="s">
        <v>132</v>
      </c>
      <c r="G381" s="304">
        <v>102.12</v>
      </c>
      <c r="H381" s="302">
        <v>82</v>
      </c>
      <c r="I381" s="304">
        <v>38.130000000000003</v>
      </c>
      <c r="J381" s="302">
        <v>24.86</v>
      </c>
      <c r="K381" s="299"/>
      <c r="L381" s="304">
        <v>86.1</v>
      </c>
      <c r="M381" s="302">
        <v>101.01</v>
      </c>
      <c r="N381" s="304">
        <v>35.1</v>
      </c>
      <c r="O381" s="302">
        <v>23.5</v>
      </c>
      <c r="P381" s="301" t="s">
        <v>132</v>
      </c>
    </row>
    <row r="382" spans="4:31">
      <c r="D382" s="310" t="str">
        <v>768 kbps</v>
      </c>
      <c r="E382" s="301" t="s">
        <v>132</v>
      </c>
      <c r="G382" s="304">
        <v>103.6</v>
      </c>
      <c r="H382" s="302">
        <v>104</v>
      </c>
      <c r="I382" s="304">
        <v>50.8</v>
      </c>
      <c r="J382" s="302">
        <v>34.51</v>
      </c>
      <c r="K382" s="299"/>
      <c r="L382" s="304">
        <v>174.32999999999998</v>
      </c>
      <c r="M382" s="302">
        <v>124.29999999999998</v>
      </c>
      <c r="N382" s="304">
        <v>51.06</v>
      </c>
      <c r="O382" s="302">
        <v>38.4</v>
      </c>
      <c r="P382" s="301" t="s">
        <v>132</v>
      </c>
    </row>
    <row r="383" spans="4:31">
      <c r="D383" s="310" t="str">
        <v>1024 kbps</v>
      </c>
      <c r="E383" s="301" t="s">
        <v>132</v>
      </c>
      <c r="G383" s="304">
        <v>130.9</v>
      </c>
      <c r="H383" s="302">
        <v>163.80000000000001</v>
      </c>
      <c r="I383" s="304">
        <v>36.96</v>
      </c>
      <c r="J383" s="302">
        <v>31.150000000000002</v>
      </c>
      <c r="K383" s="299"/>
      <c r="L383" s="304">
        <v>220.98</v>
      </c>
      <c r="M383" s="302">
        <v>166.41</v>
      </c>
      <c r="N383" s="304">
        <v>69.12</v>
      </c>
      <c r="O383" s="302">
        <v>43.4</v>
      </c>
      <c r="P383" s="301" t="s">
        <v>132</v>
      </c>
    </row>
    <row r="384" spans="4:31">
      <c r="D384" s="310" t="str">
        <v>E1 (2.04 Mbps)</v>
      </c>
      <c r="E384" s="301" t="s">
        <v>132</v>
      </c>
      <c r="G384" s="304">
        <v>264.41999999999996</v>
      </c>
      <c r="H384" s="302">
        <v>211.68</v>
      </c>
      <c r="I384" s="304">
        <v>48.64</v>
      </c>
      <c r="J384" s="302">
        <v>47.84</v>
      </c>
      <c r="K384" s="299"/>
      <c r="L384" s="304">
        <v>232.78</v>
      </c>
      <c r="M384" s="302">
        <v>157.91999999999999</v>
      </c>
      <c r="N384" s="304">
        <v>68.48</v>
      </c>
      <c r="O384" s="302">
        <v>48.760000000000005</v>
      </c>
      <c r="P384" s="301" t="s">
        <v>132</v>
      </c>
    </row>
    <row r="385" spans="4:16">
      <c r="D385" s="310" t="str">
        <v>E2 *</v>
      </c>
      <c r="E385" s="301" t="s">
        <v>132</v>
      </c>
      <c r="G385" s="304">
        <v>786.48</v>
      </c>
      <c r="H385" s="302">
        <v>551.04</v>
      </c>
      <c r="I385" s="304">
        <v>291.83999999999997</v>
      </c>
      <c r="J385" s="302">
        <v>163.76</v>
      </c>
      <c r="K385" s="299"/>
      <c r="L385" s="304">
        <v>1012.4800000000001</v>
      </c>
      <c r="M385" s="302">
        <v>645.12</v>
      </c>
      <c r="N385" s="304">
        <v>286.72000000000003</v>
      </c>
      <c r="O385" s="302">
        <v>222.64</v>
      </c>
      <c r="P385" s="301" t="s">
        <v>132</v>
      </c>
    </row>
    <row r="386" spans="4:16" s="299" customFormat="1">
      <c r="D386" s="310" t="str">
        <v>E3 (34 Mbps)</v>
      </c>
      <c r="E386" s="301" t="s">
        <v>132</v>
      </c>
      <c r="G386" s="304">
        <v>243.8956</v>
      </c>
      <c r="H386" s="302">
        <v>165.21959999999999</v>
      </c>
      <c r="I386" s="304">
        <v>178.9879</v>
      </c>
      <c r="J386" s="302">
        <v>236.02799999999999</v>
      </c>
      <c r="L386" s="304">
        <v>0</v>
      </c>
      <c r="M386" s="302">
        <v>0</v>
      </c>
      <c r="N386" s="304">
        <v>0</v>
      </c>
      <c r="O386" s="302">
        <v>0</v>
      </c>
      <c r="P386" s="301" t="s">
        <v>132</v>
      </c>
    </row>
    <row r="387" spans="4:16" s="299" customFormat="1">
      <c r="D387" s="310" t="str">
        <v>STM-1 (155 Mbps)</v>
      </c>
      <c r="E387" s="301" t="s">
        <v>132</v>
      </c>
      <c r="G387" s="304">
        <v>352.92570000000001</v>
      </c>
      <c r="H387" s="302">
        <v>330.15629999999999</v>
      </c>
      <c r="I387" s="304">
        <v>288.41239999999999</v>
      </c>
      <c r="J387" s="302">
        <v>402.25940000000003</v>
      </c>
      <c r="L387" s="304">
        <v>296.00220000000002</v>
      </c>
      <c r="M387" s="302">
        <v>345.33590000000004</v>
      </c>
      <c r="N387" s="304">
        <v>292.20730000000003</v>
      </c>
      <c r="O387" s="302">
        <v>394.6696</v>
      </c>
      <c r="P387" s="301" t="s">
        <v>132</v>
      </c>
    </row>
    <row r="388" spans="4:16" s="299" customFormat="1">
      <c r="D388" s="310" t="str">
        <v>STM-4 (622.08 Mbps)</v>
      </c>
      <c r="E388" s="301" t="s">
        <v>132</v>
      </c>
      <c r="G388" s="304">
        <v>669.42</v>
      </c>
      <c r="H388" s="302">
        <v>825.61800000000005</v>
      </c>
      <c r="I388" s="304">
        <v>557.84999999999991</v>
      </c>
      <c r="J388" s="302">
        <v>565.28800000000001</v>
      </c>
      <c r="L388" s="304">
        <v>818.18000000000006</v>
      </c>
      <c r="M388" s="302">
        <v>758.67599999999993</v>
      </c>
      <c r="N388" s="304">
        <v>885.12199999999996</v>
      </c>
      <c r="O388" s="302">
        <v>535.53599999999994</v>
      </c>
      <c r="P388" s="301" t="s">
        <v>132</v>
      </c>
    </row>
    <row r="389" spans="4:16" s="299" customFormat="1">
      <c r="D389" s="310" t="str">
        <v>STM-16 (2488.32Mbps)</v>
      </c>
      <c r="E389" s="301" t="s">
        <v>132</v>
      </c>
      <c r="G389" s="304">
        <v>1376.03</v>
      </c>
      <c r="H389" s="302">
        <v>2101.2349999999997</v>
      </c>
      <c r="I389" s="304">
        <v>2268.59</v>
      </c>
      <c r="J389" s="302">
        <v>1506.1950000000002</v>
      </c>
      <c r="L389" s="304">
        <v>2064.0450000000001</v>
      </c>
      <c r="M389" s="302">
        <v>1878.095</v>
      </c>
      <c r="N389" s="304">
        <v>2324.375</v>
      </c>
      <c r="O389" s="302">
        <v>2064.0450000000001</v>
      </c>
      <c r="P389" s="301" t="s">
        <v>132</v>
      </c>
    </row>
    <row r="390" spans="4:16" s="299" customFormat="1">
      <c r="D390" s="310" t="str">
        <v>STM-64 (9953.28Mbps)</v>
      </c>
      <c r="E390" s="301" t="s">
        <v>132</v>
      </c>
      <c r="G390" s="304">
        <v>8218.6</v>
      </c>
      <c r="H390" s="302">
        <v>4551.84</v>
      </c>
      <c r="I390" s="304">
        <v>7396.74</v>
      </c>
      <c r="J390" s="302">
        <v>8092.16</v>
      </c>
      <c r="L390" s="304">
        <v>5120.8200000000006</v>
      </c>
      <c r="M390" s="302">
        <v>4804.72</v>
      </c>
      <c r="N390" s="304">
        <v>7207.079999999999</v>
      </c>
      <c r="O390" s="302">
        <v>4804.72</v>
      </c>
      <c r="P390" s="301" t="s">
        <v>132</v>
      </c>
    </row>
    <row r="391" spans="4:16" s="299" customFormat="1">
      <c r="D391" s="310" t="str">
        <v>STM-256 (39813.12 Mbps)*</v>
      </c>
      <c r="E391" s="301" t="s">
        <v>132</v>
      </c>
      <c r="G391" s="304">
        <v>19977.52</v>
      </c>
      <c r="H391" s="302">
        <v>22000.560000000001</v>
      </c>
      <c r="I391" s="304">
        <v>19471.760000000002</v>
      </c>
      <c r="J391" s="302">
        <v>22000.560000000001</v>
      </c>
      <c r="L391" s="304">
        <v>31357.119999999999</v>
      </c>
      <c r="M391" s="302">
        <v>23770.719999999998</v>
      </c>
      <c r="N391" s="304">
        <v>29081.199999999997</v>
      </c>
      <c r="O391" s="302">
        <v>23264.960000000003</v>
      </c>
      <c r="P391" s="301" t="s">
        <v>132</v>
      </c>
    </row>
    <row r="392" spans="4:16" s="299" customFormat="1">
      <c r="D392" s="310" t="str">
        <v>Ethernet (10Mbps)</v>
      </c>
      <c r="E392" s="301" t="s">
        <v>132</v>
      </c>
      <c r="G392" s="304">
        <v>129.95999999999998</v>
      </c>
      <c r="H392" s="302">
        <v>102.60000000000001</v>
      </c>
      <c r="I392" s="304">
        <v>126.54</v>
      </c>
      <c r="J392" s="302">
        <v>96.899999999999991</v>
      </c>
      <c r="L392" s="304">
        <v>143.64000000000001</v>
      </c>
      <c r="M392" s="302">
        <v>136.79999999999998</v>
      </c>
      <c r="N392" s="304">
        <v>143.64000000000001</v>
      </c>
      <c r="O392" s="302">
        <v>116.28</v>
      </c>
      <c r="P392" s="301" t="s">
        <v>132</v>
      </c>
    </row>
    <row r="393" spans="4:16" s="299" customFormat="1">
      <c r="D393" s="310" t="str">
        <v>Ethernet (20Mbps)</v>
      </c>
      <c r="E393" s="301" t="s">
        <v>132</v>
      </c>
      <c r="G393" s="304">
        <v>127.2</v>
      </c>
      <c r="H393" s="302">
        <v>88.8</v>
      </c>
      <c r="I393" s="304">
        <v>145.19999999999999</v>
      </c>
      <c r="J393" s="302">
        <v>111.60000000000001</v>
      </c>
      <c r="L393" s="304">
        <v>129.60000000000002</v>
      </c>
      <c r="M393" s="302">
        <v>152.4</v>
      </c>
      <c r="N393" s="304">
        <v>87.6</v>
      </c>
      <c r="O393" s="302">
        <v>100.8</v>
      </c>
      <c r="P393" s="301" t="s">
        <v>132</v>
      </c>
    </row>
    <row r="394" spans="4:16" s="299" customFormat="1">
      <c r="D394" s="310" t="str">
        <v>Ethernet (30Mbps)</v>
      </c>
      <c r="E394" s="301" t="s">
        <v>132</v>
      </c>
      <c r="G394" s="304">
        <v>121.8</v>
      </c>
      <c r="H394" s="302">
        <v>121.8</v>
      </c>
      <c r="I394" s="304">
        <v>114.8</v>
      </c>
      <c r="J394" s="302">
        <v>163.79999999999998</v>
      </c>
      <c r="L394" s="304">
        <v>152.60000000000002</v>
      </c>
      <c r="M394" s="302">
        <v>169.4</v>
      </c>
      <c r="N394" s="304">
        <v>135.79999999999998</v>
      </c>
      <c r="O394" s="302">
        <v>151.20000000000002</v>
      </c>
      <c r="P394" s="301" t="s">
        <v>132</v>
      </c>
    </row>
    <row r="395" spans="4:16" s="299" customFormat="1">
      <c r="D395" s="310" t="str">
        <v>Ethernet (40Mbps)</v>
      </c>
      <c r="E395" s="301" t="s">
        <v>132</v>
      </c>
      <c r="G395" s="304">
        <v>182.51999999999998</v>
      </c>
      <c r="H395" s="302">
        <v>141.96</v>
      </c>
      <c r="I395" s="304">
        <v>118.56</v>
      </c>
      <c r="J395" s="302">
        <v>185.64</v>
      </c>
      <c r="L395" s="304">
        <v>135.72</v>
      </c>
      <c r="M395" s="302">
        <v>198.12</v>
      </c>
      <c r="N395" s="304">
        <v>190.32</v>
      </c>
      <c r="O395" s="302">
        <v>177.83999999999997</v>
      </c>
      <c r="P395" s="301" t="s">
        <v>132</v>
      </c>
    </row>
    <row r="396" spans="4:16" s="299" customFormat="1">
      <c r="D396" s="310" t="str">
        <v>Ethernet (50Mbps)</v>
      </c>
      <c r="E396" s="301" t="s">
        <v>132</v>
      </c>
      <c r="G396" s="304">
        <v>196.20000000000002</v>
      </c>
      <c r="H396" s="302">
        <v>183.6</v>
      </c>
      <c r="I396" s="304">
        <v>189</v>
      </c>
      <c r="J396" s="302">
        <v>169.2</v>
      </c>
      <c r="L396" s="304">
        <v>144</v>
      </c>
      <c r="M396" s="302">
        <v>133.19999999999999</v>
      </c>
      <c r="N396" s="304">
        <v>203.39999999999998</v>
      </c>
      <c r="O396" s="302">
        <v>174.6</v>
      </c>
      <c r="P396" s="301" t="s">
        <v>132</v>
      </c>
    </row>
    <row r="397" spans="4:16" s="299" customFormat="1">
      <c r="D397" s="310" t="str">
        <v>Ethernet (60Mbps)</v>
      </c>
      <c r="E397" s="301" t="s">
        <v>132</v>
      </c>
      <c r="G397" s="304">
        <v>160.38000000000002</v>
      </c>
      <c r="H397" s="302">
        <v>172.26</v>
      </c>
      <c r="I397" s="304">
        <v>205.92000000000002</v>
      </c>
      <c r="J397" s="302">
        <v>172.26</v>
      </c>
      <c r="L397" s="304">
        <v>198</v>
      </c>
      <c r="M397" s="302">
        <v>199.98</v>
      </c>
      <c r="N397" s="304">
        <v>237.6</v>
      </c>
      <c r="O397" s="302">
        <v>162.35999999999999</v>
      </c>
      <c r="P397" s="301" t="s">
        <v>132</v>
      </c>
    </row>
    <row r="398" spans="4:16" s="299" customFormat="1">
      <c r="D398" s="310" t="str">
        <v>Ethernet (70Mbps)</v>
      </c>
      <c r="E398" s="301" t="s">
        <v>132</v>
      </c>
      <c r="G398" s="304">
        <v>254.1</v>
      </c>
      <c r="H398" s="302">
        <v>165.9</v>
      </c>
      <c r="I398" s="304">
        <v>168</v>
      </c>
      <c r="J398" s="302">
        <v>203.7</v>
      </c>
      <c r="L398" s="304">
        <v>214.20000000000002</v>
      </c>
      <c r="M398" s="302">
        <v>245.7</v>
      </c>
      <c r="N398" s="304">
        <v>273</v>
      </c>
      <c r="O398" s="302">
        <v>256.2</v>
      </c>
      <c r="P398" s="301" t="s">
        <v>132</v>
      </c>
    </row>
    <row r="399" spans="4:16" s="299" customFormat="1">
      <c r="D399" s="310" t="str">
        <v>Ethernet (80Mbps)</v>
      </c>
      <c r="E399" s="301" t="s">
        <v>132</v>
      </c>
      <c r="G399" s="304">
        <v>254.88</v>
      </c>
      <c r="H399" s="302">
        <v>168.48000000000002</v>
      </c>
      <c r="I399" s="304">
        <v>203.04</v>
      </c>
      <c r="J399" s="302">
        <v>235.44000000000003</v>
      </c>
      <c r="L399" s="304">
        <v>226.8</v>
      </c>
      <c r="M399" s="302">
        <v>213.84</v>
      </c>
      <c r="N399" s="304">
        <v>261.36</v>
      </c>
      <c r="O399" s="302">
        <v>228.96</v>
      </c>
      <c r="P399" s="301" t="s">
        <v>132</v>
      </c>
    </row>
    <row r="400" spans="4:16" s="299" customFormat="1">
      <c r="D400" s="310" t="str">
        <v>Ethernet (90Mbps)</v>
      </c>
      <c r="E400" s="301" t="s">
        <v>132</v>
      </c>
      <c r="G400" s="304">
        <v>189.2</v>
      </c>
      <c r="H400" s="302">
        <v>275</v>
      </c>
      <c r="I400" s="304">
        <v>213.4</v>
      </c>
      <c r="J400" s="302">
        <v>154</v>
      </c>
      <c r="L400" s="304">
        <v>178.20000000000002</v>
      </c>
      <c r="M400" s="302">
        <v>228.8</v>
      </c>
      <c r="N400" s="304">
        <v>198</v>
      </c>
      <c r="O400" s="302">
        <v>235.4</v>
      </c>
      <c r="P400" s="301" t="s">
        <v>132</v>
      </c>
    </row>
    <row r="401" spans="4:16" s="299" customFormat="1">
      <c r="D401" s="310" t="str">
        <v>GigaEthernet (100Mbps)</v>
      </c>
      <c r="E401" s="301" t="s">
        <v>132</v>
      </c>
      <c r="G401" s="304">
        <v>200.25</v>
      </c>
      <c r="H401" s="302">
        <v>218.25</v>
      </c>
      <c r="I401" s="304">
        <v>265.5</v>
      </c>
      <c r="J401" s="302">
        <v>285.75</v>
      </c>
      <c r="L401" s="304">
        <v>166.5</v>
      </c>
      <c r="M401" s="302">
        <v>247.50000000000003</v>
      </c>
      <c r="N401" s="304">
        <v>225</v>
      </c>
      <c r="O401" s="302">
        <v>220.5</v>
      </c>
      <c r="P401" s="301" t="s">
        <v>132</v>
      </c>
    </row>
    <row r="402" spans="4:16" s="299" customFormat="1">
      <c r="D402" s="310" t="str">
        <v>GigaEthernet (150Mbps)</v>
      </c>
      <c r="E402" s="301" t="s">
        <v>132</v>
      </c>
      <c r="G402" s="304">
        <v>318.14999999999998</v>
      </c>
      <c r="H402" s="302">
        <v>261.45</v>
      </c>
      <c r="I402" s="304">
        <v>286.65000000000003</v>
      </c>
      <c r="J402" s="302">
        <v>384.3</v>
      </c>
      <c r="L402" s="304">
        <v>299.25</v>
      </c>
      <c r="M402" s="302">
        <v>396.9</v>
      </c>
      <c r="N402" s="304">
        <v>349.65000000000003</v>
      </c>
      <c r="O402" s="302">
        <v>283.5</v>
      </c>
      <c r="P402" s="301" t="s">
        <v>132</v>
      </c>
    </row>
    <row r="403" spans="4:16" s="299" customFormat="1">
      <c r="D403" s="310" t="str">
        <v>GigaEthernet (200Mbps)</v>
      </c>
      <c r="E403" s="301" t="s">
        <v>132</v>
      </c>
      <c r="G403" s="304">
        <v>529.20000000000005</v>
      </c>
      <c r="H403" s="302">
        <v>323.40000000000003</v>
      </c>
      <c r="I403" s="304">
        <v>432.6</v>
      </c>
      <c r="J403" s="302">
        <v>336</v>
      </c>
      <c r="L403" s="304">
        <v>420</v>
      </c>
      <c r="M403" s="302">
        <v>525</v>
      </c>
      <c r="N403" s="304">
        <v>466.20000000000005</v>
      </c>
      <c r="O403" s="302">
        <v>428.40000000000003</v>
      </c>
      <c r="P403" s="301" t="s">
        <v>132</v>
      </c>
    </row>
    <row r="404" spans="4:16" s="299" customFormat="1">
      <c r="D404" s="310" t="str">
        <v>GigaEthernet (250Mbps)</v>
      </c>
      <c r="E404" s="301" t="s">
        <v>132</v>
      </c>
      <c r="G404" s="304">
        <v>551.43999999999994</v>
      </c>
      <c r="H404" s="302">
        <v>541.68000000000006</v>
      </c>
      <c r="I404" s="304">
        <v>448.96000000000004</v>
      </c>
      <c r="J404" s="302">
        <v>483.12</v>
      </c>
      <c r="L404" s="304">
        <v>468.47999999999996</v>
      </c>
      <c r="M404" s="302">
        <v>390.40000000000003</v>
      </c>
      <c r="N404" s="304">
        <v>507.52000000000004</v>
      </c>
      <c r="O404" s="302">
        <v>531.92000000000007</v>
      </c>
      <c r="P404" s="301" t="s">
        <v>132</v>
      </c>
    </row>
    <row r="405" spans="4:16" s="299" customFormat="1">
      <c r="D405" s="310" t="str">
        <v>GigaEthernet (300Mbps)</v>
      </c>
      <c r="E405" s="301" t="s">
        <v>132</v>
      </c>
      <c r="G405" s="304">
        <v>579.15</v>
      </c>
      <c r="H405" s="302">
        <v>520.65</v>
      </c>
      <c r="I405" s="304">
        <v>514.79999999999995</v>
      </c>
      <c r="J405" s="302">
        <v>690.3</v>
      </c>
      <c r="L405" s="304">
        <v>573.29999999999995</v>
      </c>
      <c r="M405" s="302">
        <v>748.80000000000007</v>
      </c>
      <c r="N405" s="304">
        <v>409.5</v>
      </c>
      <c r="O405" s="302">
        <v>555.75</v>
      </c>
      <c r="P405" s="301" t="s">
        <v>132</v>
      </c>
    </row>
    <row r="406" spans="4:16" s="299" customFormat="1">
      <c r="D406" s="310" t="str">
        <v>GigaEthernet (350Mbps)</v>
      </c>
      <c r="E406" s="301" t="s">
        <v>132</v>
      </c>
      <c r="G406" s="304">
        <v>792.28</v>
      </c>
      <c r="H406" s="302">
        <v>648.85</v>
      </c>
      <c r="I406" s="304">
        <v>853.75</v>
      </c>
      <c r="J406" s="302">
        <v>826.43</v>
      </c>
      <c r="L406" s="304">
        <v>703.49</v>
      </c>
      <c r="M406" s="302">
        <v>601.04</v>
      </c>
      <c r="N406" s="304">
        <v>594.21</v>
      </c>
      <c r="O406" s="302">
        <v>764.96</v>
      </c>
      <c r="P406" s="301" t="s">
        <v>132</v>
      </c>
    </row>
    <row r="407" spans="4:16" s="299" customFormat="1">
      <c r="D407" s="310" t="str">
        <v>GigaEthernet (400Mbps)</v>
      </c>
      <c r="E407" s="301" t="s">
        <v>132</v>
      </c>
      <c r="G407" s="304">
        <v>686.4</v>
      </c>
      <c r="H407" s="302">
        <v>655.19999999999993</v>
      </c>
      <c r="I407" s="304">
        <v>748.8</v>
      </c>
      <c r="J407" s="302">
        <v>647.4</v>
      </c>
      <c r="L407" s="304">
        <v>616.20000000000005</v>
      </c>
      <c r="M407" s="302">
        <v>717.6</v>
      </c>
      <c r="N407" s="304">
        <v>858.00000000000011</v>
      </c>
      <c r="O407" s="302">
        <v>982.8</v>
      </c>
      <c r="P407" s="301" t="s">
        <v>132</v>
      </c>
    </row>
    <row r="408" spans="4:16" s="299" customFormat="1">
      <c r="D408" s="310" t="str">
        <v>GigaEthernet (450Mbps)</v>
      </c>
      <c r="E408" s="301" t="s">
        <v>132</v>
      </c>
      <c r="G408" s="304">
        <v>763.86</v>
      </c>
      <c r="H408" s="302">
        <v>623.38</v>
      </c>
      <c r="I408" s="304">
        <v>1115.06</v>
      </c>
      <c r="J408" s="302">
        <v>851.66</v>
      </c>
      <c r="L408" s="304">
        <v>1132.6200000000001</v>
      </c>
      <c r="M408" s="302">
        <v>728.74</v>
      </c>
      <c r="N408" s="304">
        <v>658.5</v>
      </c>
      <c r="O408" s="302">
        <v>1106.28</v>
      </c>
      <c r="P408" s="301" t="s">
        <v>132</v>
      </c>
    </row>
    <row r="409" spans="4:16" s="299" customFormat="1">
      <c r="D409" s="310" t="str">
        <v>GigaEthernet (500Mbps)</v>
      </c>
      <c r="E409" s="301" t="s">
        <v>132</v>
      </c>
      <c r="G409" s="304">
        <v>1153.26</v>
      </c>
      <c r="H409" s="302">
        <v>1063.8599999999999</v>
      </c>
      <c r="I409" s="304">
        <v>697.32</v>
      </c>
      <c r="J409" s="302">
        <v>938.7</v>
      </c>
      <c r="L409" s="304">
        <v>1019.16</v>
      </c>
      <c r="M409" s="302">
        <v>840.3599999999999</v>
      </c>
      <c r="N409" s="304">
        <v>625.79999999999995</v>
      </c>
      <c r="O409" s="302">
        <v>759.9</v>
      </c>
      <c r="P409" s="301" t="s">
        <v>132</v>
      </c>
    </row>
    <row r="410" spans="4:16" s="299" customFormat="1">
      <c r="D410" s="310" t="str">
        <v>GigaEthernet (550Mbps)</v>
      </c>
      <c r="E410" s="301" t="s">
        <v>132</v>
      </c>
      <c r="G410" s="304">
        <v>1238.58</v>
      </c>
      <c r="H410" s="302">
        <v>747.08</v>
      </c>
      <c r="I410" s="304">
        <v>1022.32</v>
      </c>
      <c r="J410" s="302">
        <v>914.19</v>
      </c>
      <c r="L410" s="304">
        <v>1150.1099999999999</v>
      </c>
      <c r="M410" s="302">
        <v>1081.3000000000002</v>
      </c>
      <c r="N410" s="304">
        <v>1150.1099999999999</v>
      </c>
      <c r="O410" s="302">
        <v>1032.1500000000001</v>
      </c>
      <c r="P410" s="301" t="s">
        <v>132</v>
      </c>
    </row>
    <row r="411" spans="4:16" s="299" customFormat="1">
      <c r="D411" s="310" t="str">
        <v>GigaEthernet (600Mbps)</v>
      </c>
      <c r="E411" s="301" t="s">
        <v>132</v>
      </c>
      <c r="G411" s="304">
        <v>1180.3000000000002</v>
      </c>
      <c r="H411" s="302">
        <v>1394.9</v>
      </c>
      <c r="I411" s="304">
        <v>751.09999999999991</v>
      </c>
      <c r="J411" s="302">
        <v>1233.9499999999998</v>
      </c>
      <c r="L411" s="304">
        <v>976.43000000000006</v>
      </c>
      <c r="M411" s="302">
        <v>1384.17</v>
      </c>
      <c r="N411" s="304">
        <v>890.58999999999992</v>
      </c>
      <c r="O411" s="302">
        <v>1030.08</v>
      </c>
      <c r="P411" s="301" t="s">
        <v>132</v>
      </c>
    </row>
    <row r="412" spans="4:16" s="299" customFormat="1">
      <c r="D412" s="310" t="str">
        <v>GigaEthernet (750Mbps)</v>
      </c>
      <c r="E412" s="301" t="s">
        <v>132</v>
      </c>
      <c r="G412" s="304">
        <v>1059.3900000000001</v>
      </c>
      <c r="H412" s="302">
        <v>1434.8700000000001</v>
      </c>
      <c r="I412" s="304">
        <v>1287.3599999999999</v>
      </c>
      <c r="J412" s="302">
        <v>1139.8499999999999</v>
      </c>
      <c r="L412" s="304">
        <v>965.52</v>
      </c>
      <c r="M412" s="302">
        <v>1743.3</v>
      </c>
      <c r="N412" s="304">
        <v>1180.08</v>
      </c>
      <c r="O412" s="302">
        <v>1381.23</v>
      </c>
      <c r="P412" s="301" t="s">
        <v>132</v>
      </c>
    </row>
    <row r="413" spans="4:16" s="299" customFormat="1">
      <c r="D413" s="310" t="str">
        <v>GigaEthernet (1 Gbps)</v>
      </c>
      <c r="E413" s="301" t="s">
        <v>132</v>
      </c>
      <c r="G413" s="304">
        <v>1186.25</v>
      </c>
      <c r="H413" s="302">
        <v>2015</v>
      </c>
      <c r="I413" s="304">
        <v>1998.75</v>
      </c>
      <c r="J413" s="302">
        <v>1283.75</v>
      </c>
      <c r="L413" s="304">
        <v>1218.75</v>
      </c>
      <c r="M413" s="302">
        <v>1413.75</v>
      </c>
      <c r="N413" s="304">
        <v>1153.75</v>
      </c>
      <c r="O413" s="302">
        <v>1560</v>
      </c>
      <c r="P413" s="301" t="s">
        <v>132</v>
      </c>
    </row>
    <row r="417" spans="2:31" s="232" customFormat="1">
      <c r="B417" s="234" t="s">
        <v>254</v>
      </c>
      <c r="AC417" s="299"/>
      <c r="AD417" s="299"/>
      <c r="AE417" s="299"/>
    </row>
    <row r="418" spans="2:31">
      <c r="B418" s="131" t="s">
        <v>133</v>
      </c>
    </row>
    <row r="419" spans="2:31" ht="36">
      <c r="E419" s="338" t="s">
        <v>29</v>
      </c>
      <c r="F419" s="338" t="s">
        <v>137</v>
      </c>
      <c r="G419" s="338" t="s">
        <v>138</v>
      </c>
      <c r="H419" s="338" t="s">
        <v>556</v>
      </c>
    </row>
    <row r="420" spans="2:31" s="233" customFormat="1">
      <c r="C420" s="235" t="s">
        <v>255</v>
      </c>
      <c r="E420"/>
      <c r="F420"/>
      <c r="G420"/>
      <c r="AC420" s="299"/>
      <c r="AD420" s="299"/>
      <c r="AE420" s="299"/>
    </row>
    <row r="421" spans="2:31">
      <c r="C421" s="119" t="s">
        <v>134</v>
      </c>
      <c r="E421" s="109">
        <v>2</v>
      </c>
      <c r="F421" s="109">
        <v>0</v>
      </c>
      <c r="G421" s="109">
        <v>0</v>
      </c>
      <c r="H421" s="109">
        <v>0</v>
      </c>
    </row>
    <row r="422" spans="2:31" s="233" customFormat="1">
      <c r="C422" s="236" t="s">
        <v>256</v>
      </c>
      <c r="E422"/>
      <c r="F422"/>
      <c r="G422"/>
      <c r="H422" s="299"/>
      <c r="AC422" s="299"/>
      <c r="AD422" s="299"/>
      <c r="AE422" s="299"/>
    </row>
    <row r="423" spans="2:31">
      <c r="C423" s="119" t="s">
        <v>135</v>
      </c>
      <c r="E423" s="109">
        <v>2</v>
      </c>
      <c r="F423" s="109">
        <v>1</v>
      </c>
      <c r="G423" s="109">
        <v>0</v>
      </c>
      <c r="H423" s="109">
        <v>0</v>
      </c>
    </row>
    <row r="424" spans="2:31" s="233" customFormat="1">
      <c r="C424" s="237" t="s">
        <v>257</v>
      </c>
      <c r="E424"/>
      <c r="F424"/>
      <c r="G424"/>
      <c r="H424" s="299"/>
      <c r="AC424" s="299"/>
      <c r="AD424" s="299"/>
      <c r="AE424" s="299"/>
    </row>
    <row r="425" spans="2:31">
      <c r="C425" s="119" t="s">
        <v>136</v>
      </c>
      <c r="E425" s="109">
        <v>1</v>
      </c>
      <c r="F425" s="109">
        <v>0</v>
      </c>
      <c r="G425" s="109">
        <v>1</v>
      </c>
      <c r="H425" s="109">
        <v>0</v>
      </c>
    </row>
    <row r="426" spans="2:31">
      <c r="C426" s="299" t="s">
        <v>554</v>
      </c>
      <c r="D426" s="299"/>
      <c r="E426" s="299"/>
      <c r="F426" s="299"/>
      <c r="G426" s="299"/>
      <c r="H426" s="299"/>
    </row>
    <row r="427" spans="2:31" s="299" customFormat="1">
      <c r="C427" s="119" t="s">
        <v>555</v>
      </c>
      <c r="E427" s="109">
        <v>1</v>
      </c>
      <c r="F427" s="109">
        <v>0</v>
      </c>
      <c r="G427" s="109">
        <v>0</v>
      </c>
      <c r="H427" s="109">
        <v>1</v>
      </c>
    </row>
    <row r="430" spans="2:31">
      <c r="B430" s="239" t="s">
        <v>258</v>
      </c>
    </row>
    <row r="431" spans="2:31" s="227" customFormat="1" ht="24">
      <c r="B431" s="131" t="s">
        <v>139</v>
      </c>
      <c r="E431" s="338" t="str">
        <f t="array" ref="E431:P432">Enlaces.decidados.tipos.categorías</f>
        <v>Local</v>
      </c>
      <c r="F431" s="338" t="str">
        <v>Nacional</v>
      </c>
      <c r="G431" s="299" t="str">
        <v>-</v>
      </c>
      <c r="H431" s="299" t="str">
        <v>-</v>
      </c>
      <c r="I431" s="299" t="str">
        <v>-</v>
      </c>
      <c r="J431" s="299" t="str">
        <v>-</v>
      </c>
      <c r="K431" s="338" t="str">
        <v>Internacional</v>
      </c>
      <c r="L431" s="299" t="str">
        <v>-</v>
      </c>
      <c r="M431" s="299" t="str">
        <v>-</v>
      </c>
      <c r="N431" s="299" t="str">
        <v>-</v>
      </c>
      <c r="O431" s="299" t="str">
        <v>-</v>
      </c>
      <c r="P431" s="338" t="str">
        <v>Cruce fronterizo</v>
      </c>
      <c r="AC431" s="299"/>
      <c r="AD431" s="299"/>
      <c r="AE431" s="299"/>
    </row>
    <row r="432" spans="2:31" s="227" customFormat="1" ht="24">
      <c r="B432" s="229"/>
      <c r="E432" s="299" t="str">
        <v>-</v>
      </c>
      <c r="F432" s="299" t="str">
        <v>-</v>
      </c>
      <c r="G432" s="338" t="str">
        <v>De los cuales 0-81 km</v>
      </c>
      <c r="H432" s="338" t="str">
        <v>De los cuales 81-161 km</v>
      </c>
      <c r="I432" s="338" t="str">
        <v>De los cuales 161-805 km</v>
      </c>
      <c r="J432" s="338" t="str">
        <v>De los cuales  &gt; 805 km</v>
      </c>
      <c r="K432" s="299" t="str">
        <v>-</v>
      </c>
      <c r="L432" s="338" t="str">
        <v>De los cuales 0-81 km</v>
      </c>
      <c r="M432" s="338" t="str">
        <v>De los cuales  81-161 km</v>
      </c>
      <c r="N432" s="338" t="str">
        <v>De los cuales 161-805 km</v>
      </c>
      <c r="O432" s="338" t="str">
        <v>De los cuales  &gt; 805 km</v>
      </c>
      <c r="P432" s="299" t="str">
        <v>-</v>
      </c>
      <c r="AC432" s="299"/>
      <c r="AD432" s="299"/>
      <c r="AE432" s="299"/>
    </row>
    <row r="433" spans="2:31" ht="24">
      <c r="E433" s="338" t="str">
        <f t="array" ref="E433:P434">LL.type.categories</f>
        <v>Local</v>
      </c>
      <c r="F433" s="338" t="str">
        <v>National</v>
      </c>
      <c r="G433" s="299" t="str">
        <v>-</v>
      </c>
      <c r="H433" s="299" t="str">
        <v>-</v>
      </c>
      <c r="I433" s="299" t="str">
        <v>-</v>
      </c>
      <c r="J433" s="299" t="str">
        <v>-</v>
      </c>
      <c r="K433" s="338" t="str">
        <v>International</v>
      </c>
      <c r="L433" s="299" t="str">
        <v>-</v>
      </c>
      <c r="M433" s="299" t="str">
        <v>-</v>
      </c>
      <c r="N433" s="299" t="str">
        <v>-</v>
      </c>
      <c r="O433" s="299" t="str">
        <v>-</v>
      </c>
      <c r="P433" s="338" t="str">
        <v>Border crossing</v>
      </c>
    </row>
    <row r="434" spans="2:31" ht="24">
      <c r="E434" s="299" t="str">
        <v>-</v>
      </c>
      <c r="F434" s="299" t="str">
        <v>-</v>
      </c>
      <c r="G434" s="338" t="str">
        <v>Of which 0-81 Km</v>
      </c>
      <c r="H434" s="338" t="str">
        <v>Of which 81-161 Km</v>
      </c>
      <c r="I434" s="338" t="str">
        <v>Of which 161-805 Km</v>
      </c>
      <c r="J434" s="338" t="str">
        <v>Of which &gt; 805 Km</v>
      </c>
      <c r="K434" s="299" t="str">
        <v>-</v>
      </c>
      <c r="L434" s="338" t="str">
        <v>Of which 0-81 Km</v>
      </c>
      <c r="M434" s="338" t="str">
        <v>Of which 81-161 Km</v>
      </c>
      <c r="N434" s="338" t="str">
        <v>Of which 161-805 Km</v>
      </c>
      <c r="O434" s="338" t="str">
        <v>Of which &gt; 805 Km</v>
      </c>
      <c r="P434" s="299" t="str">
        <v>-</v>
      </c>
    </row>
    <row r="435" spans="2:31">
      <c r="E435" s="83" t="s">
        <v>132</v>
      </c>
      <c r="G435" s="114">
        <f>AVERAGE(0,81)</f>
        <v>40.5</v>
      </c>
      <c r="H435" s="114">
        <f>AVERAGE(81,161)</f>
        <v>121</v>
      </c>
      <c r="I435" s="114">
        <f>AVERAGE(161,805)</f>
        <v>483</v>
      </c>
      <c r="J435" s="114">
        <f>805*1.5</f>
        <v>1207.5</v>
      </c>
      <c r="L435" s="114">
        <f>AVERAGE(0,81)</f>
        <v>40.5</v>
      </c>
      <c r="M435" s="114">
        <f>AVERAGE(81,161)</f>
        <v>121</v>
      </c>
      <c r="N435" s="114">
        <f>AVERAGE(161,805)</f>
        <v>483</v>
      </c>
      <c r="O435" s="114">
        <f>805*1.5</f>
        <v>1207.5</v>
      </c>
      <c r="P435" s="312" t="s">
        <v>132</v>
      </c>
    </row>
    <row r="438" spans="2:31" s="238" customFormat="1">
      <c r="B438" s="240" t="s">
        <v>259</v>
      </c>
      <c r="AC438" s="299"/>
      <c r="AD438" s="299"/>
      <c r="AE438" s="299"/>
    </row>
    <row r="439" spans="2:31" customFormat="1">
      <c r="B439" s="131" t="s">
        <v>72</v>
      </c>
      <c r="AC439" s="299"/>
      <c r="AD439" s="299"/>
      <c r="AE439" s="299"/>
    </row>
    <row r="440" spans="2:31">
      <c r="B440" s="97"/>
      <c r="C440" s="241" t="s">
        <v>260</v>
      </c>
    </row>
    <row r="441" spans="2:31">
      <c r="B441" s="97"/>
      <c r="C441" s="119" t="s">
        <v>144</v>
      </c>
    </row>
    <row r="442" spans="2:31" s="227" customFormat="1" ht="24">
      <c r="B442" s="229"/>
      <c r="D442" s="242" t="s">
        <v>251</v>
      </c>
      <c r="E442" s="338" t="str">
        <f t="array" ref="E442:P443">Enlaces.decidados.tipos.categorías</f>
        <v>Local</v>
      </c>
      <c r="F442" s="338" t="str">
        <v>Nacional</v>
      </c>
      <c r="G442" s="299" t="str">
        <v>-</v>
      </c>
      <c r="H442" s="299" t="str">
        <v>-</v>
      </c>
      <c r="I442" s="299" t="str">
        <v>-</v>
      </c>
      <c r="J442" s="299" t="str">
        <v>-</v>
      </c>
      <c r="K442" s="338" t="str">
        <v>Internacional</v>
      </c>
      <c r="L442" s="299" t="str">
        <v>-</v>
      </c>
      <c r="M442" s="299" t="str">
        <v>-</v>
      </c>
      <c r="N442" s="299" t="str">
        <v>-</v>
      </c>
      <c r="O442" s="299" t="str">
        <v>-</v>
      </c>
      <c r="P442" s="338" t="str">
        <v>Cruce fronterizo</v>
      </c>
      <c r="AC442" s="299"/>
      <c r="AD442" s="299"/>
      <c r="AE442" s="299"/>
    </row>
    <row r="443" spans="2:31" s="227" customFormat="1" ht="24">
      <c r="B443" s="229"/>
      <c r="D443" s="119" t="s">
        <v>129</v>
      </c>
      <c r="E443" s="299" t="str">
        <v>-</v>
      </c>
      <c r="F443" s="299" t="str">
        <v>-</v>
      </c>
      <c r="G443" s="338" t="str">
        <v>De los cuales 0-81 km</v>
      </c>
      <c r="H443" s="338" t="str">
        <v>De los cuales 81-161 km</v>
      </c>
      <c r="I443" s="338" t="str">
        <v>De los cuales 161-805 km</v>
      </c>
      <c r="J443" s="338" t="str">
        <v>De los cuales  &gt; 805 km</v>
      </c>
      <c r="K443" s="299" t="str">
        <v>-</v>
      </c>
      <c r="L443" s="338" t="str">
        <v>De los cuales 0-81 km</v>
      </c>
      <c r="M443" s="338" t="str">
        <v>De los cuales  81-161 km</v>
      </c>
      <c r="N443" s="338" t="str">
        <v>De los cuales 161-805 km</v>
      </c>
      <c r="O443" s="338" t="str">
        <v>De los cuales  &gt; 805 km</v>
      </c>
      <c r="P443" s="299" t="str">
        <v>-</v>
      </c>
      <c r="AC443" s="299"/>
      <c r="AD443" s="299"/>
      <c r="AE443" s="299"/>
    </row>
    <row r="444" spans="2:31" customFormat="1" ht="24">
      <c r="E444" s="338" t="str">
        <f t="array" ref="E444:P445">LL.type.categories</f>
        <v>Local</v>
      </c>
      <c r="F444" s="338" t="str">
        <v>National</v>
      </c>
      <c r="G444" s="299" t="str">
        <v>-</v>
      </c>
      <c r="H444" s="299" t="str">
        <v>-</v>
      </c>
      <c r="I444" s="299" t="str">
        <v>-</v>
      </c>
      <c r="J444" s="299" t="str">
        <v>-</v>
      </c>
      <c r="K444" s="338" t="str">
        <v>International</v>
      </c>
      <c r="L444" s="299" t="str">
        <v>-</v>
      </c>
      <c r="M444" s="299" t="str">
        <v>-</v>
      </c>
      <c r="N444" s="299" t="str">
        <v>-</v>
      </c>
      <c r="O444" s="299" t="str">
        <v>-</v>
      </c>
      <c r="P444" s="338" t="str">
        <v>Border crossing</v>
      </c>
      <c r="AC444" s="299"/>
      <c r="AD444" s="299"/>
      <c r="AE444" s="299"/>
    </row>
    <row r="445" spans="2:31" ht="24">
      <c r="E445" s="299" t="str">
        <v>-</v>
      </c>
      <c r="F445" s="299" t="str">
        <v>-</v>
      </c>
      <c r="G445" s="338" t="str">
        <v>Of which 0-81 Km</v>
      </c>
      <c r="H445" s="338" t="str">
        <v>Of which 81-161 Km</v>
      </c>
      <c r="I445" s="338" t="str">
        <v>Of which 161-805 Km</v>
      </c>
      <c r="J445" s="338" t="str">
        <v>Of which &gt; 805 Km</v>
      </c>
      <c r="K445" s="299" t="str">
        <v>-</v>
      </c>
      <c r="L445" s="338" t="str">
        <v>Of which 0-81 Km</v>
      </c>
      <c r="M445" s="338" t="str">
        <v>Of which 81-161 Km</v>
      </c>
      <c r="N445" s="338" t="str">
        <v>Of which 161-805 Km</v>
      </c>
      <c r="O445" s="338" t="str">
        <v>Of which &gt; 805 Km</v>
      </c>
      <c r="P445" s="299" t="str">
        <v>-</v>
      </c>
    </row>
    <row r="446" spans="2:31">
      <c r="D446" s="310" t="str">
        <f t="array" ref="D446:D483">LL.list</f>
        <v>64 kbps</v>
      </c>
      <c r="E446" s="341">
        <f t="array" ref="E446:E483">E195:E232*E286:E323*$E$421</f>
        <v>0</v>
      </c>
      <c r="G446" s="341">
        <f t="array" ref="G446:G483">G195:G232*($E286:$E323*$E$423+G286:G323*$F$423)</f>
        <v>37599553.232999995</v>
      </c>
      <c r="H446" s="341">
        <f t="array" ref="H446:H483">H195:H232*($E286:$E323*$E$423+H286:H323*$F$423)</f>
        <v>0</v>
      </c>
      <c r="I446" s="341">
        <f t="array" ref="I446:I483">I195:I232*($E286:$E323*$E$423+I286:I323*$F$423)</f>
        <v>0</v>
      </c>
      <c r="J446" s="341">
        <f t="array" ref="J446:J483">J195:J232*($E286:$E323*$E$423+J286:J323*$F$423)</f>
        <v>0</v>
      </c>
      <c r="L446" s="341">
        <f t="array" ref="L446:L483">L195:L232*($E286:$E323*$E$425+L286:L323*$G$425)</f>
        <v>3028.7528267499993</v>
      </c>
      <c r="M446" s="341">
        <f t="array" ref="M446:M483">M195:M232*($E286:$E323*$E$425+M286:M323*$G$425)</f>
        <v>12115.011306999997</v>
      </c>
      <c r="N446" s="341">
        <f t="array" ref="N446:N483">N195:N232*($E286:$E323*$E$425+N286:N323*$G$425)</f>
        <v>15143.764133750004</v>
      </c>
      <c r="O446" s="341">
        <f t="array" ref="O446:O483">O195:O232*($E286:$E323*$E$425+O286:O323*$G$425)</f>
        <v>30287.528267500009</v>
      </c>
      <c r="P446" s="470">
        <f t="array" ref="P446:P483">P195:P232*($E286:$E323*$E$425+P286:P323*$G$425)</f>
        <v>22580.222560000035</v>
      </c>
    </row>
    <row r="447" spans="2:31">
      <c r="D447" s="310" t="str">
        <v>128 kbps</v>
      </c>
      <c r="E447" s="341">
        <v>0</v>
      </c>
      <c r="G447" s="341">
        <v>0</v>
      </c>
      <c r="H447" s="341">
        <v>11194798.276129998</v>
      </c>
      <c r="I447" s="341">
        <v>7412386.8232400008</v>
      </c>
      <c r="J447" s="341">
        <v>109033.79312</v>
      </c>
      <c r="L447" s="341">
        <v>0</v>
      </c>
      <c r="M447" s="341">
        <v>0</v>
      </c>
      <c r="N447" s="341">
        <v>0</v>
      </c>
      <c r="O447" s="341">
        <v>0</v>
      </c>
      <c r="P447" s="470">
        <v>35897.535239999983</v>
      </c>
    </row>
    <row r="448" spans="2:31">
      <c r="D448" s="310" t="str">
        <v>192 kbps</v>
      </c>
      <c r="E448" s="341">
        <v>0</v>
      </c>
      <c r="G448" s="341">
        <v>0</v>
      </c>
      <c r="H448" s="341">
        <v>1427120.1090999995</v>
      </c>
      <c r="I448" s="341">
        <v>2485537.102299999</v>
      </c>
      <c r="J448" s="341">
        <v>0</v>
      </c>
      <c r="L448" s="341">
        <v>0</v>
      </c>
      <c r="M448" s="341">
        <v>0</v>
      </c>
      <c r="N448" s="341">
        <v>0</v>
      </c>
      <c r="O448" s="341">
        <v>0</v>
      </c>
      <c r="P448" s="470">
        <v>0</v>
      </c>
    </row>
    <row r="449" spans="4:31">
      <c r="D449" s="310" t="str">
        <v>256 kbps</v>
      </c>
      <c r="E449" s="341">
        <v>0</v>
      </c>
      <c r="G449" s="341">
        <v>21191536.262120023</v>
      </c>
      <c r="H449" s="341">
        <v>23563916.529299993</v>
      </c>
      <c r="I449" s="341">
        <v>13097872.793599999</v>
      </c>
      <c r="J449" s="341">
        <v>0</v>
      </c>
      <c r="L449" s="341">
        <v>0</v>
      </c>
      <c r="M449" s="341">
        <v>0</v>
      </c>
      <c r="N449" s="341">
        <v>0</v>
      </c>
      <c r="O449" s="341">
        <v>0</v>
      </c>
      <c r="P449" s="470">
        <v>0</v>
      </c>
    </row>
    <row r="450" spans="4:31" customFormat="1">
      <c r="D450" s="310" t="str">
        <v>384 kbps</v>
      </c>
      <c r="E450" s="341">
        <v>0</v>
      </c>
      <c r="G450" s="341">
        <v>0</v>
      </c>
      <c r="H450" s="341">
        <v>8074716.5368799986</v>
      </c>
      <c r="I450" s="341">
        <v>0</v>
      </c>
      <c r="J450" s="341">
        <v>0</v>
      </c>
      <c r="L450" s="341">
        <v>0</v>
      </c>
      <c r="M450" s="341">
        <v>0</v>
      </c>
      <c r="N450" s="341">
        <v>0</v>
      </c>
      <c r="O450" s="341">
        <v>0</v>
      </c>
      <c r="P450" s="470">
        <v>0</v>
      </c>
      <c r="AC450" s="299"/>
      <c r="AD450" s="299"/>
      <c r="AE450" s="299"/>
    </row>
    <row r="451" spans="4:31" customFormat="1">
      <c r="D451" s="310" t="str">
        <v>512 kbps</v>
      </c>
      <c r="E451" s="341">
        <v>0</v>
      </c>
      <c r="G451" s="341">
        <v>16078061.141819997</v>
      </c>
      <c r="H451" s="341">
        <v>0</v>
      </c>
      <c r="I451" s="341">
        <v>0</v>
      </c>
      <c r="J451" s="341">
        <v>0</v>
      </c>
      <c r="L451" s="341">
        <v>0</v>
      </c>
      <c r="M451" s="341">
        <v>0</v>
      </c>
      <c r="N451" s="341">
        <v>0</v>
      </c>
      <c r="O451" s="341">
        <v>0</v>
      </c>
      <c r="P451" s="470">
        <v>0</v>
      </c>
      <c r="AC451" s="299"/>
      <c r="AD451" s="299"/>
      <c r="AE451" s="299"/>
    </row>
    <row r="452" spans="4:31" customFormat="1">
      <c r="D452" s="310" t="str">
        <v>768 kbps</v>
      </c>
      <c r="E452" s="341">
        <v>0</v>
      </c>
      <c r="G452" s="341">
        <v>478110.75600000058</v>
      </c>
      <c r="H452" s="341">
        <v>0</v>
      </c>
      <c r="I452" s="341">
        <v>0</v>
      </c>
      <c r="J452" s="341">
        <v>24821.692799999997</v>
      </c>
      <c r="L452" s="341">
        <v>0</v>
      </c>
      <c r="M452" s="341">
        <v>0</v>
      </c>
      <c r="N452" s="341">
        <v>0</v>
      </c>
      <c r="O452" s="341">
        <v>0</v>
      </c>
      <c r="P452" s="470">
        <v>0</v>
      </c>
      <c r="AC452" s="299"/>
      <c r="AD452" s="299"/>
      <c r="AE452" s="299"/>
    </row>
    <row r="453" spans="4:31" customFormat="1">
      <c r="D453" s="310" t="str">
        <v>1024 kbps</v>
      </c>
      <c r="E453" s="341">
        <v>0</v>
      </c>
      <c r="G453" s="341">
        <v>0</v>
      </c>
      <c r="H453" s="341">
        <v>0</v>
      </c>
      <c r="I453" s="341">
        <v>228754.44635999974</v>
      </c>
      <c r="J453" s="341">
        <v>0</v>
      </c>
      <c r="L453" s="341">
        <v>21922.578238999999</v>
      </c>
      <c r="M453" s="341">
        <v>87690.312955999994</v>
      </c>
      <c r="N453" s="341">
        <v>109612.89119499999</v>
      </c>
      <c r="O453" s="341">
        <v>219225.78238999998</v>
      </c>
      <c r="P453" s="470">
        <v>0</v>
      </c>
      <c r="AC453" s="299"/>
      <c r="AD453" s="299"/>
      <c r="AE453" s="299"/>
    </row>
    <row r="454" spans="4:31" customFormat="1">
      <c r="D454" s="310" t="str">
        <v>E1 (2.04 Mbps)</v>
      </c>
      <c r="E454" s="341">
        <v>676280924.79960001</v>
      </c>
      <c r="G454" s="341">
        <v>0</v>
      </c>
      <c r="H454" s="341">
        <v>0</v>
      </c>
      <c r="I454" s="341">
        <v>0</v>
      </c>
      <c r="J454" s="341">
        <v>0</v>
      </c>
      <c r="L454" s="341">
        <v>0</v>
      </c>
      <c r="M454" s="341">
        <v>0</v>
      </c>
      <c r="N454" s="341">
        <v>0</v>
      </c>
      <c r="O454" s="341">
        <v>0</v>
      </c>
      <c r="P454" s="470">
        <v>0</v>
      </c>
      <c r="AC454" s="299"/>
      <c r="AD454" s="299"/>
      <c r="AE454" s="299"/>
    </row>
    <row r="455" spans="4:31" customFormat="1">
      <c r="D455" s="310" t="str">
        <v>E2 *</v>
      </c>
      <c r="E455" s="341">
        <v>0</v>
      </c>
      <c r="G455" s="341">
        <v>0</v>
      </c>
      <c r="H455" s="341">
        <v>0</v>
      </c>
      <c r="I455" s="341">
        <v>0</v>
      </c>
      <c r="J455" s="341">
        <v>0</v>
      </c>
      <c r="L455" s="341">
        <v>0</v>
      </c>
      <c r="M455" s="341">
        <v>0</v>
      </c>
      <c r="N455" s="341">
        <v>0</v>
      </c>
      <c r="O455" s="341">
        <v>0</v>
      </c>
      <c r="P455" s="470">
        <v>0</v>
      </c>
      <c r="AC455" s="299"/>
      <c r="AD455" s="299"/>
      <c r="AE455" s="299"/>
    </row>
    <row r="456" spans="4:31" s="299" customFormat="1">
      <c r="D456" s="310" t="str">
        <v>E3 (34 Mbps)</v>
      </c>
      <c r="E456" s="341">
        <v>0</v>
      </c>
      <c r="G456" s="341">
        <v>5156249.991750001</v>
      </c>
      <c r="H456" s="341">
        <v>3481773.2234999985</v>
      </c>
      <c r="I456" s="341">
        <v>3699976.9950000006</v>
      </c>
      <c r="J456" s="341">
        <v>88230.220650000047</v>
      </c>
      <c r="L456" s="341">
        <v>0</v>
      </c>
      <c r="M456" s="341">
        <v>0</v>
      </c>
      <c r="N456" s="341">
        <v>0</v>
      </c>
      <c r="O456" s="341">
        <v>0</v>
      </c>
      <c r="P456" s="470">
        <v>0</v>
      </c>
    </row>
    <row r="457" spans="4:31" s="299" customFormat="1">
      <c r="D457" s="310" t="str">
        <v>STM-1 (155 Mbps)</v>
      </c>
      <c r="E457" s="341">
        <v>63371563.312400013</v>
      </c>
      <c r="G457" s="341">
        <v>0</v>
      </c>
      <c r="H457" s="341">
        <v>0</v>
      </c>
      <c r="I457" s="341">
        <v>4412970.1136499979</v>
      </c>
      <c r="J457" s="341">
        <v>0</v>
      </c>
      <c r="L457" s="341">
        <v>52620.895552500035</v>
      </c>
      <c r="M457" s="341">
        <v>210483.58221000014</v>
      </c>
      <c r="N457" s="341">
        <v>263104.47776250006</v>
      </c>
      <c r="O457" s="341">
        <v>526208.95552500011</v>
      </c>
      <c r="P457" s="470">
        <v>0</v>
      </c>
    </row>
    <row r="458" spans="4:31" s="299" customFormat="1">
      <c r="D458" s="310" t="str">
        <v>STM-4 (622.08 Mbps)</v>
      </c>
      <c r="E458" s="341">
        <v>8407623.674879998</v>
      </c>
      <c r="G458" s="341">
        <v>976625.50314000004</v>
      </c>
      <c r="H458" s="341">
        <v>0</v>
      </c>
      <c r="I458" s="341">
        <v>0</v>
      </c>
      <c r="J458" s="341">
        <v>0</v>
      </c>
      <c r="L458" s="341">
        <v>87008.175679499967</v>
      </c>
      <c r="M458" s="341">
        <v>348032.70271799987</v>
      </c>
      <c r="N458" s="341">
        <v>435040.87839749997</v>
      </c>
      <c r="O458" s="341">
        <v>870081.75679499994</v>
      </c>
      <c r="P458" s="470">
        <v>0</v>
      </c>
    </row>
    <row r="459" spans="4:31" s="299" customFormat="1">
      <c r="D459" s="310" t="str">
        <v>STM-16 (2488.32Mbps)</v>
      </c>
      <c r="E459" s="341">
        <v>0</v>
      </c>
      <c r="G459" s="341">
        <v>0</v>
      </c>
      <c r="H459" s="341">
        <v>0</v>
      </c>
      <c r="I459" s="341">
        <v>0</v>
      </c>
      <c r="J459" s="341">
        <v>0</v>
      </c>
      <c r="L459" s="341">
        <v>415676.7504900003</v>
      </c>
      <c r="M459" s="341">
        <v>1662707.0019600012</v>
      </c>
      <c r="N459" s="341">
        <v>2078383.7524500003</v>
      </c>
      <c r="O459" s="341">
        <v>4156767.5049000005</v>
      </c>
      <c r="P459" s="470">
        <v>0</v>
      </c>
    </row>
    <row r="460" spans="4:31" s="299" customFormat="1">
      <c r="D460" s="310" t="str">
        <v>STM-64 (9953.28Mbps)</v>
      </c>
      <c r="E460" s="341">
        <v>0</v>
      </c>
      <c r="G460" s="341">
        <v>0</v>
      </c>
      <c r="H460" s="341">
        <v>0</v>
      </c>
      <c r="I460" s="341">
        <v>0</v>
      </c>
      <c r="J460" s="341">
        <v>0</v>
      </c>
      <c r="L460" s="341">
        <v>0</v>
      </c>
      <c r="M460" s="341">
        <v>0</v>
      </c>
      <c r="N460" s="341">
        <v>0</v>
      </c>
      <c r="O460" s="341">
        <v>0</v>
      </c>
      <c r="P460" s="470">
        <v>0</v>
      </c>
    </row>
    <row r="461" spans="4:31" s="299" customFormat="1">
      <c r="D461" s="310" t="str">
        <v>STM-256 (39813.12 Mbps)*</v>
      </c>
      <c r="E461" s="341">
        <v>0</v>
      </c>
      <c r="G461" s="341">
        <v>0</v>
      </c>
      <c r="H461" s="341">
        <v>0</v>
      </c>
      <c r="I461" s="341">
        <v>0</v>
      </c>
      <c r="J461" s="341">
        <v>0</v>
      </c>
      <c r="L461" s="341">
        <v>0</v>
      </c>
      <c r="M461" s="341">
        <v>0</v>
      </c>
      <c r="N461" s="341">
        <v>0</v>
      </c>
      <c r="O461" s="341">
        <v>0</v>
      </c>
      <c r="P461" s="470">
        <v>0</v>
      </c>
    </row>
    <row r="462" spans="4:31" s="299" customFormat="1">
      <c r="D462" s="310" t="str">
        <v>Ethernet (10Mbps)</v>
      </c>
      <c r="E462" s="341">
        <v>357359100.00000006</v>
      </c>
      <c r="G462" s="341">
        <v>57780179.999999993</v>
      </c>
      <c r="H462" s="341">
        <v>250560.00000000023</v>
      </c>
      <c r="I462" s="341">
        <v>31107611.249999996</v>
      </c>
      <c r="J462" s="341">
        <v>3083062.5000000005</v>
      </c>
      <c r="L462" s="341">
        <v>0</v>
      </c>
      <c r="M462" s="341">
        <v>0</v>
      </c>
      <c r="N462" s="341">
        <v>0</v>
      </c>
      <c r="O462" s="341">
        <v>0</v>
      </c>
      <c r="P462" s="470">
        <v>0</v>
      </c>
    </row>
    <row r="463" spans="4:31" s="299" customFormat="1">
      <c r="D463" s="310" t="str">
        <v>Ethernet (20Mbps)</v>
      </c>
      <c r="E463" s="341">
        <v>201400650</v>
      </c>
      <c r="G463" s="341">
        <v>21503662.5</v>
      </c>
      <c r="H463" s="341">
        <v>9609935.625</v>
      </c>
      <c r="I463" s="341">
        <v>5983740.6250000009</v>
      </c>
      <c r="J463" s="341">
        <v>150103.12500000015</v>
      </c>
      <c r="L463" s="341">
        <v>0</v>
      </c>
      <c r="M463" s="341">
        <v>0</v>
      </c>
      <c r="N463" s="341">
        <v>0</v>
      </c>
      <c r="O463" s="341">
        <v>0</v>
      </c>
      <c r="P463" s="470">
        <v>0</v>
      </c>
    </row>
    <row r="464" spans="4:31" s="299" customFormat="1">
      <c r="D464" s="310" t="str">
        <v>Ethernet (30Mbps)</v>
      </c>
      <c r="E464" s="341">
        <v>32604950.000000007</v>
      </c>
      <c r="G464" s="341">
        <v>3536654.9999999991</v>
      </c>
      <c r="H464" s="341">
        <v>446962.50000000017</v>
      </c>
      <c r="I464" s="341">
        <v>780900</v>
      </c>
      <c r="J464" s="341">
        <v>0</v>
      </c>
      <c r="L464" s="341">
        <v>0</v>
      </c>
      <c r="M464" s="341">
        <v>0</v>
      </c>
      <c r="N464" s="341">
        <v>0</v>
      </c>
      <c r="O464" s="341">
        <v>0</v>
      </c>
      <c r="P464" s="470">
        <v>0</v>
      </c>
    </row>
    <row r="465" spans="4:16" s="299" customFormat="1">
      <c r="D465" s="310" t="str">
        <v>Ethernet (40Mbps)</v>
      </c>
      <c r="E465" s="341">
        <v>47432655</v>
      </c>
      <c r="G465" s="341">
        <v>9202325</v>
      </c>
      <c r="H465" s="341">
        <v>1368068.7499999991</v>
      </c>
      <c r="I465" s="341">
        <v>1404524.9999999998</v>
      </c>
      <c r="J465" s="341">
        <v>0</v>
      </c>
      <c r="L465" s="341">
        <v>0</v>
      </c>
      <c r="M465" s="341">
        <v>0</v>
      </c>
      <c r="N465" s="341">
        <v>0</v>
      </c>
      <c r="O465" s="341">
        <v>0</v>
      </c>
      <c r="P465" s="470">
        <v>0</v>
      </c>
    </row>
    <row r="466" spans="4:16" s="299" customFormat="1">
      <c r="D466" s="310" t="str">
        <v>Ethernet (50Mbps)</v>
      </c>
      <c r="E466" s="341">
        <v>41859999.999999993</v>
      </c>
      <c r="G466" s="341">
        <v>5240786.25</v>
      </c>
      <c r="H466" s="341">
        <v>1887270.0000000002</v>
      </c>
      <c r="I466" s="341">
        <v>11232191.25</v>
      </c>
      <c r="J466" s="341">
        <v>0</v>
      </c>
      <c r="L466" s="341">
        <v>0</v>
      </c>
      <c r="M466" s="341">
        <v>0</v>
      </c>
      <c r="N466" s="341">
        <v>0</v>
      </c>
      <c r="O466" s="341">
        <v>0</v>
      </c>
      <c r="P466" s="470">
        <v>0</v>
      </c>
    </row>
    <row r="467" spans="4:16" s="299" customFormat="1">
      <c r="D467" s="310" t="str">
        <v>Ethernet (60Mbps)</v>
      </c>
      <c r="E467" s="341">
        <v>8711040</v>
      </c>
      <c r="G467" s="341">
        <v>1284862.5</v>
      </c>
      <c r="H467" s="341">
        <v>0</v>
      </c>
      <c r="I467" s="341">
        <v>263249.99999999994</v>
      </c>
      <c r="J467" s="341">
        <v>0</v>
      </c>
      <c r="L467" s="341">
        <v>0</v>
      </c>
      <c r="M467" s="341">
        <v>0</v>
      </c>
      <c r="N467" s="341">
        <v>0</v>
      </c>
      <c r="O467" s="341">
        <v>0</v>
      </c>
      <c r="P467" s="470">
        <v>0</v>
      </c>
    </row>
    <row r="468" spans="4:16" s="299" customFormat="1">
      <c r="D468" s="310" t="str">
        <v>Ethernet (70Mbps)</v>
      </c>
      <c r="E468" s="341">
        <v>3465749.9999999995</v>
      </c>
      <c r="G468" s="341">
        <v>380909.375</v>
      </c>
      <c r="H468" s="341">
        <v>77962.499999999942</v>
      </c>
      <c r="I468" s="341">
        <v>1135750</v>
      </c>
      <c r="J468" s="341">
        <v>0</v>
      </c>
      <c r="L468" s="341">
        <v>0</v>
      </c>
      <c r="M468" s="341">
        <v>0</v>
      </c>
      <c r="N468" s="341">
        <v>0</v>
      </c>
      <c r="O468" s="341">
        <v>0</v>
      </c>
      <c r="P468" s="470">
        <v>0</v>
      </c>
    </row>
    <row r="469" spans="4:16" s="299" customFormat="1">
      <c r="D469" s="310" t="str">
        <v>Ethernet (80Mbps)</v>
      </c>
      <c r="E469" s="341">
        <v>13583505.000000002</v>
      </c>
      <c r="G469" s="341">
        <v>37015.625000000007</v>
      </c>
      <c r="H469" s="341">
        <v>0</v>
      </c>
      <c r="I469" s="341">
        <v>0</v>
      </c>
      <c r="J469" s="341">
        <v>0</v>
      </c>
      <c r="L469" s="341">
        <v>0</v>
      </c>
      <c r="M469" s="341">
        <v>0</v>
      </c>
      <c r="N469" s="341">
        <v>0</v>
      </c>
      <c r="O469" s="341">
        <v>0</v>
      </c>
      <c r="P469" s="470">
        <v>0</v>
      </c>
    </row>
    <row r="470" spans="4:16" s="299" customFormat="1">
      <c r="D470" s="310" t="str">
        <v>Ethernet (90Mbps)</v>
      </c>
      <c r="E470" s="341">
        <v>697900</v>
      </c>
      <c r="G470" s="341">
        <v>0</v>
      </c>
      <c r="H470" s="341">
        <v>0</v>
      </c>
      <c r="I470" s="341">
        <v>565750</v>
      </c>
      <c r="J470" s="341">
        <v>0</v>
      </c>
      <c r="L470" s="341">
        <v>0</v>
      </c>
      <c r="M470" s="341">
        <v>0</v>
      </c>
      <c r="N470" s="341">
        <v>0</v>
      </c>
      <c r="O470" s="341">
        <v>0</v>
      </c>
      <c r="P470" s="470">
        <v>0</v>
      </c>
    </row>
    <row r="471" spans="4:16" s="299" customFormat="1">
      <c r="D471" s="310" t="str">
        <v>GigaEthernet (100Mbps)</v>
      </c>
      <c r="E471" s="341">
        <v>47796000.000000007</v>
      </c>
      <c r="G471" s="341">
        <v>4927499.9999999972</v>
      </c>
      <c r="H471" s="341">
        <v>0</v>
      </c>
      <c r="I471" s="341">
        <v>0</v>
      </c>
      <c r="J471" s="341">
        <v>0</v>
      </c>
      <c r="L471" s="341">
        <v>0</v>
      </c>
      <c r="M471" s="341">
        <v>0</v>
      </c>
      <c r="N471" s="341">
        <v>0</v>
      </c>
      <c r="O471" s="341">
        <v>0</v>
      </c>
      <c r="P471" s="470">
        <v>0</v>
      </c>
    </row>
    <row r="472" spans="4:16" s="299" customFormat="1">
      <c r="D472" s="310" t="str">
        <v>GigaEthernet (150Mbps)</v>
      </c>
      <c r="E472" s="341">
        <v>18887424.999999996</v>
      </c>
      <c r="G472" s="341">
        <v>0</v>
      </c>
      <c r="H472" s="341">
        <v>212499.99999999994</v>
      </c>
      <c r="I472" s="341">
        <v>2380000</v>
      </c>
      <c r="J472" s="341">
        <v>0</v>
      </c>
      <c r="L472" s="341">
        <v>0</v>
      </c>
      <c r="M472" s="341">
        <v>0</v>
      </c>
      <c r="N472" s="341">
        <v>0</v>
      </c>
      <c r="O472" s="341">
        <v>0</v>
      </c>
      <c r="P472" s="470">
        <v>0</v>
      </c>
    </row>
    <row r="473" spans="4:16" s="299" customFormat="1">
      <c r="D473" s="310" t="str">
        <v>GigaEthernet (200Mbps)</v>
      </c>
      <c r="E473" s="341">
        <v>2111775.0000000019</v>
      </c>
      <c r="G473" s="341">
        <v>343039.99999999977</v>
      </c>
      <c r="H473" s="341">
        <v>2948000.0000000005</v>
      </c>
      <c r="I473" s="341">
        <v>116579.99999999996</v>
      </c>
      <c r="J473" s="341">
        <v>0</v>
      </c>
      <c r="L473" s="341">
        <v>0</v>
      </c>
      <c r="M473" s="341">
        <v>0</v>
      </c>
      <c r="N473" s="341">
        <v>0</v>
      </c>
      <c r="O473" s="341">
        <v>0</v>
      </c>
      <c r="P473" s="470">
        <v>0</v>
      </c>
    </row>
    <row r="474" spans="4:16" s="299" customFormat="1">
      <c r="D474" s="310" t="str">
        <v>GigaEthernet (250Mbps)</v>
      </c>
      <c r="E474" s="341">
        <v>6938400</v>
      </c>
      <c r="G474" s="341">
        <v>0</v>
      </c>
      <c r="H474" s="341">
        <v>0</v>
      </c>
      <c r="I474" s="341">
        <v>0</v>
      </c>
      <c r="J474" s="341">
        <v>0</v>
      </c>
      <c r="L474" s="341">
        <v>0</v>
      </c>
      <c r="M474" s="341">
        <v>0</v>
      </c>
      <c r="N474" s="341">
        <v>0</v>
      </c>
      <c r="O474" s="341">
        <v>0</v>
      </c>
      <c r="P474" s="470">
        <v>0</v>
      </c>
    </row>
    <row r="475" spans="4:16" s="299" customFormat="1">
      <c r="D475" s="310" t="str">
        <v>GigaEthernet (300Mbps)</v>
      </c>
      <c r="E475" s="341">
        <v>5771499.9999999991</v>
      </c>
      <c r="G475" s="341">
        <v>1302480</v>
      </c>
      <c r="H475" s="341">
        <v>0</v>
      </c>
      <c r="I475" s="341">
        <v>0</v>
      </c>
      <c r="J475" s="341">
        <v>0</v>
      </c>
      <c r="L475" s="341">
        <v>0</v>
      </c>
      <c r="M475" s="341">
        <v>0</v>
      </c>
      <c r="N475" s="341">
        <v>0</v>
      </c>
      <c r="O475" s="341">
        <v>0</v>
      </c>
      <c r="P475" s="470">
        <v>0</v>
      </c>
    </row>
    <row r="476" spans="4:16" s="299" customFormat="1">
      <c r="D476" s="310" t="str">
        <v>GigaEthernet (350Mbps)</v>
      </c>
      <c r="E476" s="341">
        <v>0</v>
      </c>
      <c r="G476" s="341">
        <v>0</v>
      </c>
      <c r="H476" s="341">
        <v>0</v>
      </c>
      <c r="I476" s="341">
        <v>0</v>
      </c>
      <c r="J476" s="341">
        <v>0</v>
      </c>
      <c r="L476" s="341">
        <v>0</v>
      </c>
      <c r="M476" s="341">
        <v>0</v>
      </c>
      <c r="N476" s="341">
        <v>0</v>
      </c>
      <c r="O476" s="341">
        <v>0</v>
      </c>
      <c r="P476" s="470">
        <v>0</v>
      </c>
    </row>
    <row r="477" spans="4:16" s="299" customFormat="1">
      <c r="D477" s="310" t="str">
        <v>GigaEthernet (400Mbps)</v>
      </c>
      <c r="E477" s="341">
        <v>712000</v>
      </c>
      <c r="G477" s="341">
        <v>0</v>
      </c>
      <c r="H477" s="341">
        <v>0</v>
      </c>
      <c r="I477" s="341">
        <v>27234.999999999953</v>
      </c>
      <c r="J477" s="341">
        <v>0</v>
      </c>
      <c r="L477" s="341">
        <v>0</v>
      </c>
      <c r="M477" s="341">
        <v>0</v>
      </c>
      <c r="N477" s="341">
        <v>0</v>
      </c>
      <c r="O477" s="341">
        <v>0</v>
      </c>
      <c r="P477" s="470">
        <v>0</v>
      </c>
    </row>
    <row r="478" spans="4:16" s="299" customFormat="1">
      <c r="D478" s="310" t="str">
        <v>GigaEthernet (450Mbps)</v>
      </c>
      <c r="E478" s="341">
        <v>0</v>
      </c>
      <c r="G478" s="341">
        <v>0</v>
      </c>
      <c r="H478" s="341">
        <v>0</v>
      </c>
      <c r="I478" s="341">
        <v>0</v>
      </c>
      <c r="J478" s="341">
        <v>0</v>
      </c>
      <c r="L478" s="341">
        <v>0</v>
      </c>
      <c r="M478" s="341">
        <v>0</v>
      </c>
      <c r="N478" s="341">
        <v>0</v>
      </c>
      <c r="O478" s="341">
        <v>0</v>
      </c>
      <c r="P478" s="470">
        <v>0</v>
      </c>
    </row>
    <row r="479" spans="4:16" s="299" customFormat="1">
      <c r="D479" s="310" t="str">
        <v>GigaEthernet (500Mbps)</v>
      </c>
      <c r="E479" s="341">
        <v>2078075.0000000005</v>
      </c>
      <c r="G479" s="341">
        <v>0</v>
      </c>
      <c r="H479" s="341">
        <v>0</v>
      </c>
      <c r="I479" s="341">
        <v>0</v>
      </c>
      <c r="J479" s="341">
        <v>0</v>
      </c>
      <c r="L479" s="341">
        <v>0</v>
      </c>
      <c r="M479" s="341">
        <v>0</v>
      </c>
      <c r="N479" s="341">
        <v>0</v>
      </c>
      <c r="O479" s="341">
        <v>0</v>
      </c>
      <c r="P479" s="470">
        <v>0</v>
      </c>
    </row>
    <row r="480" spans="4:16" s="299" customFormat="1">
      <c r="D480" s="310" t="str">
        <v>GigaEthernet (550Mbps)</v>
      </c>
      <c r="E480" s="341">
        <v>0</v>
      </c>
      <c r="G480" s="341">
        <v>0</v>
      </c>
      <c r="H480" s="341">
        <v>0</v>
      </c>
      <c r="I480" s="341">
        <v>0</v>
      </c>
      <c r="J480" s="341">
        <v>0</v>
      </c>
      <c r="L480" s="341">
        <v>0</v>
      </c>
      <c r="M480" s="341">
        <v>0</v>
      </c>
      <c r="N480" s="341">
        <v>0</v>
      </c>
      <c r="O480" s="341">
        <v>0</v>
      </c>
      <c r="P480" s="470">
        <v>0</v>
      </c>
    </row>
    <row r="481" spans="2:31" s="299" customFormat="1">
      <c r="D481" s="310" t="str">
        <v>GigaEthernet (600Mbps)</v>
      </c>
      <c r="E481" s="341">
        <v>0</v>
      </c>
      <c r="G481" s="341">
        <v>0</v>
      </c>
      <c r="H481" s="341">
        <v>0</v>
      </c>
      <c r="I481" s="341">
        <v>0</v>
      </c>
      <c r="J481" s="341">
        <v>0</v>
      </c>
      <c r="L481" s="341">
        <v>0</v>
      </c>
      <c r="M481" s="341">
        <v>0</v>
      </c>
      <c r="N481" s="341">
        <v>0</v>
      </c>
      <c r="O481" s="341">
        <v>0</v>
      </c>
      <c r="P481" s="470">
        <v>0</v>
      </c>
    </row>
    <row r="482" spans="2:31" s="299" customFormat="1">
      <c r="D482" s="310" t="str">
        <v>GigaEthernet (750Mbps)</v>
      </c>
      <c r="E482" s="341">
        <v>0</v>
      </c>
      <c r="G482" s="341">
        <v>0</v>
      </c>
      <c r="H482" s="341">
        <v>0</v>
      </c>
      <c r="I482" s="341">
        <v>0</v>
      </c>
      <c r="J482" s="341">
        <v>0</v>
      </c>
      <c r="L482" s="341">
        <v>0</v>
      </c>
      <c r="M482" s="341">
        <v>0</v>
      </c>
      <c r="N482" s="341">
        <v>0</v>
      </c>
      <c r="O482" s="341">
        <v>0</v>
      </c>
      <c r="P482" s="470">
        <v>0</v>
      </c>
    </row>
    <row r="483" spans="2:31" s="299" customFormat="1">
      <c r="D483" s="310" t="str">
        <v>GigaEthernet (1 Gbps)</v>
      </c>
      <c r="E483" s="341">
        <v>7112159.9999999981</v>
      </c>
      <c r="G483" s="341">
        <v>0</v>
      </c>
      <c r="H483" s="341">
        <v>0</v>
      </c>
      <c r="I483" s="341">
        <v>1239300</v>
      </c>
      <c r="J483" s="341">
        <v>0</v>
      </c>
      <c r="L483" s="341">
        <v>0</v>
      </c>
      <c r="M483" s="341">
        <v>0</v>
      </c>
      <c r="N483" s="341">
        <v>0</v>
      </c>
      <c r="O483" s="341">
        <v>0</v>
      </c>
      <c r="P483" s="470">
        <v>0</v>
      </c>
    </row>
    <row r="484" spans="2:31" customFormat="1">
      <c r="E484" s="110">
        <f>SUM(E446:E483)</f>
        <v>1546582996.78688</v>
      </c>
      <c r="G484" s="318">
        <f t="shared" ref="G484" si="89">SUM(G446:G483)</f>
        <v>187019553.13783002</v>
      </c>
      <c r="H484" s="318">
        <f t="shared" ref="H484" si="90">SUM(H446:H483)</f>
        <v>64543584.049909994</v>
      </c>
      <c r="I484" s="318">
        <f t="shared" ref="I484" si="91">SUM(I446:I483)</f>
        <v>87574331.399149999</v>
      </c>
      <c r="J484" s="318">
        <f t="shared" ref="J484" si="92">SUM(J446:J483)</f>
        <v>3455251.3315700004</v>
      </c>
      <c r="L484" s="318">
        <f t="shared" ref="L484" si="93">SUM(L446:L483)</f>
        <v>580257.15278775035</v>
      </c>
      <c r="M484" s="318">
        <f t="shared" ref="M484" si="94">SUM(M446:M483)</f>
        <v>2321028.6111510014</v>
      </c>
      <c r="N484" s="318">
        <f t="shared" ref="N484" si="95">SUM(N446:N483)</f>
        <v>2901285.7639387501</v>
      </c>
      <c r="O484" s="318">
        <f t="shared" ref="O484:P484" si="96">SUM(O446:O483)</f>
        <v>5802571.5278775003</v>
      </c>
      <c r="P484" s="318">
        <f t="shared" si="96"/>
        <v>58477.757800000021</v>
      </c>
      <c r="AC484" s="299"/>
      <c r="AD484" s="299"/>
      <c r="AE484" s="299"/>
    </row>
    <row r="486" spans="2:31">
      <c r="B486" s="97"/>
    </row>
    <row r="487" spans="2:31" s="227" customFormat="1" ht="24">
      <c r="B487" s="229"/>
      <c r="D487" s="243" t="s">
        <v>557</v>
      </c>
      <c r="E487" s="338" t="str">
        <f t="array" ref="E487:P488">Enlaces.decidados.tipos.categorías</f>
        <v>Local</v>
      </c>
      <c r="F487" s="338" t="str">
        <v>Nacional</v>
      </c>
      <c r="G487" s="299" t="str">
        <v>-</v>
      </c>
      <c r="H487" s="299" t="str">
        <v>-</v>
      </c>
      <c r="I487" s="299" t="str">
        <v>-</v>
      </c>
      <c r="J487" s="299" t="str">
        <v>-</v>
      </c>
      <c r="K487" s="338" t="str">
        <v>Internacional</v>
      </c>
      <c r="L487" s="299" t="str">
        <v>-</v>
      </c>
      <c r="M487" s="299" t="str">
        <v>-</v>
      </c>
      <c r="N487" s="299" t="str">
        <v>-</v>
      </c>
      <c r="O487" s="299" t="str">
        <v>-</v>
      </c>
      <c r="P487" s="338" t="str">
        <v>Cruce fronterizo</v>
      </c>
      <c r="AC487" s="299"/>
      <c r="AD487" s="299"/>
      <c r="AE487" s="299"/>
    </row>
    <row r="488" spans="2:31" s="227" customFormat="1" ht="24">
      <c r="B488" s="229"/>
      <c r="D488" s="119" t="s">
        <v>558</v>
      </c>
      <c r="E488" s="299" t="str">
        <v>-</v>
      </c>
      <c r="F488" s="299" t="str">
        <v>-</v>
      </c>
      <c r="G488" s="338" t="str">
        <v>De los cuales 0-81 km</v>
      </c>
      <c r="H488" s="338" t="str">
        <v>De los cuales 81-161 km</v>
      </c>
      <c r="I488" s="338" t="str">
        <v>De los cuales 161-805 km</v>
      </c>
      <c r="J488" s="338" t="str">
        <v>De los cuales  &gt; 805 km</v>
      </c>
      <c r="K488" s="299" t="str">
        <v>-</v>
      </c>
      <c r="L488" s="338" t="str">
        <v>De los cuales 0-81 km</v>
      </c>
      <c r="M488" s="338" t="str">
        <v>De los cuales  81-161 km</v>
      </c>
      <c r="N488" s="338" t="str">
        <v>De los cuales 161-805 km</v>
      </c>
      <c r="O488" s="338" t="str">
        <v>De los cuales  &gt; 805 km</v>
      </c>
      <c r="P488" s="299" t="str">
        <v>-</v>
      </c>
      <c r="AC488" s="299"/>
      <c r="AD488" s="299"/>
      <c r="AE488" s="299"/>
    </row>
    <row r="489" spans="2:31" ht="24">
      <c r="E489" s="338" t="str">
        <f t="array" ref="E489:P490">LL.type.categories</f>
        <v>Local</v>
      </c>
      <c r="F489" s="338" t="str">
        <v>National</v>
      </c>
      <c r="G489" s="299" t="str">
        <v>-</v>
      </c>
      <c r="H489" s="299" t="str">
        <v>-</v>
      </c>
      <c r="I489" s="299" t="str">
        <v>-</v>
      </c>
      <c r="J489" s="299" t="str">
        <v>-</v>
      </c>
      <c r="K489" s="338" t="str">
        <v>International</v>
      </c>
      <c r="L489" s="299" t="str">
        <v>-</v>
      </c>
      <c r="M489" s="299" t="str">
        <v>-</v>
      </c>
      <c r="N489" s="299" t="str">
        <v>-</v>
      </c>
      <c r="O489" s="299" t="str">
        <v>-</v>
      </c>
      <c r="P489" s="338" t="str">
        <v>Border crossing</v>
      </c>
    </row>
    <row r="490" spans="2:31" ht="24">
      <c r="E490" s="299" t="str">
        <v>-</v>
      </c>
      <c r="F490" s="299" t="str">
        <v>-</v>
      </c>
      <c r="G490" s="338" t="str">
        <v>Of which 0-81 Km</v>
      </c>
      <c r="H490" s="338" t="str">
        <v>Of which 81-161 Km</v>
      </c>
      <c r="I490" s="338" t="str">
        <v>Of which 161-805 Km</v>
      </c>
      <c r="J490" s="338" t="str">
        <v>Of which &gt; 805 Km</v>
      </c>
      <c r="K490" s="299" t="str">
        <v>-</v>
      </c>
      <c r="L490" s="338" t="str">
        <v>Of which 0-81 Km</v>
      </c>
      <c r="M490" s="338" t="str">
        <v>Of which 81-161 Km</v>
      </c>
      <c r="N490" s="338" t="str">
        <v>Of which 161-805 Km</v>
      </c>
      <c r="O490" s="338" t="str">
        <v>Of which &gt; 805 Km</v>
      </c>
      <c r="P490" s="299" t="str">
        <v>-</v>
      </c>
    </row>
    <row r="491" spans="2:31">
      <c r="D491" s="310" t="str">
        <f t="array" ref="D491:D528">LL.list</f>
        <v>64 kbps</v>
      </c>
      <c r="E491" s="341">
        <f t="array" ref="E491:E528">E103:E140*E331:E368*Months.per.year*$E$421</f>
        <v>316301703.53400004</v>
      </c>
      <c r="F491" s="299"/>
      <c r="G491" s="341">
        <f t="array" ref="G491:G528">G103:G140*$E331:$E368*Months.per.year*$E$423+G103:G140*(G331:G368+G376:G413*G435)*Months.per.year*$F$423</f>
        <v>96137272.763999999</v>
      </c>
      <c r="H491" s="341">
        <f t="array" ref="H491:H528">H103:H140*$E331:$E368*Months.per.year*$E$423+H103:H140*(H331:H368+H376:H413*H435)*Months.per.year*$F$423</f>
        <v>61650099.379200011</v>
      </c>
      <c r="I491" s="341">
        <f t="array" ref="I491:I528">I103:I140*$E331:$E368*Months.per.year*$E$423+I103:I140*(I331:I368+I376:I413*I435)*Months.per.year*$F$423</f>
        <v>34459048.443000004</v>
      </c>
      <c r="J491" s="341">
        <f t="array" ref="J491:J528">J103:J140*$E331:$E368*Months.per.year*$E$423+J103:J140*(J331:J368+J376:J413*J435)*Months.per.year*$F$423</f>
        <v>5083063.4184000008</v>
      </c>
      <c r="K491" s="299"/>
      <c r="L491" s="341">
        <f t="array" ref="L491:L528">L103:L140*$E331:$E368*Months.per.year*$E$425+L103:L140*(L331:L368+L376:L413*L435)*Months.per.year*$G$425</f>
        <v>80235.089550000004</v>
      </c>
      <c r="M491" s="341">
        <f t="array" ref="M491:M528">M103:M140*$E331:$E368*Months.per.year*$E$425+M103:M140*(M331:M368+M376:M413*M435)*Months.per.year*$G$425</f>
        <v>355150.63188</v>
      </c>
      <c r="N491" s="341">
        <f t="array" ref="N491:N528">N103:N140*$E331:$E368*Months.per.year*$E$425+N103:N140*(N331:N368+N376:N413*N435)*Months.per.year*$G$425</f>
        <v>524925.90480000002</v>
      </c>
      <c r="O491" s="341">
        <f t="array" ref="O491:O528">O103:O140*$E331:$E368*Months.per.year*$E$425+O103:O140*(O331:O368+O376:O413*O435)*Months.per.year*$G$425</f>
        <v>1287548.0425499999</v>
      </c>
      <c r="P491" s="470">
        <f t="array" ref="P491:P528">P103:P140*$E331:$E368*Months.per.year*$E$427+P103:P140*P331:P368*Months.per.year*$H$427</f>
        <v>567099.7943999999</v>
      </c>
    </row>
    <row r="492" spans="2:31">
      <c r="D492" s="310" t="str">
        <v>128 kbps</v>
      </c>
      <c r="E492" s="341">
        <v>296439889.31999999</v>
      </c>
      <c r="F492" s="299"/>
      <c r="G492" s="341">
        <v>97347439.871999994</v>
      </c>
      <c r="H492" s="341">
        <v>71108345.335200012</v>
      </c>
      <c r="I492" s="341">
        <v>60911052.299999997</v>
      </c>
      <c r="J492" s="341">
        <v>3923769.9047999997</v>
      </c>
      <c r="K492" s="299"/>
      <c r="L492" s="341">
        <v>8635.3546499999993</v>
      </c>
      <c r="M492" s="341">
        <v>36704.690999999999</v>
      </c>
      <c r="N492" s="341">
        <v>59423.827499999999</v>
      </c>
      <c r="O492" s="341">
        <v>182627.31150000001</v>
      </c>
      <c r="P492" s="470">
        <v>157190.85719999997</v>
      </c>
    </row>
    <row r="493" spans="2:31">
      <c r="D493" s="310" t="str">
        <v>192 kbps</v>
      </c>
      <c r="E493" s="341">
        <v>100056587.7528</v>
      </c>
      <c r="F493" s="299"/>
      <c r="G493" s="341">
        <v>44746537.175999999</v>
      </c>
      <c r="H493" s="341">
        <v>23405777.085000001</v>
      </c>
      <c r="I493" s="341">
        <v>30032066.249999993</v>
      </c>
      <c r="J493" s="341">
        <v>8907603.7104000021</v>
      </c>
      <c r="K493" s="299"/>
      <c r="L493" s="341">
        <v>0</v>
      </c>
      <c r="M493" s="341">
        <v>0</v>
      </c>
      <c r="N493" s="341">
        <v>0</v>
      </c>
      <c r="O493" s="341">
        <v>0</v>
      </c>
      <c r="P493" s="470">
        <v>0</v>
      </c>
    </row>
    <row r="494" spans="2:31">
      <c r="D494" s="310" t="str">
        <v>256 kbps</v>
      </c>
      <c r="E494" s="341">
        <v>309302135.65439999</v>
      </c>
      <c r="F494" s="299"/>
      <c r="G494" s="341">
        <v>228817924.02359998</v>
      </c>
      <c r="H494" s="341">
        <v>96938744.792399988</v>
      </c>
      <c r="I494" s="341">
        <v>93201869.131200016</v>
      </c>
      <c r="J494" s="341">
        <v>5432149.0080000004</v>
      </c>
      <c r="K494" s="299"/>
      <c r="L494" s="341">
        <v>51268.794480000004</v>
      </c>
      <c r="M494" s="341">
        <v>281032.32527999999</v>
      </c>
      <c r="N494" s="341">
        <v>388671.66360000009</v>
      </c>
      <c r="O494" s="341">
        <v>1215336.0528000002</v>
      </c>
      <c r="P494" s="470">
        <v>446239.353</v>
      </c>
    </row>
    <row r="495" spans="2:31">
      <c r="D495" s="310" t="str">
        <v>384 kbps</v>
      </c>
      <c r="E495" s="341">
        <v>135156670.9632</v>
      </c>
      <c r="F495" s="299"/>
      <c r="G495" s="341">
        <v>150786775.94400001</v>
      </c>
      <c r="H495" s="341">
        <v>89135698.255200014</v>
      </c>
      <c r="I495" s="341">
        <v>69765723.359999999</v>
      </c>
      <c r="J495" s="341">
        <v>467357.95079999999</v>
      </c>
      <c r="K495" s="299"/>
      <c r="L495" s="341">
        <v>67159.032930000016</v>
      </c>
      <c r="M495" s="341">
        <v>411822.86112000007</v>
      </c>
      <c r="N495" s="341">
        <v>677816.08784999989</v>
      </c>
      <c r="O495" s="341">
        <v>1631396.0519999999</v>
      </c>
      <c r="P495" s="470">
        <v>0</v>
      </c>
    </row>
    <row r="496" spans="2:31">
      <c r="D496" s="310" t="str">
        <v>512 kbps</v>
      </c>
      <c r="E496" s="341">
        <v>229245339.24000001</v>
      </c>
      <c r="F496" s="299"/>
      <c r="G496" s="341">
        <v>160707786.14520001</v>
      </c>
      <c r="H496" s="341">
        <v>155902545.08159998</v>
      </c>
      <c r="I496" s="341">
        <v>128644972.08420001</v>
      </c>
      <c r="J496" s="341">
        <v>969857.50679999986</v>
      </c>
      <c r="K496" s="299"/>
      <c r="L496" s="341">
        <v>99597.467880000011</v>
      </c>
      <c r="M496" s="341">
        <v>757876.90032000025</v>
      </c>
      <c r="N496" s="341">
        <v>1242297.7775999999</v>
      </c>
      <c r="O496" s="341">
        <v>4160059.3619999997</v>
      </c>
      <c r="P496" s="470">
        <v>238659.50159999999</v>
      </c>
    </row>
    <row r="497" spans="4:16">
      <c r="D497" s="310" t="str">
        <v>768 kbps</v>
      </c>
      <c r="E497" s="341">
        <v>62013735.673199996</v>
      </c>
      <c r="F497" s="299"/>
      <c r="G497" s="341">
        <v>44900657.574000001</v>
      </c>
      <c r="H497" s="341">
        <v>32900094.259200003</v>
      </c>
      <c r="I497" s="341">
        <v>63440714.361600004</v>
      </c>
      <c r="J497" s="341">
        <v>1095446.5572000002</v>
      </c>
      <c r="K497" s="299"/>
      <c r="L497" s="341">
        <v>13262.48415</v>
      </c>
      <c r="M497" s="341">
        <v>110137.74504000002</v>
      </c>
      <c r="N497" s="341">
        <v>215231.91240000003</v>
      </c>
      <c r="O497" s="341">
        <v>569878.04099999997</v>
      </c>
      <c r="P497" s="470">
        <v>55114.873200000002</v>
      </c>
    </row>
    <row r="498" spans="4:16">
      <c r="D498" s="310" t="str">
        <v>1024 kbps</v>
      </c>
      <c r="E498" s="341">
        <v>104510940.36480001</v>
      </c>
      <c r="F498" s="299"/>
      <c r="G498" s="341">
        <v>36389418.235799998</v>
      </c>
      <c r="H498" s="341">
        <v>36244399.791600004</v>
      </c>
      <c r="I498" s="341">
        <v>30805273.764000002</v>
      </c>
      <c r="J498" s="341">
        <v>1447088.28</v>
      </c>
      <c r="K498" s="299"/>
      <c r="L498" s="341">
        <v>108353.56932</v>
      </c>
      <c r="M498" s="341">
        <v>849390.72768000001</v>
      </c>
      <c r="N498" s="341">
        <v>1497471.3312000001</v>
      </c>
      <c r="O498" s="341">
        <v>4155195.3960000006</v>
      </c>
      <c r="P498" s="470">
        <v>0</v>
      </c>
    </row>
    <row r="499" spans="4:16">
      <c r="D499" s="310" t="str">
        <v>E1 (2.04 Mbps)</v>
      </c>
      <c r="E499" s="341">
        <v>3602208741.0624003</v>
      </c>
      <c r="F499" s="299"/>
      <c r="G499" s="341">
        <v>2051683083.3150001</v>
      </c>
      <c r="H499" s="341">
        <v>1346706892.8600001</v>
      </c>
      <c r="I499" s="341">
        <v>1842625474.1795998</v>
      </c>
      <c r="J499" s="341">
        <v>33111599.121600006</v>
      </c>
      <c r="K499" s="299"/>
      <c r="L499" s="341">
        <v>2229134.7560700001</v>
      </c>
      <c r="M499" s="341">
        <v>19361130.199440002</v>
      </c>
      <c r="N499" s="341">
        <v>38850259.093799993</v>
      </c>
      <c r="O499" s="341">
        <v>96311303.429400012</v>
      </c>
      <c r="P499" s="470">
        <v>25292750.512800001</v>
      </c>
    </row>
    <row r="500" spans="4:16">
      <c r="D500" s="310" t="str">
        <v>E2 *</v>
      </c>
      <c r="E500" s="341">
        <v>0</v>
      </c>
      <c r="F500" s="299"/>
      <c r="G500" s="341">
        <v>0</v>
      </c>
      <c r="H500" s="341">
        <v>0</v>
      </c>
      <c r="I500" s="341">
        <v>0</v>
      </c>
      <c r="J500" s="341">
        <v>0</v>
      </c>
      <c r="K500" s="299"/>
      <c r="L500" s="341">
        <v>0</v>
      </c>
      <c r="M500" s="341">
        <v>0</v>
      </c>
      <c r="N500" s="341">
        <v>0</v>
      </c>
      <c r="O500" s="341">
        <v>0</v>
      </c>
      <c r="P500" s="470">
        <v>0</v>
      </c>
    </row>
    <row r="501" spans="4:16" s="299" customFormat="1">
      <c r="D501" s="310" t="str">
        <v>E3 (34 Mbps)</v>
      </c>
      <c r="E501" s="341">
        <v>392842052.46000004</v>
      </c>
      <c r="G501" s="341">
        <v>73934515.516067997</v>
      </c>
      <c r="H501" s="341">
        <v>43104955.431383997</v>
      </c>
      <c r="I501" s="341">
        <v>42348732.79197599</v>
      </c>
      <c r="J501" s="341">
        <v>7406781.1344000008</v>
      </c>
      <c r="L501" s="341">
        <v>0</v>
      </c>
      <c r="M501" s="341">
        <v>0</v>
      </c>
      <c r="N501" s="341">
        <v>0</v>
      </c>
      <c r="O501" s="341">
        <v>0</v>
      </c>
      <c r="P501" s="470">
        <v>0</v>
      </c>
    </row>
    <row r="502" spans="4:16" s="299" customFormat="1">
      <c r="D502" s="310" t="str">
        <v>STM-1 (155 Mbps)</v>
      </c>
      <c r="E502" s="341">
        <v>1246857470.8799999</v>
      </c>
      <c r="G502" s="341">
        <v>33691822.208094001</v>
      </c>
      <c r="H502" s="341">
        <v>44613775.461017996</v>
      </c>
      <c r="I502" s="341">
        <v>189126744.55881602</v>
      </c>
      <c r="J502" s="341">
        <v>0</v>
      </c>
      <c r="L502" s="341">
        <v>786269.98685069988</v>
      </c>
      <c r="M502" s="341">
        <v>3522869.0671211993</v>
      </c>
      <c r="N502" s="341">
        <v>4189253.6125215003</v>
      </c>
      <c r="O502" s="341">
        <v>14842624.36734</v>
      </c>
      <c r="P502" s="470">
        <v>0</v>
      </c>
    </row>
    <row r="503" spans="4:16" s="299" customFormat="1">
      <c r="D503" s="310" t="str">
        <v>STM-4 (622.08 Mbps)</v>
      </c>
      <c r="E503" s="341">
        <v>32914823.039999992</v>
      </c>
      <c r="G503" s="341">
        <v>52745901.658799991</v>
      </c>
      <c r="H503" s="341">
        <v>0</v>
      </c>
      <c r="I503" s="341">
        <v>0</v>
      </c>
      <c r="J503" s="341">
        <v>0</v>
      </c>
      <c r="L503" s="341">
        <v>589588.72380000004</v>
      </c>
      <c r="M503" s="341">
        <v>2574647.0697599999</v>
      </c>
      <c r="N503" s="341">
        <v>4908553.2522000009</v>
      </c>
      <c r="O503" s="341">
        <v>10291326.696000002</v>
      </c>
      <c r="P503" s="470">
        <v>0</v>
      </c>
    </row>
    <row r="504" spans="4:16" s="299" customFormat="1">
      <c r="D504" s="310" t="str">
        <v>STM-16 (2488.32Mbps)</v>
      </c>
      <c r="E504" s="341">
        <v>29034240.210000008</v>
      </c>
      <c r="G504" s="341">
        <v>0</v>
      </c>
      <c r="H504" s="341">
        <v>0</v>
      </c>
      <c r="I504" s="341">
        <v>0</v>
      </c>
      <c r="J504" s="341">
        <v>0</v>
      </c>
      <c r="L504" s="341">
        <v>5386940.4903300004</v>
      </c>
      <c r="M504" s="341">
        <v>23363488.581840001</v>
      </c>
      <c r="N504" s="341">
        <v>33700377.9375</v>
      </c>
      <c r="O504" s="341">
        <v>92334980.929499984</v>
      </c>
      <c r="P504" s="470">
        <v>0</v>
      </c>
    </row>
    <row r="505" spans="4:16" s="299" customFormat="1">
      <c r="D505" s="310" t="str">
        <v>STM-64 (9953.28Mbps)</v>
      </c>
      <c r="E505" s="341">
        <v>0</v>
      </c>
      <c r="G505" s="341">
        <v>0</v>
      </c>
      <c r="H505" s="341">
        <v>0</v>
      </c>
      <c r="I505" s="341">
        <v>0</v>
      </c>
      <c r="J505" s="341">
        <v>0</v>
      </c>
      <c r="L505" s="341">
        <v>0</v>
      </c>
      <c r="M505" s="341">
        <v>0</v>
      </c>
      <c r="N505" s="341">
        <v>0</v>
      </c>
      <c r="O505" s="341">
        <v>0</v>
      </c>
      <c r="P505" s="470">
        <v>0</v>
      </c>
    </row>
    <row r="506" spans="4:16" s="299" customFormat="1">
      <c r="D506" s="310" t="str">
        <v>STM-256 (39813.12 Mbps)*</v>
      </c>
      <c r="E506" s="341">
        <v>0</v>
      </c>
      <c r="G506" s="341">
        <v>0</v>
      </c>
      <c r="H506" s="341">
        <v>0</v>
      </c>
      <c r="I506" s="341">
        <v>0</v>
      </c>
      <c r="J506" s="341">
        <v>0</v>
      </c>
      <c r="L506" s="341">
        <v>0</v>
      </c>
      <c r="M506" s="341">
        <v>0</v>
      </c>
      <c r="N506" s="341">
        <v>0</v>
      </c>
      <c r="O506" s="341">
        <v>0</v>
      </c>
      <c r="P506" s="470">
        <v>0</v>
      </c>
    </row>
    <row r="507" spans="4:16" s="299" customFormat="1">
      <c r="D507" s="310" t="str">
        <v>Ethernet (10Mbps)</v>
      </c>
      <c r="E507" s="341">
        <v>567249960.00000012</v>
      </c>
      <c r="G507" s="341">
        <v>72835848.338399991</v>
      </c>
      <c r="H507" s="341">
        <v>32957597.088</v>
      </c>
      <c r="I507" s="341">
        <v>89150423.137199998</v>
      </c>
      <c r="J507" s="341">
        <v>7918059.8250000002</v>
      </c>
      <c r="L507" s="341">
        <v>0</v>
      </c>
      <c r="M507" s="341">
        <v>0</v>
      </c>
      <c r="N507" s="341">
        <v>0</v>
      </c>
      <c r="O507" s="341">
        <v>0</v>
      </c>
      <c r="P507" s="470">
        <v>0</v>
      </c>
    </row>
    <row r="508" spans="4:16" s="299" customFormat="1">
      <c r="D508" s="310" t="str">
        <v>Ethernet (20Mbps)</v>
      </c>
      <c r="E508" s="341">
        <v>226234215</v>
      </c>
      <c r="G508" s="341">
        <v>23612545.223999999</v>
      </c>
      <c r="H508" s="341">
        <v>10152574.991999999</v>
      </c>
      <c r="I508" s="341">
        <v>21765376.619999997</v>
      </c>
      <c r="J508" s="341">
        <v>11585559.600000001</v>
      </c>
      <c r="L508" s="341">
        <v>0</v>
      </c>
      <c r="M508" s="341">
        <v>0</v>
      </c>
      <c r="N508" s="341">
        <v>0</v>
      </c>
      <c r="O508" s="341">
        <v>0</v>
      </c>
      <c r="P508" s="470">
        <v>0</v>
      </c>
    </row>
    <row r="509" spans="4:16" s="299" customFormat="1">
      <c r="D509" s="310" t="str">
        <v>Ethernet (30Mbps)</v>
      </c>
      <c r="E509" s="341">
        <v>109921054.80000001</v>
      </c>
      <c r="G509" s="341">
        <v>10235128.391999999</v>
      </c>
      <c r="H509" s="341">
        <v>6842690.6760000009</v>
      </c>
      <c r="I509" s="341">
        <v>17192142.719999999</v>
      </c>
      <c r="J509" s="341">
        <v>0</v>
      </c>
      <c r="L509" s="341">
        <v>0</v>
      </c>
      <c r="M509" s="341">
        <v>0</v>
      </c>
      <c r="N509" s="341">
        <v>0</v>
      </c>
      <c r="O509" s="341">
        <v>0</v>
      </c>
      <c r="P509" s="470">
        <v>0</v>
      </c>
    </row>
    <row r="510" spans="4:16" s="299" customFormat="1">
      <c r="D510" s="310" t="str">
        <v>Ethernet (40Mbps)</v>
      </c>
      <c r="E510" s="341">
        <v>61685506.800000004</v>
      </c>
      <c r="G510" s="341">
        <v>11729634.984000001</v>
      </c>
      <c r="H510" s="341">
        <v>8231937.2136000004</v>
      </c>
      <c r="I510" s="341">
        <v>11171646.3168</v>
      </c>
      <c r="J510" s="341">
        <v>0</v>
      </c>
      <c r="L510" s="341">
        <v>0</v>
      </c>
      <c r="M510" s="341">
        <v>0</v>
      </c>
      <c r="N510" s="341">
        <v>0</v>
      </c>
      <c r="O510" s="341">
        <v>0</v>
      </c>
      <c r="P510" s="470">
        <v>0</v>
      </c>
    </row>
    <row r="511" spans="4:16" s="299" customFormat="1">
      <c r="D511" s="310" t="str">
        <v>Ethernet (50Mbps)</v>
      </c>
      <c r="E511" s="341">
        <v>137287180.80000001</v>
      </c>
      <c r="G511" s="341">
        <v>13582299.833999999</v>
      </c>
      <c r="H511" s="341">
        <v>7601755.3920000009</v>
      </c>
      <c r="I511" s="341">
        <v>103635296.09999999</v>
      </c>
      <c r="J511" s="341">
        <v>0</v>
      </c>
      <c r="L511" s="341">
        <v>0</v>
      </c>
      <c r="M511" s="341">
        <v>0</v>
      </c>
      <c r="N511" s="341">
        <v>0</v>
      </c>
      <c r="O511" s="341">
        <v>0</v>
      </c>
      <c r="P511" s="470">
        <v>0</v>
      </c>
    </row>
    <row r="512" spans="4:16" s="299" customFormat="1">
      <c r="D512" s="310" t="str">
        <v>Ethernet (60Mbps)</v>
      </c>
      <c r="E512" s="341">
        <v>22714675.199999999</v>
      </c>
      <c r="G512" s="341">
        <v>6020297.8001999995</v>
      </c>
      <c r="H512" s="341">
        <v>1133563.8528</v>
      </c>
      <c r="I512" s="341">
        <v>5999231.3471999997</v>
      </c>
      <c r="J512" s="341">
        <v>0</v>
      </c>
      <c r="L512" s="341">
        <v>0</v>
      </c>
      <c r="M512" s="341">
        <v>0</v>
      </c>
      <c r="N512" s="341">
        <v>0</v>
      </c>
      <c r="O512" s="341">
        <v>0</v>
      </c>
      <c r="P512" s="470">
        <v>0</v>
      </c>
    </row>
    <row r="513" spans="4:16" s="299" customFormat="1">
      <c r="D513" s="310" t="str">
        <v>Ethernet (70Mbps)</v>
      </c>
      <c r="E513" s="341">
        <v>16789106.879999999</v>
      </c>
      <c r="G513" s="341">
        <v>3143994.7769999998</v>
      </c>
      <c r="H513" s="341">
        <v>2286963.1260000002</v>
      </c>
      <c r="I513" s="341">
        <v>3329242.5599999996</v>
      </c>
      <c r="J513" s="341">
        <v>0</v>
      </c>
      <c r="L513" s="341">
        <v>0</v>
      </c>
      <c r="M513" s="341">
        <v>0</v>
      </c>
      <c r="N513" s="341">
        <v>0</v>
      </c>
      <c r="O513" s="341">
        <v>0</v>
      </c>
      <c r="P513" s="470">
        <v>0</v>
      </c>
    </row>
    <row r="514" spans="4:16" s="299" customFormat="1">
      <c r="D514" s="310" t="str">
        <v>Ethernet (80Mbps)</v>
      </c>
      <c r="E514" s="341">
        <v>28381129.920000002</v>
      </c>
      <c r="G514" s="341">
        <v>2015609.5728000002</v>
      </c>
      <c r="H514" s="341">
        <v>0</v>
      </c>
      <c r="I514" s="341">
        <v>0</v>
      </c>
      <c r="J514" s="341">
        <v>0</v>
      </c>
      <c r="L514" s="341">
        <v>0</v>
      </c>
      <c r="M514" s="341">
        <v>0</v>
      </c>
      <c r="N514" s="341">
        <v>0</v>
      </c>
      <c r="O514" s="341">
        <v>0</v>
      </c>
      <c r="P514" s="470">
        <v>0</v>
      </c>
    </row>
    <row r="515" spans="4:16" s="299" customFormat="1">
      <c r="D515" s="310" t="str">
        <v>Ethernet (90Mbps)</v>
      </c>
      <c r="E515" s="341">
        <v>2701724.16</v>
      </c>
      <c r="G515" s="341">
        <v>0</v>
      </c>
      <c r="H515" s="341">
        <v>0</v>
      </c>
      <c r="I515" s="341">
        <v>1796612.6879999998</v>
      </c>
      <c r="J515" s="341">
        <v>0</v>
      </c>
      <c r="L515" s="341">
        <v>0</v>
      </c>
      <c r="M515" s="341">
        <v>0</v>
      </c>
      <c r="N515" s="341">
        <v>0</v>
      </c>
      <c r="O515" s="341">
        <v>0</v>
      </c>
      <c r="P515" s="470">
        <v>0</v>
      </c>
    </row>
    <row r="516" spans="4:16" s="299" customFormat="1">
      <c r="D516" s="310" t="str">
        <v>GigaEthernet (100Mbps)</v>
      </c>
      <c r="E516" s="341">
        <v>158235948</v>
      </c>
      <c r="G516" s="341">
        <v>29511735.952500001</v>
      </c>
      <c r="H516" s="341">
        <v>8293263.9750000015</v>
      </c>
      <c r="I516" s="341">
        <v>68847527.879999995</v>
      </c>
      <c r="J516" s="341">
        <v>0</v>
      </c>
      <c r="L516" s="341">
        <v>0</v>
      </c>
      <c r="M516" s="341">
        <v>0</v>
      </c>
      <c r="N516" s="341">
        <v>0</v>
      </c>
      <c r="O516" s="341">
        <v>0</v>
      </c>
      <c r="P516" s="470">
        <v>0</v>
      </c>
    </row>
    <row r="517" spans="4:16" s="299" customFormat="1">
      <c r="D517" s="310" t="str">
        <v>GigaEthernet (150Mbps)</v>
      </c>
      <c r="E517" s="341">
        <v>72946143.599999994</v>
      </c>
      <c r="G517" s="341">
        <v>0</v>
      </c>
      <c r="H517" s="341">
        <v>15497378.531999998</v>
      </c>
      <c r="I517" s="341">
        <v>5066798.688000001</v>
      </c>
      <c r="J517" s="341">
        <v>0</v>
      </c>
      <c r="L517" s="341">
        <v>0</v>
      </c>
      <c r="M517" s="341">
        <v>0</v>
      </c>
      <c r="N517" s="341">
        <v>0</v>
      </c>
      <c r="O517" s="341">
        <v>0</v>
      </c>
      <c r="P517" s="470">
        <v>0</v>
      </c>
    </row>
    <row r="518" spans="4:16" s="299" customFormat="1">
      <c r="D518" s="310" t="str">
        <v>GigaEthernet (200Mbps)</v>
      </c>
      <c r="E518" s="341">
        <v>51847441.919999987</v>
      </c>
      <c r="G518" s="341">
        <v>4606603.38</v>
      </c>
      <c r="H518" s="341">
        <v>5177296.08</v>
      </c>
      <c r="I518" s="341">
        <v>16995902.112000003</v>
      </c>
      <c r="J518" s="341">
        <v>0</v>
      </c>
      <c r="L518" s="341">
        <v>0</v>
      </c>
      <c r="M518" s="341">
        <v>0</v>
      </c>
      <c r="N518" s="341">
        <v>0</v>
      </c>
      <c r="O518" s="341">
        <v>0</v>
      </c>
      <c r="P518" s="470">
        <v>0</v>
      </c>
    </row>
    <row r="519" spans="4:16" s="299" customFormat="1">
      <c r="D519" s="310" t="str">
        <v>GigaEthernet (250Mbps)</v>
      </c>
      <c r="E519" s="341">
        <v>8930995.1999999993</v>
      </c>
      <c r="G519" s="341">
        <v>0</v>
      </c>
      <c r="H519" s="341">
        <v>0</v>
      </c>
      <c r="I519" s="341">
        <v>0</v>
      </c>
      <c r="J519" s="341">
        <v>0</v>
      </c>
      <c r="L519" s="341">
        <v>0</v>
      </c>
      <c r="M519" s="341">
        <v>0</v>
      </c>
      <c r="N519" s="341">
        <v>0</v>
      </c>
      <c r="O519" s="341">
        <v>0</v>
      </c>
      <c r="P519" s="470">
        <v>0</v>
      </c>
    </row>
    <row r="520" spans="4:16" s="299" customFormat="1">
      <c r="D520" s="310" t="str">
        <v>GigaEthernet (300Mbps)</v>
      </c>
      <c r="E520" s="341">
        <v>16031587.800000001</v>
      </c>
      <c r="G520" s="341">
        <v>8655334.6950000003</v>
      </c>
      <c r="H520" s="341">
        <v>0</v>
      </c>
      <c r="I520" s="341">
        <v>0</v>
      </c>
      <c r="J520" s="341">
        <v>0</v>
      </c>
      <c r="L520" s="341">
        <v>0</v>
      </c>
      <c r="M520" s="341">
        <v>0</v>
      </c>
      <c r="N520" s="341">
        <v>0</v>
      </c>
      <c r="O520" s="341">
        <v>0</v>
      </c>
      <c r="P520" s="470">
        <v>0</v>
      </c>
    </row>
    <row r="521" spans="4:16" s="299" customFormat="1">
      <c r="D521" s="310" t="str">
        <v>GigaEthernet (350Mbps)</v>
      </c>
      <c r="E521" s="341">
        <v>0</v>
      </c>
      <c r="G521" s="341">
        <v>0</v>
      </c>
      <c r="H521" s="341">
        <v>0</v>
      </c>
      <c r="I521" s="341">
        <v>0</v>
      </c>
      <c r="J521" s="341">
        <v>0</v>
      </c>
      <c r="L521" s="341">
        <v>0</v>
      </c>
      <c r="M521" s="341">
        <v>0</v>
      </c>
      <c r="N521" s="341">
        <v>0</v>
      </c>
      <c r="O521" s="341">
        <v>0</v>
      </c>
      <c r="P521" s="470">
        <v>0</v>
      </c>
    </row>
    <row r="522" spans="4:16" s="299" customFormat="1">
      <c r="D522" s="310" t="str">
        <v>GigaEthernet (400Mbps)</v>
      </c>
      <c r="E522" s="341">
        <v>2516261.4</v>
      </c>
      <c r="G522" s="341">
        <v>0</v>
      </c>
      <c r="H522" s="341">
        <v>0</v>
      </c>
      <c r="I522" s="341">
        <v>21668883.911999997</v>
      </c>
      <c r="J522" s="341">
        <v>0</v>
      </c>
      <c r="L522" s="341">
        <v>0</v>
      </c>
      <c r="M522" s="341">
        <v>0</v>
      </c>
      <c r="N522" s="341">
        <v>0</v>
      </c>
      <c r="O522" s="341">
        <v>0</v>
      </c>
      <c r="P522" s="470">
        <v>0</v>
      </c>
    </row>
    <row r="523" spans="4:16" s="299" customFormat="1">
      <c r="D523" s="310" t="str">
        <v>GigaEthernet (450Mbps)</v>
      </c>
      <c r="E523" s="341">
        <v>0</v>
      </c>
      <c r="G523" s="341">
        <v>0</v>
      </c>
      <c r="H523" s="341">
        <v>0</v>
      </c>
      <c r="I523" s="341">
        <v>0</v>
      </c>
      <c r="J523" s="341">
        <v>0</v>
      </c>
      <c r="L523" s="341">
        <v>0</v>
      </c>
      <c r="M523" s="341">
        <v>0</v>
      </c>
      <c r="N523" s="341">
        <v>0</v>
      </c>
      <c r="O523" s="341">
        <v>0</v>
      </c>
      <c r="P523" s="470">
        <v>0</v>
      </c>
    </row>
    <row r="524" spans="4:16" s="299" customFormat="1">
      <c r="D524" s="310" t="str">
        <v>GigaEthernet (500Mbps)</v>
      </c>
      <c r="E524" s="341">
        <v>14851578</v>
      </c>
      <c r="G524" s="341">
        <v>0</v>
      </c>
      <c r="H524" s="341">
        <v>0</v>
      </c>
      <c r="I524" s="341">
        <v>0</v>
      </c>
      <c r="J524" s="341">
        <v>0</v>
      </c>
      <c r="L524" s="341">
        <v>0</v>
      </c>
      <c r="M524" s="341">
        <v>0</v>
      </c>
      <c r="N524" s="341">
        <v>0</v>
      </c>
      <c r="O524" s="341">
        <v>0</v>
      </c>
      <c r="P524" s="470">
        <v>0</v>
      </c>
    </row>
    <row r="525" spans="4:16" s="299" customFormat="1">
      <c r="D525" s="310" t="str">
        <v>GigaEthernet (550Mbps)</v>
      </c>
      <c r="E525" s="341">
        <v>0</v>
      </c>
      <c r="G525" s="341">
        <v>0</v>
      </c>
      <c r="H525" s="341">
        <v>0</v>
      </c>
      <c r="I525" s="341">
        <v>0</v>
      </c>
      <c r="J525" s="341">
        <v>0</v>
      </c>
      <c r="L525" s="341">
        <v>0</v>
      </c>
      <c r="M525" s="341">
        <v>0</v>
      </c>
      <c r="N525" s="341">
        <v>0</v>
      </c>
      <c r="O525" s="341">
        <v>0</v>
      </c>
      <c r="P525" s="470">
        <v>0</v>
      </c>
    </row>
    <row r="526" spans="4:16" s="299" customFormat="1">
      <c r="D526" s="310" t="str">
        <v>GigaEthernet (600Mbps)</v>
      </c>
      <c r="E526" s="341">
        <v>0</v>
      </c>
      <c r="G526" s="341">
        <v>0</v>
      </c>
      <c r="H526" s="341">
        <v>0</v>
      </c>
      <c r="I526" s="341">
        <v>0</v>
      </c>
      <c r="J526" s="341">
        <v>0</v>
      </c>
      <c r="L526" s="341">
        <v>0</v>
      </c>
      <c r="M526" s="341">
        <v>0</v>
      </c>
      <c r="N526" s="341">
        <v>0</v>
      </c>
      <c r="O526" s="341">
        <v>0</v>
      </c>
      <c r="P526" s="470">
        <v>0</v>
      </c>
    </row>
    <row r="527" spans="4:16" s="299" customFormat="1">
      <c r="D527" s="310" t="str">
        <v>GigaEthernet (750Mbps)</v>
      </c>
      <c r="E527" s="341">
        <v>0</v>
      </c>
      <c r="G527" s="341">
        <v>0</v>
      </c>
      <c r="H527" s="341">
        <v>0</v>
      </c>
      <c r="I527" s="341">
        <v>26605108.303199999</v>
      </c>
      <c r="J527" s="341">
        <v>0</v>
      </c>
      <c r="L527" s="341">
        <v>0</v>
      </c>
      <c r="M527" s="341">
        <v>0</v>
      </c>
      <c r="N527" s="341">
        <v>0</v>
      </c>
      <c r="O527" s="341">
        <v>0</v>
      </c>
      <c r="P527" s="470">
        <v>0</v>
      </c>
    </row>
    <row r="528" spans="4:16" s="299" customFormat="1">
      <c r="D528" s="310" t="str">
        <v>GigaEthernet (1 Gbps)</v>
      </c>
      <c r="E528" s="341">
        <v>187844647.31999999</v>
      </c>
      <c r="G528" s="341">
        <v>0</v>
      </c>
      <c r="H528" s="341">
        <v>0</v>
      </c>
      <c r="I528" s="341">
        <v>16409532.42</v>
      </c>
      <c r="J528" s="341">
        <v>0</v>
      </c>
      <c r="L528" s="341">
        <v>0</v>
      </c>
      <c r="M528" s="341">
        <v>0</v>
      </c>
      <c r="N528" s="341">
        <v>0</v>
      </c>
      <c r="O528" s="341">
        <v>0</v>
      </c>
      <c r="P528" s="470">
        <v>0</v>
      </c>
    </row>
    <row r="529" spans="2:31">
      <c r="E529" s="318">
        <f>SUM(E491:E528)</f>
        <v>8543053486.9548006</v>
      </c>
      <c r="F529" s="299"/>
      <c r="G529" s="318">
        <f t="shared" ref="G529" si="97">SUM(G491:G528)</f>
        <v>3257838167.382463</v>
      </c>
      <c r="H529" s="318">
        <f t="shared" ref="H529" si="98">SUM(H491:H528)</f>
        <v>2099886348.6592023</v>
      </c>
      <c r="I529" s="318">
        <f t="shared" ref="I529" si="99">SUM(I491:I528)</f>
        <v>2994995396.0287919</v>
      </c>
      <c r="J529" s="318">
        <f t="shared" ref="J529" si="100">SUM(J491:J528)</f>
        <v>87348336.017400026</v>
      </c>
      <c r="K529" s="299"/>
      <c r="L529" s="318">
        <f t="shared" ref="L529" si="101">SUM(L491:L528)</f>
        <v>9420445.7500107009</v>
      </c>
      <c r="M529" s="318">
        <f t="shared" ref="M529" si="102">SUM(M491:M528)</f>
        <v>51624250.8004812</v>
      </c>
      <c r="N529" s="318">
        <f t="shared" ref="N529" si="103">SUM(N491:N528)</f>
        <v>86254282.400971502</v>
      </c>
      <c r="O529" s="318">
        <f t="shared" ref="O529:P529" si="104">SUM(O491:O528)</f>
        <v>226982275.68009001</v>
      </c>
      <c r="P529" s="318">
        <f t="shared" si="104"/>
        <v>26757054.892200001</v>
      </c>
    </row>
    <row r="531" spans="2:31">
      <c r="B531" s="97"/>
    </row>
    <row r="532" spans="2:31" s="227" customFormat="1" ht="24">
      <c r="B532" s="229"/>
      <c r="D532" s="243" t="s">
        <v>10</v>
      </c>
      <c r="E532" s="338" t="str">
        <f t="array" ref="E532:P533">Enlaces.decidados.tipos.categorías</f>
        <v>Local</v>
      </c>
      <c r="F532" s="338" t="str">
        <v>Nacional</v>
      </c>
      <c r="G532" s="299" t="str">
        <v>-</v>
      </c>
      <c r="H532" s="299" t="str">
        <v>-</v>
      </c>
      <c r="I532" s="299" t="str">
        <v>-</v>
      </c>
      <c r="J532" s="299" t="str">
        <v>-</v>
      </c>
      <c r="K532" s="338" t="str">
        <v>Internacional</v>
      </c>
      <c r="L532" s="299" t="str">
        <v>-</v>
      </c>
      <c r="M532" s="299" t="str">
        <v>-</v>
      </c>
      <c r="N532" s="299" t="str">
        <v>-</v>
      </c>
      <c r="O532" s="299" t="str">
        <v>-</v>
      </c>
      <c r="P532" s="338" t="str">
        <v>Cruce fronterizo</v>
      </c>
      <c r="AC532" s="299"/>
      <c r="AD532" s="299"/>
      <c r="AE532" s="299"/>
    </row>
    <row r="533" spans="2:31" s="227" customFormat="1" ht="24">
      <c r="B533" s="229"/>
      <c r="D533" s="119" t="s">
        <v>10</v>
      </c>
      <c r="E533" s="299" t="str">
        <v>-</v>
      </c>
      <c r="F533" s="299" t="str">
        <v>-</v>
      </c>
      <c r="G533" s="338" t="str">
        <v>De los cuales 0-81 km</v>
      </c>
      <c r="H533" s="338" t="str">
        <v>De los cuales 81-161 km</v>
      </c>
      <c r="I533" s="338" t="str">
        <v>De los cuales 161-805 km</v>
      </c>
      <c r="J533" s="338" t="str">
        <v>De los cuales  &gt; 805 km</v>
      </c>
      <c r="K533" s="299" t="str">
        <v>-</v>
      </c>
      <c r="L533" s="338" t="str">
        <v>De los cuales 0-81 km</v>
      </c>
      <c r="M533" s="338" t="str">
        <v>De los cuales  81-161 km</v>
      </c>
      <c r="N533" s="338" t="str">
        <v>De los cuales 161-805 km</v>
      </c>
      <c r="O533" s="338" t="str">
        <v>De los cuales  &gt; 805 km</v>
      </c>
      <c r="P533" s="299" t="str">
        <v>-</v>
      </c>
      <c r="AC533" s="299"/>
      <c r="AD533" s="299"/>
      <c r="AE533" s="299"/>
    </row>
    <row r="534" spans="2:31" ht="24">
      <c r="E534" s="338" t="str">
        <f t="array" ref="E534:P535">LL.type.categories</f>
        <v>Local</v>
      </c>
      <c r="F534" s="338" t="str">
        <v>National</v>
      </c>
      <c r="G534" s="299" t="str">
        <v>-</v>
      </c>
      <c r="H534" s="299" t="str">
        <v>-</v>
      </c>
      <c r="I534" s="299" t="str">
        <v>-</v>
      </c>
      <c r="J534" s="299" t="str">
        <v>-</v>
      </c>
      <c r="K534" s="338" t="str">
        <v>International</v>
      </c>
      <c r="L534" s="299" t="str">
        <v>-</v>
      </c>
      <c r="M534" s="299" t="str">
        <v>-</v>
      </c>
      <c r="N534" s="299" t="str">
        <v>-</v>
      </c>
      <c r="O534" s="299" t="str">
        <v>-</v>
      </c>
      <c r="P534" s="338" t="str">
        <v>Border crossing</v>
      </c>
    </row>
    <row r="535" spans="2:31" ht="24">
      <c r="E535" s="299" t="str">
        <v>-</v>
      </c>
      <c r="F535" s="299" t="str">
        <v>-</v>
      </c>
      <c r="G535" s="338" t="str">
        <v>Of which 0-81 Km</v>
      </c>
      <c r="H535" s="338" t="str">
        <v>Of which 81-161 Km</v>
      </c>
      <c r="I535" s="338" t="str">
        <v>Of which 161-805 Km</v>
      </c>
      <c r="J535" s="338" t="str">
        <v>Of which &gt; 805 Km</v>
      </c>
      <c r="K535" s="299" t="str">
        <v>-</v>
      </c>
      <c r="L535" s="338" t="str">
        <v>Of which 0-81 Km</v>
      </c>
      <c r="M535" s="338" t="str">
        <v>Of which 81-161 Km</v>
      </c>
      <c r="N535" s="338" t="str">
        <v>Of which 161-805 Km</v>
      </c>
      <c r="O535" s="338" t="str">
        <v>Of which &gt; 805 Km</v>
      </c>
      <c r="P535" s="299" t="str">
        <v>-</v>
      </c>
    </row>
    <row r="536" spans="2:31">
      <c r="D536" s="310" t="str">
        <f t="array" ref="D536:D573">LL.list</f>
        <v>64 kbps</v>
      </c>
      <c r="E536" s="341">
        <f t="array" ref="E536:P573">E446:P483+E491:P528</f>
        <v>316301703.53400004</v>
      </c>
      <c r="F536" s="299">
        <v>0</v>
      </c>
      <c r="G536" s="341">
        <v>133736825.99699999</v>
      </c>
      <c r="H536" s="341">
        <v>61650099.379200011</v>
      </c>
      <c r="I536" s="341">
        <v>34459048.443000004</v>
      </c>
      <c r="J536" s="341">
        <v>5083063.4184000008</v>
      </c>
      <c r="K536" s="299">
        <v>0</v>
      </c>
      <c r="L536" s="341">
        <v>83263.842376750006</v>
      </c>
      <c r="M536" s="341">
        <v>367265.64318700001</v>
      </c>
      <c r="N536" s="341">
        <v>540069.66893375001</v>
      </c>
      <c r="O536" s="341">
        <v>1317835.5708174999</v>
      </c>
      <c r="P536" s="470">
        <v>589680.01695999992</v>
      </c>
    </row>
    <row r="537" spans="2:31">
      <c r="D537" s="310" t="str">
        <v>128 kbps</v>
      </c>
      <c r="E537" s="341">
        <v>296439889.31999999</v>
      </c>
      <c r="F537" s="299">
        <v>0</v>
      </c>
      <c r="G537" s="341">
        <v>97347439.871999994</v>
      </c>
      <c r="H537" s="341">
        <v>82303143.611330003</v>
      </c>
      <c r="I537" s="341">
        <v>68323439.123239994</v>
      </c>
      <c r="J537" s="341">
        <v>4032803.6979199997</v>
      </c>
      <c r="K537" s="299">
        <v>0</v>
      </c>
      <c r="L537" s="341">
        <v>8635.3546499999993</v>
      </c>
      <c r="M537" s="341">
        <v>36704.690999999999</v>
      </c>
      <c r="N537" s="341">
        <v>59423.827499999999</v>
      </c>
      <c r="O537" s="341">
        <v>182627.31150000001</v>
      </c>
      <c r="P537" s="470">
        <v>193088.39243999997</v>
      </c>
    </row>
    <row r="538" spans="2:31">
      <c r="D538" s="310" t="str">
        <v>192 kbps</v>
      </c>
      <c r="E538" s="341">
        <v>100056587.7528</v>
      </c>
      <c r="F538" s="299">
        <v>0</v>
      </c>
      <c r="G538" s="341">
        <v>44746537.175999999</v>
      </c>
      <c r="H538" s="341">
        <v>24832897.1941</v>
      </c>
      <c r="I538" s="341">
        <v>32517603.352299992</v>
      </c>
      <c r="J538" s="341">
        <v>8907603.7104000021</v>
      </c>
      <c r="K538" s="299">
        <v>0</v>
      </c>
      <c r="L538" s="341">
        <v>0</v>
      </c>
      <c r="M538" s="341">
        <v>0</v>
      </c>
      <c r="N538" s="341">
        <v>0</v>
      </c>
      <c r="O538" s="341">
        <v>0</v>
      </c>
      <c r="P538" s="470">
        <v>0</v>
      </c>
    </row>
    <row r="539" spans="2:31">
      <c r="D539" s="310" t="str">
        <v>256 kbps</v>
      </c>
      <c r="E539" s="341">
        <v>309302135.65439999</v>
      </c>
      <c r="F539" s="299">
        <v>0</v>
      </c>
      <c r="G539" s="341">
        <v>250009460.28571999</v>
      </c>
      <c r="H539" s="341">
        <v>120502661.32169998</v>
      </c>
      <c r="I539" s="341">
        <v>106299741.92480001</v>
      </c>
      <c r="J539" s="341">
        <v>5432149.0080000004</v>
      </c>
      <c r="K539" s="299">
        <v>0</v>
      </c>
      <c r="L539" s="341">
        <v>51268.794480000004</v>
      </c>
      <c r="M539" s="341">
        <v>281032.32527999999</v>
      </c>
      <c r="N539" s="341">
        <v>388671.66360000009</v>
      </c>
      <c r="O539" s="341">
        <v>1215336.0528000002</v>
      </c>
      <c r="P539" s="470">
        <v>446239.353</v>
      </c>
    </row>
    <row r="540" spans="2:31">
      <c r="D540" s="310" t="str">
        <v>384 kbps</v>
      </c>
      <c r="E540" s="341">
        <v>135156670.9632</v>
      </c>
      <c r="F540" s="299">
        <v>0</v>
      </c>
      <c r="G540" s="341">
        <v>150786775.94400001</v>
      </c>
      <c r="H540" s="341">
        <v>97210414.792080015</v>
      </c>
      <c r="I540" s="341">
        <v>69765723.359999999</v>
      </c>
      <c r="J540" s="341">
        <v>467357.95079999999</v>
      </c>
      <c r="K540" s="299">
        <v>0</v>
      </c>
      <c r="L540" s="341">
        <v>67159.032930000016</v>
      </c>
      <c r="M540" s="341">
        <v>411822.86112000007</v>
      </c>
      <c r="N540" s="341">
        <v>677816.08784999989</v>
      </c>
      <c r="O540" s="341">
        <v>1631396.0519999999</v>
      </c>
      <c r="P540" s="470">
        <v>0</v>
      </c>
    </row>
    <row r="541" spans="2:31">
      <c r="D541" s="310" t="str">
        <v>512 kbps</v>
      </c>
      <c r="E541" s="341">
        <v>229245339.24000001</v>
      </c>
      <c r="F541" s="299">
        <v>0</v>
      </c>
      <c r="G541" s="341">
        <v>176785847.28702</v>
      </c>
      <c r="H541" s="341">
        <v>155902545.08159998</v>
      </c>
      <c r="I541" s="341">
        <v>128644972.08420001</v>
      </c>
      <c r="J541" s="341">
        <v>969857.50679999986</v>
      </c>
      <c r="K541" s="299">
        <v>0</v>
      </c>
      <c r="L541" s="341">
        <v>99597.467880000011</v>
      </c>
      <c r="M541" s="341">
        <v>757876.90032000025</v>
      </c>
      <c r="N541" s="341">
        <v>1242297.7775999999</v>
      </c>
      <c r="O541" s="341">
        <v>4160059.3619999997</v>
      </c>
      <c r="P541" s="470">
        <v>238659.50159999999</v>
      </c>
    </row>
    <row r="542" spans="2:31">
      <c r="D542" s="310" t="str">
        <v>768 kbps</v>
      </c>
      <c r="E542" s="341">
        <v>62013735.673199996</v>
      </c>
      <c r="F542" s="299">
        <v>0</v>
      </c>
      <c r="G542" s="341">
        <v>45378768.329999998</v>
      </c>
      <c r="H542" s="341">
        <v>32900094.259200003</v>
      </c>
      <c r="I542" s="341">
        <v>63440714.361600004</v>
      </c>
      <c r="J542" s="341">
        <v>1120268.2500000002</v>
      </c>
      <c r="K542" s="299">
        <v>0</v>
      </c>
      <c r="L542" s="341">
        <v>13262.48415</v>
      </c>
      <c r="M542" s="341">
        <v>110137.74504000002</v>
      </c>
      <c r="N542" s="341">
        <v>215231.91240000003</v>
      </c>
      <c r="O542" s="341">
        <v>569878.04099999997</v>
      </c>
      <c r="P542" s="470">
        <v>55114.873200000002</v>
      </c>
    </row>
    <row r="543" spans="2:31">
      <c r="D543" s="310" t="str">
        <v>1024 kbps</v>
      </c>
      <c r="E543" s="341">
        <v>104510940.36480001</v>
      </c>
      <c r="F543" s="299">
        <v>0</v>
      </c>
      <c r="G543" s="341">
        <v>36389418.235799998</v>
      </c>
      <c r="H543" s="341">
        <v>36244399.791600004</v>
      </c>
      <c r="I543" s="341">
        <v>31034028.210360002</v>
      </c>
      <c r="J543" s="341">
        <v>1447088.28</v>
      </c>
      <c r="K543" s="299">
        <v>0</v>
      </c>
      <c r="L543" s="341">
        <v>130276.14755899999</v>
      </c>
      <c r="M543" s="341">
        <v>937081.04063599999</v>
      </c>
      <c r="N543" s="341">
        <v>1607084.222395</v>
      </c>
      <c r="O543" s="341">
        <v>4374421.1783900009</v>
      </c>
      <c r="P543" s="470">
        <v>0</v>
      </c>
    </row>
    <row r="544" spans="2:31">
      <c r="D544" s="310" t="str">
        <v>E1 (2.04 Mbps)</v>
      </c>
      <c r="E544" s="341">
        <v>4278489665.8620005</v>
      </c>
      <c r="F544" s="299">
        <v>0</v>
      </c>
      <c r="G544" s="341">
        <v>2051683083.3150001</v>
      </c>
      <c r="H544" s="341">
        <v>1346706892.8600001</v>
      </c>
      <c r="I544" s="341">
        <v>1842625474.1795998</v>
      </c>
      <c r="J544" s="341">
        <v>33111599.121600006</v>
      </c>
      <c r="K544" s="299">
        <v>0</v>
      </c>
      <c r="L544" s="341">
        <v>2229134.7560700001</v>
      </c>
      <c r="M544" s="341">
        <v>19361130.199440002</v>
      </c>
      <c r="N544" s="341">
        <v>38850259.093799993</v>
      </c>
      <c r="O544" s="341">
        <v>96311303.429400012</v>
      </c>
      <c r="P544" s="470">
        <v>25292750.512800001</v>
      </c>
    </row>
    <row r="545" spans="4:16">
      <c r="D545" s="310" t="str">
        <v>E2 *</v>
      </c>
      <c r="E545" s="341">
        <v>0</v>
      </c>
      <c r="F545" s="299">
        <v>0</v>
      </c>
      <c r="G545" s="341">
        <v>0</v>
      </c>
      <c r="H545" s="341">
        <v>0</v>
      </c>
      <c r="I545" s="341">
        <v>0</v>
      </c>
      <c r="J545" s="341">
        <v>0</v>
      </c>
      <c r="K545" s="299">
        <v>0</v>
      </c>
      <c r="L545" s="341">
        <v>0</v>
      </c>
      <c r="M545" s="341">
        <v>0</v>
      </c>
      <c r="N545" s="341">
        <v>0</v>
      </c>
      <c r="O545" s="341">
        <v>0</v>
      </c>
      <c r="P545" s="470">
        <v>0</v>
      </c>
    </row>
    <row r="546" spans="4:16" s="299" customFormat="1">
      <c r="D546" s="310" t="str">
        <v>E3 (34 Mbps)</v>
      </c>
      <c r="E546" s="341">
        <v>392842052.46000004</v>
      </c>
      <c r="F546" s="299">
        <v>0</v>
      </c>
      <c r="G546" s="341">
        <v>79090765.507817999</v>
      </c>
      <c r="H546" s="341">
        <v>46586728.654883996</v>
      </c>
      <c r="I546" s="341">
        <v>46048709.786975987</v>
      </c>
      <c r="J546" s="341">
        <v>7495011.3550500013</v>
      </c>
      <c r="K546" s="299">
        <v>0</v>
      </c>
      <c r="L546" s="341">
        <v>0</v>
      </c>
      <c r="M546" s="341">
        <v>0</v>
      </c>
      <c r="N546" s="341">
        <v>0</v>
      </c>
      <c r="O546" s="341">
        <v>0</v>
      </c>
      <c r="P546" s="470">
        <v>0</v>
      </c>
    </row>
    <row r="547" spans="4:16" s="299" customFormat="1">
      <c r="D547" s="310" t="str">
        <v>STM-1 (155 Mbps)</v>
      </c>
      <c r="E547" s="341">
        <v>1310229034.1924</v>
      </c>
      <c r="F547" s="299">
        <v>0</v>
      </c>
      <c r="G547" s="341">
        <v>33691822.208094001</v>
      </c>
      <c r="H547" s="341">
        <v>44613775.461017996</v>
      </c>
      <c r="I547" s="341">
        <v>193539714.67246601</v>
      </c>
      <c r="J547" s="341">
        <v>0</v>
      </c>
      <c r="K547" s="299">
        <v>0</v>
      </c>
      <c r="L547" s="341">
        <v>838890.88240319991</v>
      </c>
      <c r="M547" s="341">
        <v>3733352.6493311995</v>
      </c>
      <c r="N547" s="341">
        <v>4452358.0902840002</v>
      </c>
      <c r="O547" s="341">
        <v>15368833.322865</v>
      </c>
      <c r="P547" s="470">
        <v>0</v>
      </c>
    </row>
    <row r="548" spans="4:16" s="299" customFormat="1">
      <c r="D548" s="310" t="str">
        <v>STM-4 (622.08 Mbps)</v>
      </c>
      <c r="E548" s="341">
        <v>41322446.71487999</v>
      </c>
      <c r="F548" s="299">
        <v>0</v>
      </c>
      <c r="G548" s="341">
        <v>53722527.161939994</v>
      </c>
      <c r="H548" s="341">
        <v>0</v>
      </c>
      <c r="I548" s="341">
        <v>0</v>
      </c>
      <c r="J548" s="341">
        <v>0</v>
      </c>
      <c r="K548" s="299">
        <v>0</v>
      </c>
      <c r="L548" s="341">
        <v>676596.89947950002</v>
      </c>
      <c r="M548" s="341">
        <v>2922679.7724779998</v>
      </c>
      <c r="N548" s="341">
        <v>5343594.1305975011</v>
      </c>
      <c r="O548" s="341">
        <v>11161408.452795003</v>
      </c>
      <c r="P548" s="470">
        <v>0</v>
      </c>
    </row>
    <row r="549" spans="4:16" s="299" customFormat="1">
      <c r="D549" s="310" t="str">
        <v>STM-16 (2488.32Mbps)</v>
      </c>
      <c r="E549" s="341">
        <v>29034240.210000008</v>
      </c>
      <c r="F549" s="299">
        <v>0</v>
      </c>
      <c r="G549" s="341">
        <v>0</v>
      </c>
      <c r="H549" s="341">
        <v>0</v>
      </c>
      <c r="I549" s="341">
        <v>0</v>
      </c>
      <c r="J549" s="341">
        <v>0</v>
      </c>
      <c r="K549" s="299">
        <v>0</v>
      </c>
      <c r="L549" s="341">
        <v>5802617.2408200009</v>
      </c>
      <c r="M549" s="341">
        <v>25026195.583800003</v>
      </c>
      <c r="N549" s="341">
        <v>35778761.689949997</v>
      </c>
      <c r="O549" s="341">
        <v>96491748.434399977</v>
      </c>
      <c r="P549" s="470">
        <v>0</v>
      </c>
    </row>
    <row r="550" spans="4:16" s="299" customFormat="1">
      <c r="D550" s="310" t="str">
        <v>STM-64 (9953.28Mbps)</v>
      </c>
      <c r="E550" s="341">
        <v>0</v>
      </c>
      <c r="F550" s="299">
        <v>0</v>
      </c>
      <c r="G550" s="341">
        <v>0</v>
      </c>
      <c r="H550" s="341">
        <v>0</v>
      </c>
      <c r="I550" s="341">
        <v>0</v>
      </c>
      <c r="J550" s="341">
        <v>0</v>
      </c>
      <c r="K550" s="299">
        <v>0</v>
      </c>
      <c r="L550" s="341">
        <v>0</v>
      </c>
      <c r="M550" s="341">
        <v>0</v>
      </c>
      <c r="N550" s="341">
        <v>0</v>
      </c>
      <c r="O550" s="341">
        <v>0</v>
      </c>
      <c r="P550" s="470">
        <v>0</v>
      </c>
    </row>
    <row r="551" spans="4:16" s="299" customFormat="1">
      <c r="D551" s="310" t="str">
        <v>STM-256 (39813.12 Mbps)*</v>
      </c>
      <c r="E551" s="341">
        <v>0</v>
      </c>
      <c r="F551" s="299">
        <v>0</v>
      </c>
      <c r="G551" s="341">
        <v>0</v>
      </c>
      <c r="H551" s="341">
        <v>0</v>
      </c>
      <c r="I551" s="341">
        <v>0</v>
      </c>
      <c r="J551" s="341">
        <v>0</v>
      </c>
      <c r="K551" s="299">
        <v>0</v>
      </c>
      <c r="L551" s="341">
        <v>0</v>
      </c>
      <c r="M551" s="341">
        <v>0</v>
      </c>
      <c r="N551" s="341">
        <v>0</v>
      </c>
      <c r="O551" s="341">
        <v>0</v>
      </c>
      <c r="P551" s="470">
        <v>0</v>
      </c>
    </row>
    <row r="552" spans="4:16" s="299" customFormat="1">
      <c r="D552" s="310" t="str">
        <v>Ethernet (10Mbps)</v>
      </c>
      <c r="E552" s="341">
        <v>924609060.00000024</v>
      </c>
      <c r="F552" s="299">
        <v>0</v>
      </c>
      <c r="G552" s="341">
        <v>130616028.33839998</v>
      </c>
      <c r="H552" s="341">
        <v>33208157.088</v>
      </c>
      <c r="I552" s="341">
        <v>120258034.3872</v>
      </c>
      <c r="J552" s="341">
        <v>11001122.325000001</v>
      </c>
      <c r="K552" s="299">
        <v>0</v>
      </c>
      <c r="L552" s="341">
        <v>0</v>
      </c>
      <c r="M552" s="341">
        <v>0</v>
      </c>
      <c r="N552" s="341">
        <v>0</v>
      </c>
      <c r="O552" s="341">
        <v>0</v>
      </c>
      <c r="P552" s="470">
        <v>0</v>
      </c>
    </row>
    <row r="553" spans="4:16" s="299" customFormat="1">
      <c r="D553" s="310" t="str">
        <v>Ethernet (20Mbps)</v>
      </c>
      <c r="E553" s="341">
        <v>427634865</v>
      </c>
      <c r="F553" s="299">
        <v>0</v>
      </c>
      <c r="G553" s="341">
        <v>45116207.723999999</v>
      </c>
      <c r="H553" s="341">
        <v>19762510.616999999</v>
      </c>
      <c r="I553" s="341">
        <v>27749117.244999997</v>
      </c>
      <c r="J553" s="341">
        <v>11735662.725000001</v>
      </c>
      <c r="K553" s="299">
        <v>0</v>
      </c>
      <c r="L553" s="341">
        <v>0</v>
      </c>
      <c r="M553" s="341">
        <v>0</v>
      </c>
      <c r="N553" s="341">
        <v>0</v>
      </c>
      <c r="O553" s="341">
        <v>0</v>
      </c>
      <c r="P553" s="470">
        <v>0</v>
      </c>
    </row>
    <row r="554" spans="4:16" s="299" customFormat="1">
      <c r="D554" s="310" t="str">
        <v>Ethernet (30Mbps)</v>
      </c>
      <c r="E554" s="341">
        <v>142526004.80000001</v>
      </c>
      <c r="F554" s="299">
        <v>0</v>
      </c>
      <c r="G554" s="341">
        <v>13771783.391999997</v>
      </c>
      <c r="H554" s="341">
        <v>7289653.1760000009</v>
      </c>
      <c r="I554" s="341">
        <v>17973042.719999999</v>
      </c>
      <c r="J554" s="341">
        <v>0</v>
      </c>
      <c r="K554" s="299">
        <v>0</v>
      </c>
      <c r="L554" s="341">
        <v>0</v>
      </c>
      <c r="M554" s="341">
        <v>0</v>
      </c>
      <c r="N554" s="341">
        <v>0</v>
      </c>
      <c r="O554" s="341">
        <v>0</v>
      </c>
      <c r="P554" s="470">
        <v>0</v>
      </c>
    </row>
    <row r="555" spans="4:16" s="299" customFormat="1">
      <c r="D555" s="310" t="str">
        <v>Ethernet (40Mbps)</v>
      </c>
      <c r="E555" s="341">
        <v>109118161.80000001</v>
      </c>
      <c r="F555" s="299">
        <v>0</v>
      </c>
      <c r="G555" s="341">
        <v>20931959.984000001</v>
      </c>
      <c r="H555" s="341">
        <v>9600005.9635999985</v>
      </c>
      <c r="I555" s="341">
        <v>12576171.3168</v>
      </c>
      <c r="J555" s="341">
        <v>0</v>
      </c>
      <c r="K555" s="299">
        <v>0</v>
      </c>
      <c r="L555" s="341">
        <v>0</v>
      </c>
      <c r="M555" s="341">
        <v>0</v>
      </c>
      <c r="N555" s="341">
        <v>0</v>
      </c>
      <c r="O555" s="341">
        <v>0</v>
      </c>
      <c r="P555" s="470">
        <v>0</v>
      </c>
    </row>
    <row r="556" spans="4:16" s="299" customFormat="1">
      <c r="D556" s="310" t="str">
        <v>Ethernet (50Mbps)</v>
      </c>
      <c r="E556" s="341">
        <v>179147180.80000001</v>
      </c>
      <c r="F556" s="299">
        <v>0</v>
      </c>
      <c r="G556" s="341">
        <v>18823086.083999999</v>
      </c>
      <c r="H556" s="341">
        <v>9489025.3920000009</v>
      </c>
      <c r="I556" s="341">
        <v>114867487.34999999</v>
      </c>
      <c r="J556" s="341">
        <v>0</v>
      </c>
      <c r="K556" s="299">
        <v>0</v>
      </c>
      <c r="L556" s="341">
        <v>0</v>
      </c>
      <c r="M556" s="341">
        <v>0</v>
      </c>
      <c r="N556" s="341">
        <v>0</v>
      </c>
      <c r="O556" s="341">
        <v>0</v>
      </c>
      <c r="P556" s="470">
        <v>0</v>
      </c>
    </row>
    <row r="557" spans="4:16" s="299" customFormat="1">
      <c r="D557" s="310" t="str">
        <v>Ethernet (60Mbps)</v>
      </c>
      <c r="E557" s="341">
        <v>31425715.199999999</v>
      </c>
      <c r="F557" s="299">
        <v>0</v>
      </c>
      <c r="G557" s="341">
        <v>7305160.3001999995</v>
      </c>
      <c r="H557" s="341">
        <v>1133563.8528</v>
      </c>
      <c r="I557" s="341">
        <v>6262481.3471999997</v>
      </c>
      <c r="J557" s="341">
        <v>0</v>
      </c>
      <c r="K557" s="299">
        <v>0</v>
      </c>
      <c r="L557" s="341">
        <v>0</v>
      </c>
      <c r="M557" s="341">
        <v>0</v>
      </c>
      <c r="N557" s="341">
        <v>0</v>
      </c>
      <c r="O557" s="341">
        <v>0</v>
      </c>
      <c r="P557" s="470">
        <v>0</v>
      </c>
    </row>
    <row r="558" spans="4:16" s="299" customFormat="1">
      <c r="D558" s="310" t="str">
        <v>Ethernet (70Mbps)</v>
      </c>
      <c r="E558" s="341">
        <v>20254856.879999999</v>
      </c>
      <c r="F558" s="299">
        <v>0</v>
      </c>
      <c r="G558" s="341">
        <v>3524904.1519999998</v>
      </c>
      <c r="H558" s="341">
        <v>2364925.6260000002</v>
      </c>
      <c r="I558" s="341">
        <v>4464992.5599999996</v>
      </c>
      <c r="J558" s="341">
        <v>0</v>
      </c>
      <c r="K558" s="299">
        <v>0</v>
      </c>
      <c r="L558" s="341">
        <v>0</v>
      </c>
      <c r="M558" s="341">
        <v>0</v>
      </c>
      <c r="N558" s="341">
        <v>0</v>
      </c>
      <c r="O558" s="341">
        <v>0</v>
      </c>
      <c r="P558" s="470">
        <v>0</v>
      </c>
    </row>
    <row r="559" spans="4:16" s="299" customFormat="1">
      <c r="D559" s="310" t="str">
        <v>Ethernet (80Mbps)</v>
      </c>
      <c r="E559" s="341">
        <v>41964634.920000002</v>
      </c>
      <c r="F559" s="299">
        <v>0</v>
      </c>
      <c r="G559" s="341">
        <v>2052625.1978000002</v>
      </c>
      <c r="H559" s="341">
        <v>0</v>
      </c>
      <c r="I559" s="341">
        <v>0</v>
      </c>
      <c r="J559" s="341">
        <v>0</v>
      </c>
      <c r="K559" s="299">
        <v>0</v>
      </c>
      <c r="L559" s="341">
        <v>0</v>
      </c>
      <c r="M559" s="341">
        <v>0</v>
      </c>
      <c r="N559" s="341">
        <v>0</v>
      </c>
      <c r="O559" s="341">
        <v>0</v>
      </c>
      <c r="P559" s="470">
        <v>0</v>
      </c>
    </row>
    <row r="560" spans="4:16" s="299" customFormat="1">
      <c r="D560" s="310" t="str">
        <v>Ethernet (90Mbps)</v>
      </c>
      <c r="E560" s="341">
        <v>3399624.16</v>
      </c>
      <c r="F560" s="299">
        <v>0</v>
      </c>
      <c r="G560" s="341">
        <v>0</v>
      </c>
      <c r="H560" s="341">
        <v>0</v>
      </c>
      <c r="I560" s="341">
        <v>2362362.6880000001</v>
      </c>
      <c r="J560" s="341">
        <v>0</v>
      </c>
      <c r="K560" s="299">
        <v>0</v>
      </c>
      <c r="L560" s="341">
        <v>0</v>
      </c>
      <c r="M560" s="341">
        <v>0</v>
      </c>
      <c r="N560" s="341">
        <v>0</v>
      </c>
      <c r="O560" s="341">
        <v>0</v>
      </c>
      <c r="P560" s="470">
        <v>0</v>
      </c>
    </row>
    <row r="561" spans="4:17" s="299" customFormat="1">
      <c r="D561" s="310" t="str">
        <v>GigaEthernet (100Mbps)</v>
      </c>
      <c r="E561" s="341">
        <v>206031948</v>
      </c>
      <c r="F561" s="299">
        <v>0</v>
      </c>
      <c r="G561" s="341">
        <v>34439235.952500001</v>
      </c>
      <c r="H561" s="341">
        <v>8293263.9750000015</v>
      </c>
      <c r="I561" s="341">
        <v>68847527.879999995</v>
      </c>
      <c r="J561" s="341">
        <v>0</v>
      </c>
      <c r="K561" s="299">
        <v>0</v>
      </c>
      <c r="L561" s="341">
        <v>0</v>
      </c>
      <c r="M561" s="341">
        <v>0</v>
      </c>
      <c r="N561" s="341">
        <v>0</v>
      </c>
      <c r="O561" s="341">
        <v>0</v>
      </c>
      <c r="P561" s="470">
        <v>0</v>
      </c>
    </row>
    <row r="562" spans="4:17" s="299" customFormat="1">
      <c r="D562" s="310" t="str">
        <v>GigaEthernet (150Mbps)</v>
      </c>
      <c r="E562" s="341">
        <v>91833568.599999994</v>
      </c>
      <c r="F562" s="299">
        <v>0</v>
      </c>
      <c r="G562" s="341">
        <v>0</v>
      </c>
      <c r="H562" s="341">
        <v>15709878.531999998</v>
      </c>
      <c r="I562" s="341">
        <v>7446798.688000001</v>
      </c>
      <c r="J562" s="341">
        <v>0</v>
      </c>
      <c r="K562" s="299">
        <v>0</v>
      </c>
      <c r="L562" s="341">
        <v>0</v>
      </c>
      <c r="M562" s="341">
        <v>0</v>
      </c>
      <c r="N562" s="341">
        <v>0</v>
      </c>
      <c r="O562" s="341">
        <v>0</v>
      </c>
      <c r="P562" s="470">
        <v>0</v>
      </c>
    </row>
    <row r="563" spans="4:17" s="299" customFormat="1">
      <c r="D563" s="310" t="str">
        <v>GigaEthernet (200Mbps)</v>
      </c>
      <c r="E563" s="341">
        <v>53959216.919999987</v>
      </c>
      <c r="F563" s="299">
        <v>0</v>
      </c>
      <c r="G563" s="341">
        <v>4949643.38</v>
      </c>
      <c r="H563" s="341">
        <v>8125296.0800000001</v>
      </c>
      <c r="I563" s="341">
        <v>17112482.112000003</v>
      </c>
      <c r="J563" s="341">
        <v>0</v>
      </c>
      <c r="K563" s="299">
        <v>0</v>
      </c>
      <c r="L563" s="341">
        <v>0</v>
      </c>
      <c r="M563" s="341">
        <v>0</v>
      </c>
      <c r="N563" s="341">
        <v>0</v>
      </c>
      <c r="O563" s="341">
        <v>0</v>
      </c>
      <c r="P563" s="470">
        <v>0</v>
      </c>
    </row>
    <row r="564" spans="4:17" s="299" customFormat="1">
      <c r="D564" s="310" t="str">
        <v>GigaEthernet (250Mbps)</v>
      </c>
      <c r="E564" s="341">
        <v>15869395.199999999</v>
      </c>
      <c r="F564" s="299">
        <v>0</v>
      </c>
      <c r="G564" s="341">
        <v>0</v>
      </c>
      <c r="H564" s="341">
        <v>0</v>
      </c>
      <c r="I564" s="341">
        <v>0</v>
      </c>
      <c r="J564" s="341">
        <v>0</v>
      </c>
      <c r="K564" s="299">
        <v>0</v>
      </c>
      <c r="L564" s="341">
        <v>0</v>
      </c>
      <c r="M564" s="341">
        <v>0</v>
      </c>
      <c r="N564" s="341">
        <v>0</v>
      </c>
      <c r="O564" s="341">
        <v>0</v>
      </c>
      <c r="P564" s="470">
        <v>0</v>
      </c>
    </row>
    <row r="565" spans="4:17" s="299" customFormat="1">
      <c r="D565" s="310" t="str">
        <v>GigaEthernet (300Mbps)</v>
      </c>
      <c r="E565" s="341">
        <v>21803087.800000001</v>
      </c>
      <c r="F565" s="299">
        <v>0</v>
      </c>
      <c r="G565" s="341">
        <v>9957814.6950000003</v>
      </c>
      <c r="H565" s="341">
        <v>0</v>
      </c>
      <c r="I565" s="341">
        <v>0</v>
      </c>
      <c r="J565" s="341">
        <v>0</v>
      </c>
      <c r="K565" s="299">
        <v>0</v>
      </c>
      <c r="L565" s="341">
        <v>0</v>
      </c>
      <c r="M565" s="341">
        <v>0</v>
      </c>
      <c r="N565" s="341">
        <v>0</v>
      </c>
      <c r="O565" s="341">
        <v>0</v>
      </c>
      <c r="P565" s="470">
        <v>0</v>
      </c>
    </row>
    <row r="566" spans="4:17" s="299" customFormat="1">
      <c r="D566" s="310" t="str">
        <v>GigaEthernet (350Mbps)</v>
      </c>
      <c r="E566" s="341">
        <v>0</v>
      </c>
      <c r="F566" s="299">
        <v>0</v>
      </c>
      <c r="G566" s="341">
        <v>0</v>
      </c>
      <c r="H566" s="341">
        <v>0</v>
      </c>
      <c r="I566" s="341">
        <v>0</v>
      </c>
      <c r="J566" s="341">
        <v>0</v>
      </c>
      <c r="K566" s="299">
        <v>0</v>
      </c>
      <c r="L566" s="341">
        <v>0</v>
      </c>
      <c r="M566" s="341">
        <v>0</v>
      </c>
      <c r="N566" s="341">
        <v>0</v>
      </c>
      <c r="O566" s="341">
        <v>0</v>
      </c>
      <c r="P566" s="470">
        <v>0</v>
      </c>
    </row>
    <row r="567" spans="4:17" s="299" customFormat="1">
      <c r="D567" s="310" t="str">
        <v>GigaEthernet (400Mbps)</v>
      </c>
      <c r="E567" s="341">
        <v>3228261.4</v>
      </c>
      <c r="F567" s="299">
        <v>0</v>
      </c>
      <c r="G567" s="341">
        <v>0</v>
      </c>
      <c r="H567" s="341">
        <v>0</v>
      </c>
      <c r="I567" s="341">
        <v>21696118.911999997</v>
      </c>
      <c r="J567" s="341">
        <v>0</v>
      </c>
      <c r="K567" s="299">
        <v>0</v>
      </c>
      <c r="L567" s="341">
        <v>0</v>
      </c>
      <c r="M567" s="341">
        <v>0</v>
      </c>
      <c r="N567" s="341">
        <v>0</v>
      </c>
      <c r="O567" s="341">
        <v>0</v>
      </c>
      <c r="P567" s="470">
        <v>0</v>
      </c>
    </row>
    <row r="568" spans="4:17" s="299" customFormat="1">
      <c r="D568" s="310" t="str">
        <v>GigaEthernet (450Mbps)</v>
      </c>
      <c r="E568" s="341">
        <v>0</v>
      </c>
      <c r="F568" s="299">
        <v>0</v>
      </c>
      <c r="G568" s="341">
        <v>0</v>
      </c>
      <c r="H568" s="341">
        <v>0</v>
      </c>
      <c r="I568" s="341">
        <v>0</v>
      </c>
      <c r="J568" s="341">
        <v>0</v>
      </c>
      <c r="K568" s="299">
        <v>0</v>
      </c>
      <c r="L568" s="341">
        <v>0</v>
      </c>
      <c r="M568" s="341">
        <v>0</v>
      </c>
      <c r="N568" s="341">
        <v>0</v>
      </c>
      <c r="O568" s="341">
        <v>0</v>
      </c>
      <c r="P568" s="470">
        <v>0</v>
      </c>
    </row>
    <row r="569" spans="4:17" s="299" customFormat="1">
      <c r="D569" s="310" t="str">
        <v>GigaEthernet (500Mbps)</v>
      </c>
      <c r="E569" s="341">
        <v>16929653</v>
      </c>
      <c r="F569" s="299">
        <v>0</v>
      </c>
      <c r="G569" s="341">
        <v>0</v>
      </c>
      <c r="H569" s="341">
        <v>0</v>
      </c>
      <c r="I569" s="341">
        <v>0</v>
      </c>
      <c r="J569" s="341">
        <v>0</v>
      </c>
      <c r="K569" s="299">
        <v>0</v>
      </c>
      <c r="L569" s="341">
        <v>0</v>
      </c>
      <c r="M569" s="341">
        <v>0</v>
      </c>
      <c r="N569" s="341">
        <v>0</v>
      </c>
      <c r="O569" s="341">
        <v>0</v>
      </c>
      <c r="P569" s="470">
        <v>0</v>
      </c>
    </row>
    <row r="570" spans="4:17" s="299" customFormat="1">
      <c r="D570" s="310" t="str">
        <v>GigaEthernet (550Mbps)</v>
      </c>
      <c r="E570" s="341">
        <v>0</v>
      </c>
      <c r="F570" s="299">
        <v>0</v>
      </c>
      <c r="G570" s="341">
        <v>0</v>
      </c>
      <c r="H570" s="341">
        <v>0</v>
      </c>
      <c r="I570" s="341">
        <v>0</v>
      </c>
      <c r="J570" s="341">
        <v>0</v>
      </c>
      <c r="K570" s="299">
        <v>0</v>
      </c>
      <c r="L570" s="341">
        <v>0</v>
      </c>
      <c r="M570" s="341">
        <v>0</v>
      </c>
      <c r="N570" s="341">
        <v>0</v>
      </c>
      <c r="O570" s="341">
        <v>0</v>
      </c>
      <c r="P570" s="470">
        <v>0</v>
      </c>
    </row>
    <row r="571" spans="4:17" s="299" customFormat="1">
      <c r="D571" s="310" t="str">
        <v>GigaEthernet (600Mbps)</v>
      </c>
      <c r="E571" s="341">
        <v>0</v>
      </c>
      <c r="F571" s="299">
        <v>0</v>
      </c>
      <c r="G571" s="341">
        <v>0</v>
      </c>
      <c r="H571" s="341">
        <v>0</v>
      </c>
      <c r="I571" s="341">
        <v>0</v>
      </c>
      <c r="J571" s="341">
        <v>0</v>
      </c>
      <c r="K571" s="299">
        <v>0</v>
      </c>
      <c r="L571" s="341">
        <v>0</v>
      </c>
      <c r="M571" s="341">
        <v>0</v>
      </c>
      <c r="N571" s="341">
        <v>0</v>
      </c>
      <c r="O571" s="341">
        <v>0</v>
      </c>
      <c r="P571" s="470">
        <v>0</v>
      </c>
    </row>
    <row r="572" spans="4:17" s="299" customFormat="1">
      <c r="D572" s="310" t="str">
        <v>GigaEthernet (750Mbps)</v>
      </c>
      <c r="E572" s="341">
        <v>0</v>
      </c>
      <c r="F572" s="299">
        <v>0</v>
      </c>
      <c r="G572" s="341">
        <v>0</v>
      </c>
      <c r="H572" s="341">
        <v>0</v>
      </c>
      <c r="I572" s="341">
        <v>26605108.303199999</v>
      </c>
      <c r="J572" s="341">
        <v>0</v>
      </c>
      <c r="K572" s="299">
        <v>0</v>
      </c>
      <c r="L572" s="341">
        <v>0</v>
      </c>
      <c r="M572" s="341">
        <v>0</v>
      </c>
      <c r="N572" s="341">
        <v>0</v>
      </c>
      <c r="O572" s="341">
        <v>0</v>
      </c>
      <c r="P572" s="470">
        <v>0</v>
      </c>
    </row>
    <row r="573" spans="4:17" s="299" customFormat="1">
      <c r="D573" s="310" t="str">
        <v>GigaEthernet (1 Gbps)</v>
      </c>
      <c r="E573" s="341">
        <v>194956807.31999999</v>
      </c>
      <c r="F573" s="299">
        <v>0</v>
      </c>
      <c r="G573" s="341">
        <v>0</v>
      </c>
      <c r="H573" s="341">
        <v>0</v>
      </c>
      <c r="I573" s="341">
        <v>17648832.420000002</v>
      </c>
      <c r="J573" s="341">
        <v>0</v>
      </c>
      <c r="K573" s="299">
        <v>0</v>
      </c>
      <c r="L573" s="341">
        <v>0</v>
      </c>
      <c r="M573" s="341">
        <v>0</v>
      </c>
      <c r="N573" s="341">
        <v>0</v>
      </c>
      <c r="O573" s="341">
        <v>0</v>
      </c>
      <c r="P573" s="470">
        <v>0</v>
      </c>
    </row>
    <row r="574" spans="4:17">
      <c r="E574" s="318">
        <f>SUM(E536:E573)</f>
        <v>10089636483.741678</v>
      </c>
      <c r="F574" s="299"/>
      <c r="G574" s="318">
        <f t="shared" ref="G574" si="105">SUM(G536:G573)</f>
        <v>3444857720.5202932</v>
      </c>
      <c r="H574" s="318">
        <f t="shared" ref="H574" si="106">SUM(H536:H573)</f>
        <v>2164429932.7091122</v>
      </c>
      <c r="I574" s="318">
        <f t="shared" ref="I574" si="107">SUM(I536:I573)</f>
        <v>3082569727.4279413</v>
      </c>
      <c r="J574" s="318">
        <f t="shared" ref="J574" si="108">SUM(J536:J573)</f>
        <v>90803587.348970026</v>
      </c>
      <c r="K574" s="299"/>
      <c r="L574" s="318">
        <f t="shared" ref="L574" si="109">SUM(L536:L573)</f>
        <v>10000702.902798451</v>
      </c>
      <c r="M574" s="318">
        <f t="shared" ref="M574" si="110">SUM(M536:M573)</f>
        <v>53945279.41163221</v>
      </c>
      <c r="N574" s="318">
        <f t="shared" ref="N574" si="111">SUM(N536:N573)</f>
        <v>89155568.164910242</v>
      </c>
      <c r="O574" s="318">
        <f t="shared" ref="O574" si="112">SUM(O536:O573)</f>
        <v>232784847.20796752</v>
      </c>
      <c r="P574" s="318">
        <f>SUM(P536:P573)</f>
        <v>26815532.650000002</v>
      </c>
      <c r="Q574" s="302">
        <f>SUM(E574:P574)</f>
        <v>19284999382.0853</v>
      </c>
    </row>
    <row r="577" spans="2:31" s="244" customFormat="1">
      <c r="B577" s="252" t="s">
        <v>259</v>
      </c>
      <c r="C577" s="248"/>
      <c r="D577" s="248"/>
      <c r="AC577" s="299"/>
      <c r="AD577" s="299"/>
      <c r="AE577" s="299"/>
    </row>
    <row r="578" spans="2:31">
      <c r="B578" s="131" t="s">
        <v>72</v>
      </c>
      <c r="C578" s="106"/>
      <c r="D578" s="106"/>
      <c r="J578"/>
      <c r="Q578"/>
    </row>
    <row r="579" spans="2:31" s="299" customFormat="1">
      <c r="B579" s="131"/>
      <c r="C579" s="316" t="s">
        <v>831</v>
      </c>
      <c r="D579" s="316"/>
      <c r="G579"/>
    </row>
    <row r="580" spans="2:31" s="299" customFormat="1">
      <c r="B580" s="131"/>
      <c r="C580" s="147" t="s">
        <v>832</v>
      </c>
      <c r="D580" s="316"/>
      <c r="E580" s="511">
        <v>0.92308963390318988</v>
      </c>
      <c r="G580"/>
    </row>
    <row r="581" spans="2:31" s="299" customFormat="1">
      <c r="B581" s="131"/>
      <c r="C581" s="316"/>
      <c r="D581" s="316"/>
      <c r="G581"/>
    </row>
    <row r="582" spans="2:31" s="299" customFormat="1">
      <c r="B582" s="131"/>
      <c r="C582" s="316" t="s">
        <v>435</v>
      </c>
      <c r="D582" s="316"/>
      <c r="G582"/>
      <c r="H582" s="307"/>
    </row>
    <row r="583" spans="2:31" s="299" customFormat="1">
      <c r="B583" s="131"/>
      <c r="C583" s="147" t="s">
        <v>144</v>
      </c>
      <c r="D583" s="316"/>
      <c r="E583" s="302">
        <f>SUM(E574:P574)*IF(Retail.leased.lines.selected=Retail.leased.lines.calculados.option,(1-$E$580),1)</f>
        <v>1483216362.6529374</v>
      </c>
      <c r="G583"/>
      <c r="H583" s="307"/>
    </row>
    <row r="584" spans="2:31" s="299" customFormat="1">
      <c r="B584" s="131"/>
      <c r="C584" s="316" t="s">
        <v>436</v>
      </c>
      <c r="D584" s="316"/>
      <c r="E584"/>
      <c r="H584" s="307"/>
    </row>
    <row r="585" spans="2:31" s="299" customFormat="1">
      <c r="B585" s="131"/>
      <c r="C585" s="147" t="s">
        <v>145</v>
      </c>
      <c r="D585" s="316"/>
      <c r="E585" s="13">
        <f>E583*(1-Discount.retail.LL)</f>
        <v>1422430399.9999998</v>
      </c>
      <c r="G585" s="479">
        <v>1422430400</v>
      </c>
      <c r="H585" s="41"/>
    </row>
    <row r="586" spans="2:31" s="299" customFormat="1">
      <c r="B586" s="131"/>
      <c r="C586" s="316"/>
      <c r="D586" s="316"/>
      <c r="E586" s="316"/>
    </row>
    <row r="587" spans="2:31" s="244" customFormat="1">
      <c r="B587" s="246"/>
      <c r="C587" s="253" t="s">
        <v>261</v>
      </c>
      <c r="D587" s="248"/>
      <c r="E587" s="470">
        <f>G585-E585</f>
        <v>0</v>
      </c>
      <c r="G587"/>
      <c r="H587"/>
      <c r="AC587" s="299"/>
      <c r="AD587" s="299"/>
      <c r="AE587" s="299"/>
    </row>
    <row r="588" spans="2:31">
      <c r="C588" s="147" t="s">
        <v>166</v>
      </c>
      <c r="D588" s="106"/>
      <c r="E588" s="117">
        <f>E585/G585-1</f>
        <v>0</v>
      </c>
      <c r="F588"/>
      <c r="H588"/>
      <c r="I588"/>
      <c r="J588"/>
      <c r="K588"/>
    </row>
    <row r="589" spans="2:31">
      <c r="C589" s="106"/>
      <c r="D589" s="106"/>
      <c r="F589" s="103"/>
      <c r="I589"/>
      <c r="J589"/>
      <c r="K589"/>
    </row>
    <row r="590" spans="2:31" s="256" customFormat="1">
      <c r="C590" s="257"/>
      <c r="D590" s="257"/>
      <c r="F590" s="258"/>
      <c r="AC590" s="299"/>
      <c r="AD590" s="299"/>
      <c r="AE590" s="299"/>
    </row>
    <row r="591" spans="2:31" s="244" customFormat="1">
      <c r="B591" s="254" t="s">
        <v>262</v>
      </c>
      <c r="C591" s="248"/>
      <c r="D591" s="248"/>
      <c r="F591" s="251"/>
      <c r="AC591" s="299"/>
      <c r="AD591" s="299"/>
      <c r="AE591" s="299"/>
    </row>
    <row r="592" spans="2:31">
      <c r="B592" s="131" t="s">
        <v>59</v>
      </c>
      <c r="C592" s="106"/>
      <c r="D592" s="106"/>
      <c r="G592"/>
      <c r="I592"/>
      <c r="J592"/>
      <c r="K592"/>
    </row>
    <row r="593" spans="2:31">
      <c r="B593" s="97"/>
      <c r="C593" s="106"/>
      <c r="D593" s="106"/>
      <c r="J593"/>
    </row>
    <row r="594" spans="2:31" s="244" customFormat="1">
      <c r="B594" s="246"/>
      <c r="C594" s="255" t="s">
        <v>263</v>
      </c>
      <c r="D594" s="248"/>
      <c r="AC594" s="299"/>
      <c r="AD594" s="299"/>
      <c r="AE594" s="299"/>
    </row>
    <row r="595" spans="2:31">
      <c r="B595" s="97"/>
      <c r="C595" s="147" t="s">
        <v>83</v>
      </c>
      <c r="D595" s="106"/>
      <c r="E595" s="84">
        <f>Billing.cost</f>
        <v>0.01</v>
      </c>
      <c r="J595"/>
    </row>
    <row r="596" spans="2:31">
      <c r="B596" s="97"/>
      <c r="C596" s="106"/>
      <c r="D596" s="106"/>
    </row>
    <row r="597" spans="2:31" s="244" customFormat="1">
      <c r="B597" s="246"/>
      <c r="C597" s="257" t="s">
        <v>264</v>
      </c>
      <c r="D597" s="248"/>
      <c r="AC597" s="299"/>
      <c r="AD597" s="299"/>
      <c r="AE597" s="299"/>
    </row>
    <row r="598" spans="2:31">
      <c r="B598" s="97"/>
      <c r="C598" s="147" t="s">
        <v>81</v>
      </c>
      <c r="D598" s="106"/>
      <c r="E598" s="92">
        <f>$E$585*E595</f>
        <v>14224303.999999998</v>
      </c>
      <c r="F598"/>
      <c r="G598" s="476">
        <f>E598/$E$698</f>
        <v>9.5901746759035639E-3</v>
      </c>
    </row>
    <row r="599" spans="2:31">
      <c r="C599" s="106"/>
      <c r="D599" s="106"/>
    </row>
    <row r="600" spans="2:31">
      <c r="C600" s="106"/>
      <c r="D600" s="106"/>
    </row>
    <row r="601" spans="2:31" s="244" customFormat="1">
      <c r="B601" s="259" t="s">
        <v>216</v>
      </c>
      <c r="C601" s="248"/>
      <c r="D601" s="248"/>
      <c r="AC601" s="299"/>
      <c r="AD601" s="299"/>
      <c r="AE601" s="299"/>
    </row>
    <row r="602" spans="2:31">
      <c r="B602" s="131" t="s">
        <v>60</v>
      </c>
      <c r="C602" s="106"/>
      <c r="D602" s="106"/>
    </row>
    <row r="603" spans="2:31">
      <c r="C603" s="106"/>
      <c r="D603" s="106"/>
    </row>
    <row r="604" spans="2:31" s="244" customFormat="1">
      <c r="C604" s="260" t="s">
        <v>265</v>
      </c>
      <c r="D604" s="248"/>
      <c r="AC604" s="299"/>
      <c r="AD604" s="299"/>
      <c r="AE604" s="299"/>
    </row>
    <row r="605" spans="2:31">
      <c r="C605" s="147" t="s">
        <v>82</v>
      </c>
      <c r="D605" s="106"/>
      <c r="E605" s="344">
        <f>Bad.debt.cost</f>
        <v>5.0000000000000001E-3</v>
      </c>
    </row>
    <row r="606" spans="2:31">
      <c r="C606" s="106"/>
      <c r="D606" s="106"/>
    </row>
    <row r="607" spans="2:31" s="244" customFormat="1">
      <c r="C607" s="261" t="s">
        <v>264</v>
      </c>
      <c r="D607" s="248"/>
      <c r="AC607" s="299"/>
      <c r="AD607" s="299"/>
      <c r="AE607" s="299"/>
    </row>
    <row r="608" spans="2:31">
      <c r="C608" s="147" t="s">
        <v>81</v>
      </c>
      <c r="D608" s="106"/>
      <c r="E608" s="92">
        <f>$E$585*E605</f>
        <v>7112151.9999999991</v>
      </c>
      <c r="G608" s="476">
        <f>E608/$E$698</f>
        <v>4.795087337951782E-3</v>
      </c>
    </row>
    <row r="609" spans="2:31">
      <c r="C609" s="106"/>
      <c r="D609" s="106"/>
    </row>
    <row r="610" spans="2:31">
      <c r="C610" s="106"/>
      <c r="D610" s="106"/>
    </row>
    <row r="611" spans="2:31" s="244" customFormat="1">
      <c r="B611" s="285" t="s">
        <v>266</v>
      </c>
      <c r="C611" s="287"/>
      <c r="D611" s="248"/>
      <c r="AC611" s="299"/>
      <c r="AD611" s="299"/>
      <c r="AE611" s="299"/>
    </row>
    <row r="612" spans="2:31">
      <c r="B612" s="131" t="s">
        <v>61</v>
      </c>
      <c r="C612" s="287"/>
      <c r="D612" s="106"/>
    </row>
    <row r="613" spans="2:31">
      <c r="B613" s="284"/>
      <c r="C613" s="287"/>
      <c r="D613" s="106"/>
    </row>
    <row r="614" spans="2:31" s="244" customFormat="1">
      <c r="B614" s="284"/>
      <c r="C614" s="287" t="s">
        <v>287</v>
      </c>
      <c r="D614" s="248"/>
      <c r="AC614" s="299"/>
      <c r="AD614" s="299"/>
      <c r="AE614" s="299"/>
    </row>
    <row r="615" spans="2:31">
      <c r="B615" s="284"/>
      <c r="C615" s="147" t="s">
        <v>62</v>
      </c>
      <c r="D615" s="106"/>
      <c r="E615" s="88">
        <f>Marketing.and.sales.per.gross.add.LL</f>
        <v>2000</v>
      </c>
    </row>
    <row r="616" spans="2:31" s="244" customFormat="1">
      <c r="B616" s="284"/>
      <c r="C616" s="286" t="s">
        <v>288</v>
      </c>
      <c r="D616" s="248"/>
      <c r="E616"/>
      <c r="AC616" s="299"/>
      <c r="AD616" s="299"/>
      <c r="AE616" s="299"/>
    </row>
    <row r="617" spans="2:31">
      <c r="B617" s="284"/>
      <c r="C617" s="147" t="s">
        <v>78</v>
      </c>
      <c r="D617" s="85"/>
      <c r="E617" s="84">
        <f>Marketing.and.sales.minimum.proportion.LL</f>
        <v>0.01</v>
      </c>
    </row>
    <row r="618" spans="2:31">
      <c r="B618" s="284"/>
      <c r="C618" s="287"/>
      <c r="D618" s="106"/>
      <c r="F618"/>
      <c r="G618"/>
    </row>
    <row r="619" spans="2:31" s="244" customFormat="1">
      <c r="B619" s="284"/>
      <c r="C619" s="287" t="s">
        <v>286</v>
      </c>
      <c r="D619" s="248"/>
      <c r="AC619" s="299"/>
      <c r="AD619" s="299"/>
      <c r="AE619" s="299"/>
    </row>
    <row r="620" spans="2:31">
      <c r="B620" s="284"/>
      <c r="C620" s="147" t="s">
        <v>84</v>
      </c>
      <c r="D620" s="106"/>
      <c r="E620" s="92">
        <f>MAX(SUM(E195:F232,K195:K232,P195:P232)*E615,E585*E617)</f>
        <v>15439523</v>
      </c>
      <c r="F620"/>
      <c r="G620" s="476">
        <f>E620/$E$698</f>
        <v>1.0409488048246906E-2</v>
      </c>
    </row>
    <row r="621" spans="2:31">
      <c r="C621" s="106"/>
      <c r="D621" s="106"/>
      <c r="F621"/>
      <c r="G621"/>
    </row>
    <row r="622" spans="2:31">
      <c r="C622" s="106"/>
      <c r="D622" s="106"/>
      <c r="F622"/>
      <c r="G622"/>
    </row>
    <row r="623" spans="2:31" s="244" customFormat="1">
      <c r="B623" s="262" t="s">
        <v>224</v>
      </c>
      <c r="C623" s="248"/>
      <c r="D623" s="248"/>
      <c r="AC623" s="299"/>
      <c r="AD623" s="299"/>
      <c r="AE623" s="299"/>
    </row>
    <row r="624" spans="2:31">
      <c r="B624" s="131" t="s">
        <v>63</v>
      </c>
      <c r="F624"/>
      <c r="G624"/>
    </row>
    <row r="626" spans="2:31" s="244" customFormat="1">
      <c r="C626" s="263" t="s">
        <v>222</v>
      </c>
      <c r="AC626" s="299"/>
      <c r="AD626" s="299"/>
      <c r="AE626" s="299"/>
    </row>
    <row r="627" spans="2:31">
      <c r="C627" s="119" t="s">
        <v>79</v>
      </c>
      <c r="E627" s="88">
        <f>Customer.care.LL.per.staff</f>
        <v>225</v>
      </c>
      <c r="F627"/>
      <c r="G627"/>
    </row>
    <row r="628" spans="2:31" customFormat="1"/>
    <row r="629" spans="2:31" s="244" customFormat="1">
      <c r="C629" s="268" t="s">
        <v>270</v>
      </c>
      <c r="AC629" s="299"/>
      <c r="AD629" s="299"/>
      <c r="AE629" s="299"/>
    </row>
    <row r="630" spans="2:31">
      <c r="C630" s="119" t="s">
        <v>91</v>
      </c>
      <c r="D630" s="99"/>
      <c r="E630" s="9">
        <f>SUM(E103:F140,K103:K140,P103:P140)/E627*IF(Retail.leased.lines.selected=Retail.leased.lines.calculados.option,(1-$E$580),1)</f>
        <v>31.901801155789567</v>
      </c>
      <c r="F630"/>
    </row>
    <row r="631" spans="2:31" s="299" customFormat="1"/>
    <row r="632" spans="2:31" s="244" customFormat="1">
      <c r="C632" s="264" t="s">
        <v>267</v>
      </c>
      <c r="E632"/>
      <c r="AC632" s="299"/>
      <c r="AD632" s="299"/>
      <c r="AE632" s="299"/>
    </row>
    <row r="633" spans="2:31">
      <c r="C633" s="119" t="s">
        <v>80</v>
      </c>
      <c r="E633" s="88">
        <f>Monthly.cost.per.staff</f>
        <v>12000</v>
      </c>
      <c r="F633"/>
      <c r="G633"/>
    </row>
    <row r="634" spans="2:31">
      <c r="F634"/>
      <c r="G634"/>
    </row>
    <row r="635" spans="2:31" s="244" customFormat="1">
      <c r="C635" s="266" t="s">
        <v>268</v>
      </c>
      <c r="AC635" s="299"/>
      <c r="AD635" s="299"/>
      <c r="AE635" s="299"/>
    </row>
    <row r="636" spans="2:31">
      <c r="C636" s="119" t="s">
        <v>86</v>
      </c>
      <c r="D636" s="99"/>
      <c r="E636" s="92">
        <f>E630*E633*12</f>
        <v>4593859.3664336978</v>
      </c>
      <c r="F636"/>
      <c r="G636" s="476">
        <f>E636/$E$698</f>
        <v>3.0972280795344958E-3</v>
      </c>
    </row>
    <row r="637" spans="2:31">
      <c r="F637"/>
      <c r="G637"/>
    </row>
    <row r="639" spans="2:31" s="244" customFormat="1">
      <c r="B639" s="267" t="s">
        <v>269</v>
      </c>
      <c r="AC639" s="299"/>
      <c r="AD639" s="299"/>
      <c r="AE639" s="299"/>
    </row>
    <row r="640" spans="2:31">
      <c r="B640" s="131" t="s">
        <v>64</v>
      </c>
    </row>
    <row r="641" spans="3:31">
      <c r="F641"/>
    </row>
    <row r="642" spans="3:31" s="244" customFormat="1">
      <c r="C642" s="269" t="s">
        <v>228</v>
      </c>
      <c r="AC642" s="299"/>
      <c r="AD642" s="299"/>
      <c r="AE642" s="299"/>
    </row>
    <row r="643" spans="3:31">
      <c r="C643" s="119" t="s">
        <v>90</v>
      </c>
      <c r="E643" s="86">
        <f>Admin.staff.per.customer.care.staff</f>
        <v>0.1</v>
      </c>
      <c r="F643"/>
    </row>
    <row r="644" spans="3:31" s="244" customFormat="1">
      <c r="C644" s="270" t="s">
        <v>271</v>
      </c>
      <c r="E644"/>
      <c r="AC644" s="299"/>
      <c r="AD644" s="299"/>
      <c r="AE644" s="299"/>
    </row>
    <row r="645" spans="3:31">
      <c r="C645" s="119" t="s">
        <v>93</v>
      </c>
      <c r="E645" s="9">
        <f>E630*E643</f>
        <v>3.1901801155789569</v>
      </c>
      <c r="F645"/>
    </row>
    <row r="646" spans="3:31">
      <c r="F646"/>
    </row>
    <row r="647" spans="3:31" s="244" customFormat="1">
      <c r="C647" s="271" t="s">
        <v>272</v>
      </c>
      <c r="AC647" s="299"/>
      <c r="AD647" s="299"/>
      <c r="AE647" s="299"/>
    </row>
    <row r="648" spans="3:31">
      <c r="C648" s="119" t="s">
        <v>94</v>
      </c>
      <c r="E648" s="89">
        <f>E630+E645</f>
        <v>35.091981271368525</v>
      </c>
      <c r="F648"/>
    </row>
    <row r="650" spans="3:31" s="244" customFormat="1">
      <c r="C650" s="244" t="s">
        <v>273</v>
      </c>
      <c r="AC650" s="299"/>
      <c r="AD650" s="299"/>
      <c r="AE650" s="299"/>
    </row>
    <row r="651" spans="3:31">
      <c r="C651" s="119" t="s">
        <v>65</v>
      </c>
      <c r="D651" s="100"/>
    </row>
    <row r="652" spans="3:31" s="244" customFormat="1">
      <c r="C652" s="124" t="s">
        <v>274</v>
      </c>
      <c r="D652" s="249"/>
      <c r="AC652" s="299"/>
      <c r="AD652" s="299"/>
      <c r="AE652" s="299"/>
    </row>
    <row r="653" spans="3:31">
      <c r="C653" s="121" t="s">
        <v>66</v>
      </c>
      <c r="D653" s="90"/>
      <c r="E653" s="11">
        <f>Floorspace.per.staff</f>
        <v>10</v>
      </c>
    </row>
    <row r="654" spans="3:31" s="244" customFormat="1">
      <c r="C654" s="124" t="s">
        <v>275</v>
      </c>
      <c r="D654" s="247"/>
      <c r="E654"/>
      <c r="AC654" s="299"/>
      <c r="AD654" s="299"/>
      <c r="AE654" s="299"/>
    </row>
    <row r="655" spans="3:31">
      <c r="C655" s="121" t="s">
        <v>67</v>
      </c>
      <c r="D655" s="90"/>
      <c r="E655" s="11">
        <f>Rent.per.sqm</f>
        <v>276.491985</v>
      </c>
    </row>
    <row r="656" spans="3:31">
      <c r="C656" s="250"/>
    </row>
    <row r="657" spans="2:31" s="244" customFormat="1">
      <c r="C657" s="250" t="s">
        <v>273</v>
      </c>
      <c r="AC657" s="299"/>
      <c r="AD657" s="299"/>
      <c r="AE657" s="299"/>
    </row>
    <row r="658" spans="2:31">
      <c r="C658" s="119" t="s">
        <v>65</v>
      </c>
      <c r="D658" s="100"/>
      <c r="E658" s="12">
        <f>E648*E653*E655*12</f>
        <v>1164318.1871164208</v>
      </c>
    </row>
    <row r="660" spans="2:31" s="244" customFormat="1">
      <c r="C660" s="272" t="s">
        <v>276</v>
      </c>
      <c r="AC660" s="299"/>
      <c r="AD660" s="299"/>
      <c r="AE660" s="299"/>
    </row>
    <row r="661" spans="2:31">
      <c r="C661" s="119" t="s">
        <v>87</v>
      </c>
      <c r="E661" s="93">
        <f>Admin.costs</f>
        <v>0.02</v>
      </c>
    </row>
    <row r="663" spans="2:31" s="244" customFormat="1">
      <c r="C663" s="273" t="s">
        <v>269</v>
      </c>
      <c r="AC663" s="299"/>
      <c r="AD663" s="299"/>
      <c r="AE663" s="299"/>
    </row>
    <row r="664" spans="2:31">
      <c r="C664" s="119" t="s">
        <v>64</v>
      </c>
      <c r="D664" s="99"/>
      <c r="E664" s="92">
        <f>E658+E585*E661</f>
        <v>29612926.187116418</v>
      </c>
      <c r="G664" s="476">
        <f>E664/$E$698</f>
        <v>1.9965344863206343E-2</v>
      </c>
    </row>
    <row r="667" spans="2:31" s="244" customFormat="1">
      <c r="B667" s="274" t="s">
        <v>277</v>
      </c>
      <c r="AC667" s="299"/>
      <c r="AD667" s="299"/>
      <c r="AE667" s="299"/>
    </row>
    <row r="668" spans="2:31">
      <c r="B668" s="131" t="s">
        <v>106</v>
      </c>
    </row>
    <row r="670" spans="2:31" s="244" customFormat="1">
      <c r="C670" s="275" t="s">
        <v>236</v>
      </c>
      <c r="AC670" s="299"/>
      <c r="AD670" s="299"/>
      <c r="AE670" s="299"/>
    </row>
    <row r="671" spans="2:31">
      <c r="C671" s="133" t="s">
        <v>107</v>
      </c>
      <c r="E671" s="11">
        <f>Technical.space.cost.per.sqm</f>
        <v>50</v>
      </c>
    </row>
    <row r="672" spans="2:31" s="244" customFormat="1">
      <c r="C672" s="276" t="s">
        <v>278</v>
      </c>
      <c r="E672"/>
      <c r="AC672" s="299"/>
      <c r="AD672" s="299"/>
      <c r="AE672" s="299"/>
    </row>
    <row r="673" spans="2:31">
      <c r="C673" s="133" t="s">
        <v>108</v>
      </c>
      <c r="E673" s="107">
        <f>Space.per.LL</f>
        <v>0.5</v>
      </c>
    </row>
    <row r="674" spans="2:31" customFormat="1">
      <c r="AC674" s="299"/>
      <c r="AD674" s="299"/>
      <c r="AE674" s="299"/>
    </row>
    <row r="675" spans="2:31">
      <c r="C675" s="288" t="s">
        <v>426</v>
      </c>
    </row>
    <row r="676" spans="2:31">
      <c r="C676" s="119" t="s">
        <v>427</v>
      </c>
      <c r="E676" s="92">
        <f>SUM(E103:F140,K103:K140,P103:P140)*E673*E671*IF(Retail.leased.lines.selected=Retail.leased.lines.calculados.option,(1-$E$580),1)</f>
        <v>179447.6315013163</v>
      </c>
      <c r="G676" s="476">
        <f>E676/$E$698</f>
        <v>1.2098547185681623E-4</v>
      </c>
    </row>
    <row r="679" spans="2:31" s="299" customFormat="1">
      <c r="B679" s="311" t="s">
        <v>424</v>
      </c>
    </row>
    <row r="680" spans="2:31" s="299" customFormat="1">
      <c r="B680" s="131" t="s">
        <v>423</v>
      </c>
      <c r="E680" s="313">
        <f>Retail.profit</f>
        <v>0.1</v>
      </c>
      <c r="G680" s="476">
        <f>SUM(G598:G676)*E680</f>
        <v>4.7978308476699909E-3</v>
      </c>
    </row>
    <row r="681" spans="2:31" s="299" customFormat="1"/>
    <row r="682" spans="2:31" s="299" customFormat="1">
      <c r="B682" s="311" t="s">
        <v>438</v>
      </c>
    </row>
    <row r="683" spans="2:31" s="299" customFormat="1">
      <c r="B683" s="131" t="s">
        <v>437</v>
      </c>
    </row>
    <row r="684" spans="2:31" s="299" customFormat="1"/>
    <row r="685" spans="2:31" s="299" customFormat="1">
      <c r="C685" s="288" t="s">
        <v>438</v>
      </c>
    </row>
    <row r="686" spans="2:31" s="299" customFormat="1">
      <c r="C686" s="288" t="s">
        <v>437</v>
      </c>
      <c r="E686" s="315">
        <f>Discount.retail.LL</f>
        <v>4.0982532409643613E-2</v>
      </c>
    </row>
    <row r="687" spans="2:31" s="299" customFormat="1"/>
    <row r="688" spans="2:31" s="299" customFormat="1">
      <c r="C688" s="299" t="s">
        <v>430</v>
      </c>
    </row>
    <row r="689" spans="2:31" s="299" customFormat="1">
      <c r="C689" s="299" t="s">
        <v>431</v>
      </c>
      <c r="E689" s="92">
        <f>E583*E686</f>
        <v>60785962.652937725</v>
      </c>
      <c r="G689"/>
    </row>
    <row r="690" spans="2:31" s="299" customFormat="1"/>
    <row r="691" spans="2:31" s="244" customFormat="1">
      <c r="B691" s="277" t="s">
        <v>279</v>
      </c>
      <c r="AC691" s="299"/>
      <c r="AD691" s="299"/>
      <c r="AE691" s="299"/>
    </row>
    <row r="692" spans="2:31">
      <c r="B692" s="131" t="s">
        <v>146</v>
      </c>
      <c r="E692" s="58">
        <f>(E598+E608+E620+E636+E664+E676)*(1+E680)+E689</f>
        <v>139064396.0564943</v>
      </c>
      <c r="F692"/>
      <c r="G692"/>
    </row>
    <row r="695" spans="2:31" s="244" customFormat="1">
      <c r="B695" s="278" t="s">
        <v>280</v>
      </c>
      <c r="AC695" s="299"/>
      <c r="AD695" s="299"/>
      <c r="AE695" s="299"/>
    </row>
    <row r="696" spans="2:31">
      <c r="B696" s="131" t="s">
        <v>112</v>
      </c>
    </row>
    <row r="697" spans="2:31" s="244" customFormat="1">
      <c r="B697" s="246"/>
      <c r="C697" s="279" t="s">
        <v>281</v>
      </c>
      <c r="AC697" s="299"/>
      <c r="AD697" s="299"/>
      <c r="AE697" s="299"/>
    </row>
    <row r="698" spans="2:31">
      <c r="C698" s="119" t="s">
        <v>113</v>
      </c>
      <c r="E698" s="11">
        <f>E583</f>
        <v>1483216362.6529374</v>
      </c>
      <c r="F698" s="314" t="s">
        <v>441</v>
      </c>
    </row>
    <row r="699" spans="2:31" s="244" customFormat="1">
      <c r="C699" s="280" t="s">
        <v>282</v>
      </c>
      <c r="E699"/>
      <c r="AC699" s="299"/>
      <c r="AD699" s="299"/>
      <c r="AE699" s="299"/>
    </row>
    <row r="700" spans="2:31">
      <c r="C700" s="119" t="s">
        <v>146</v>
      </c>
      <c r="D700" s="99"/>
      <c r="E700" s="11">
        <f>E692</f>
        <v>139064396.0564943</v>
      </c>
      <c r="G700"/>
    </row>
    <row r="701" spans="2:31" s="244" customFormat="1">
      <c r="C701" s="281" t="s">
        <v>283</v>
      </c>
      <c r="D701" s="250"/>
      <c r="E701"/>
      <c r="G701" s="299"/>
      <c r="AC701" s="299"/>
      <c r="AD701" s="299"/>
      <c r="AE701" s="299"/>
    </row>
    <row r="702" spans="2:31">
      <c r="C702" s="119" t="s">
        <v>147</v>
      </c>
      <c r="E702" s="9">
        <f>E698-E700</f>
        <v>1344151966.5964432</v>
      </c>
      <c r="G702" s="480">
        <v>1175958000</v>
      </c>
      <c r="H702" s="265"/>
    </row>
    <row r="703" spans="2:31" s="244" customFormat="1">
      <c r="C703" s="282" t="s">
        <v>284</v>
      </c>
      <c r="E703"/>
      <c r="F703"/>
      <c r="G703"/>
      <c r="H703" s="245"/>
      <c r="AC703" s="299"/>
      <c r="AD703" s="299"/>
      <c r="AE703" s="299"/>
    </row>
    <row r="704" spans="2:31">
      <c r="C704" s="147" t="s">
        <v>285</v>
      </c>
      <c r="E704" s="117">
        <f>E702/G702-1</f>
        <v>0.14302718855302921</v>
      </c>
    </row>
    <row r="706" spans="3:31" s="244" customFormat="1">
      <c r="AC706" s="299"/>
      <c r="AD706" s="299"/>
      <c r="AE706" s="299"/>
    </row>
    <row r="707" spans="3:31">
      <c r="C707" s="283" t="s">
        <v>112</v>
      </c>
      <c r="E707" s="104">
        <f>E700/E$698</f>
        <v>9.3758671734013505E-2</v>
      </c>
    </row>
    <row r="708" spans="3:31">
      <c r="C708" s="210" t="s">
        <v>439</v>
      </c>
      <c r="E708" s="324">
        <f>E689/E$698</f>
        <v>4.0982532409643613E-2</v>
      </c>
    </row>
    <row r="709" spans="3:31">
      <c r="C709" s="210" t="s">
        <v>440</v>
      </c>
      <c r="E709" s="324">
        <f>E707-E708</f>
        <v>5.2776139324369892E-2</v>
      </c>
      <c r="G709" s="477">
        <f>SUM(G586:G680)</f>
        <v>5.2776139324369899E-2</v>
      </c>
    </row>
  </sheetData>
  <sortState ref="G584:G585">
    <sortCondition ref="G585"/>
  </sortState>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ignoredErrors>
    <ignoredError sqref="G435:J435 L435:O435"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U63"/>
  <sheetViews>
    <sheetView showGridLines="0" defaultGridColor="0" colorId="22" zoomScaleNormal="100" workbookViewId="0">
      <pane ySplit="1" topLeftCell="A2" activePane="bottomLeft" state="frozen"/>
      <selection pane="bottomLeft" activeCell="H31" sqref="H31"/>
    </sheetView>
  </sheetViews>
  <sheetFormatPr baseColWidth="10" defaultColWidth="12.7109375" defaultRowHeight="12"/>
  <cols>
    <col min="1" max="1" width="6.7109375" style="95" customWidth="1"/>
    <col min="2" max="2" width="12.7109375" style="95"/>
    <col min="3" max="3" width="22.85546875" style="95" customWidth="1"/>
    <col min="4" max="4" width="19.140625" style="95" bestFit="1" customWidth="1"/>
    <col min="5" max="16384" width="12.7109375" style="95"/>
  </cols>
  <sheetData>
    <row r="1" spans="1:21" s="96" customFormat="1" ht="33.75" customHeight="1">
      <c r="E1" s="98" t="s">
        <v>148</v>
      </c>
      <c r="N1" s="96" t="s">
        <v>20</v>
      </c>
    </row>
    <row r="4" spans="1:21" s="284" customFormat="1" ht="20.25" thickBot="1">
      <c r="A4" s="290" t="s">
        <v>289</v>
      </c>
      <c r="B4" s="290"/>
      <c r="C4" s="290"/>
      <c r="D4" s="290"/>
      <c r="E4" s="290"/>
    </row>
    <row r="5" spans="1:21" ht="21" thickTop="1" thickBot="1">
      <c r="A5" s="77" t="s">
        <v>149</v>
      </c>
      <c r="B5" s="77"/>
      <c r="C5" s="77"/>
      <c r="D5" s="77"/>
      <c r="E5" s="77"/>
      <c r="F5" s="77"/>
      <c r="G5" s="77"/>
      <c r="H5" s="77"/>
      <c r="I5" s="77"/>
      <c r="J5" s="77"/>
      <c r="K5" s="77"/>
      <c r="L5" s="77"/>
      <c r="M5" s="77"/>
      <c r="N5" s="77"/>
      <c r="O5" s="77"/>
      <c r="P5" s="77"/>
    </row>
    <row r="6" spans="1:21" ht="12.75" thickTop="1"/>
    <row r="7" spans="1:21" s="289" customFormat="1" ht="17.25" thickBot="1">
      <c r="B7" s="292" t="s">
        <v>290</v>
      </c>
      <c r="C7" s="292"/>
      <c r="D7"/>
    </row>
    <row r="8" spans="1:21" ht="18" thickTop="1" thickBot="1">
      <c r="B8" s="76" t="s">
        <v>151</v>
      </c>
      <c r="C8" s="76"/>
      <c r="D8" s="76"/>
      <c r="E8" s="76"/>
      <c r="F8" s="76"/>
      <c r="G8" s="76"/>
      <c r="H8" s="76"/>
      <c r="I8" s="76"/>
      <c r="J8" s="76"/>
      <c r="K8" s="76"/>
      <c r="L8" s="76"/>
      <c r="M8" s="76"/>
      <c r="N8" s="76"/>
      <c r="O8" s="76"/>
      <c r="P8" s="76"/>
      <c r="Q8" s="76"/>
      <c r="R8" s="76"/>
      <c r="S8" s="76"/>
      <c r="T8" s="76"/>
      <c r="U8" s="76"/>
    </row>
    <row r="9" spans="1:21" ht="12.75" thickTop="1"/>
    <row r="10" spans="1:21" s="295" customFormat="1" ht="36">
      <c r="C10" s="120" t="s">
        <v>293</v>
      </c>
      <c r="D10" s="120" t="s">
        <v>289</v>
      </c>
    </row>
    <row r="11" spans="1:21" ht="36">
      <c r="C11" s="123" t="s">
        <v>152</v>
      </c>
      <c r="D11" s="123" t="s">
        <v>149</v>
      </c>
      <c r="E11"/>
      <c r="F11"/>
    </row>
    <row r="12" spans="1:21">
      <c r="C12" s="298" t="s">
        <v>294</v>
      </c>
      <c r="D12" s="478"/>
      <c r="E12" s="297" t="s">
        <v>167</v>
      </c>
      <c r="F12"/>
    </row>
    <row r="13" spans="1:21">
      <c r="C13" s="298" t="s">
        <v>295</v>
      </c>
      <c r="D13" s="478"/>
      <c r="E13" s="297" t="s">
        <v>168</v>
      </c>
      <c r="F13"/>
    </row>
    <row r="14" spans="1:21">
      <c r="C14" s="298" t="s">
        <v>296</v>
      </c>
      <c r="D14" s="478"/>
      <c r="E14" s="297" t="s">
        <v>169</v>
      </c>
      <c r="F14"/>
    </row>
    <row r="15" spans="1:21">
      <c r="C15" s="298" t="s">
        <v>297</v>
      </c>
      <c r="D15" s="478"/>
      <c r="E15" s="297" t="s">
        <v>170</v>
      </c>
      <c r="F15"/>
    </row>
    <row r="16" spans="1:21">
      <c r="C16" s="298" t="s">
        <v>298</v>
      </c>
      <c r="D16" s="478"/>
      <c r="E16" s="297" t="s">
        <v>171</v>
      </c>
      <c r="F16"/>
    </row>
    <row r="17" spans="2:21">
      <c r="C17" s="298" t="s">
        <v>299</v>
      </c>
      <c r="D17" s="478"/>
      <c r="E17" s="297" t="s">
        <v>172</v>
      </c>
      <c r="F17"/>
    </row>
    <row r="18" spans="2:21">
      <c r="C18" s="298" t="s">
        <v>300</v>
      </c>
      <c r="D18" s="510">
        <f>'Cálculos ED'!$E$698/'Cálculos ED'!$E$702-1</f>
        <v>0.10345883464994077</v>
      </c>
      <c r="E18" s="297" t="s">
        <v>154</v>
      </c>
      <c r="F18"/>
    </row>
    <row r="19" spans="2:21">
      <c r="C19" s="298" t="s">
        <v>301</v>
      </c>
      <c r="D19" s="510">
        <f>'Cálculos ED'!$G$585/'Cálculos ED'!$G$702-1</f>
        <v>0.20959285960893159</v>
      </c>
      <c r="E19" s="297" t="s">
        <v>155</v>
      </c>
      <c r="F19"/>
    </row>
    <row r="22" spans="2:21" s="291" customFormat="1" ht="17.25" thickBot="1">
      <c r="B22" s="294" t="s">
        <v>291</v>
      </c>
      <c r="C22" s="294"/>
    </row>
    <row r="23" spans="2:21" ht="18" thickTop="1" thickBot="1">
      <c r="B23" s="76" t="s">
        <v>153</v>
      </c>
      <c r="C23" s="76"/>
      <c r="D23" s="76"/>
      <c r="E23" s="76"/>
      <c r="F23" s="76"/>
      <c r="G23" s="76"/>
      <c r="H23" s="76"/>
      <c r="I23" s="76"/>
      <c r="J23" s="76"/>
      <c r="K23" s="76"/>
      <c r="L23" s="76"/>
      <c r="M23" s="76"/>
      <c r="N23" s="76"/>
      <c r="O23" s="76"/>
      <c r="P23" s="76"/>
      <c r="Q23" s="76"/>
      <c r="R23" s="76"/>
      <c r="S23" s="76"/>
      <c r="T23" s="76"/>
      <c r="U23" s="76"/>
    </row>
    <row r="24" spans="2:21" ht="12.75" thickTop="1"/>
    <row r="25" spans="2:21" s="295" customFormat="1" ht="36">
      <c r="C25" s="120" t="s">
        <v>293</v>
      </c>
      <c r="D25" s="120" t="s">
        <v>289</v>
      </c>
    </row>
    <row r="26" spans="2:21" ht="36">
      <c r="C26" s="123" t="s">
        <v>152</v>
      </c>
      <c r="D26" s="123" t="s">
        <v>149</v>
      </c>
      <c r="E26"/>
      <c r="F26"/>
      <c r="G26"/>
    </row>
    <row r="27" spans="2:21">
      <c r="C27" s="95" t="s">
        <v>171</v>
      </c>
      <c r="D27" s="478"/>
      <c r="E27" s="297" t="s">
        <v>171</v>
      </c>
      <c r="F27"/>
      <c r="G27"/>
    </row>
    <row r="28" spans="2:21">
      <c r="C28" s="95" t="s">
        <v>172</v>
      </c>
      <c r="D28" s="478"/>
      <c r="E28" s="297" t="s">
        <v>172</v>
      </c>
      <c r="F28"/>
      <c r="G28"/>
    </row>
    <row r="29" spans="2:21">
      <c r="C29" s="95" t="s">
        <v>173</v>
      </c>
      <c r="D29" s="478"/>
      <c r="E29" s="297" t="s">
        <v>173</v>
      </c>
      <c r="F29"/>
      <c r="G29"/>
    </row>
    <row r="30" spans="2:21">
      <c r="C30" s="95" t="s">
        <v>174</v>
      </c>
      <c r="D30" s="478"/>
      <c r="E30" s="297" t="s">
        <v>174</v>
      </c>
      <c r="F30"/>
      <c r="G30"/>
    </row>
    <row r="31" spans="2:21">
      <c r="C31" s="95" t="s">
        <v>175</v>
      </c>
      <c r="D31" s="478"/>
      <c r="E31" s="297" t="s">
        <v>175</v>
      </c>
      <c r="F31"/>
      <c r="G31"/>
    </row>
    <row r="32" spans="2:21">
      <c r="C32" s="95" t="s">
        <v>167</v>
      </c>
      <c r="D32" s="478"/>
      <c r="E32" s="297" t="s">
        <v>167</v>
      </c>
      <c r="F32"/>
      <c r="G32"/>
    </row>
    <row r="33" spans="2:21">
      <c r="C33" s="95" t="s">
        <v>168</v>
      </c>
      <c r="D33" s="478"/>
      <c r="E33" s="297" t="s">
        <v>168</v>
      </c>
      <c r="F33"/>
      <c r="G33"/>
    </row>
    <row r="34" spans="2:21">
      <c r="C34" s="95" t="s">
        <v>176</v>
      </c>
      <c r="D34" s="478"/>
      <c r="E34" s="297" t="s">
        <v>176</v>
      </c>
      <c r="F34"/>
      <c r="G34"/>
    </row>
    <row r="35" spans="2:21">
      <c r="C35" s="95" t="s">
        <v>169</v>
      </c>
      <c r="D35" s="478"/>
      <c r="E35" s="297" t="s">
        <v>169</v>
      </c>
      <c r="F35"/>
      <c r="G35"/>
    </row>
    <row r="36" spans="2:21">
      <c r="C36" s="95" t="s">
        <v>170</v>
      </c>
      <c r="D36" s="478"/>
      <c r="E36" s="297" t="s">
        <v>170</v>
      </c>
      <c r="F36"/>
      <c r="G36"/>
    </row>
    <row r="37" spans="2:21">
      <c r="C37" s="95" t="s">
        <v>177</v>
      </c>
      <c r="D37" s="478"/>
      <c r="E37" s="297" t="s">
        <v>177</v>
      </c>
      <c r="F37"/>
      <c r="G37"/>
    </row>
    <row r="38" spans="2:21">
      <c r="C38" s="95" t="s">
        <v>178</v>
      </c>
      <c r="D38" s="478"/>
      <c r="E38" s="297" t="s">
        <v>178</v>
      </c>
      <c r="F38"/>
      <c r="G38"/>
    </row>
    <row r="39" spans="2:21">
      <c r="C39" s="95" t="s">
        <v>154</v>
      </c>
      <c r="D39" s="510">
        <f>'Cálculos ED'!$E$698/'Cálculos ED'!$E$702-1</f>
        <v>0.10345883464994077</v>
      </c>
      <c r="E39" s="297" t="s">
        <v>154</v>
      </c>
      <c r="F39"/>
      <c r="G39"/>
    </row>
    <row r="40" spans="2:21">
      <c r="C40" s="95" t="s">
        <v>155</v>
      </c>
      <c r="D40" s="510">
        <f>'Cálculos ED'!$G$585/'Cálculos ED'!$G$702-1</f>
        <v>0.20959285960893159</v>
      </c>
      <c r="E40" s="297" t="s">
        <v>155</v>
      </c>
    </row>
    <row r="42" spans="2:21" s="295" customFormat="1"/>
    <row r="43" spans="2:21" s="293" customFormat="1" ht="17.25" thickBot="1">
      <c r="B43" s="296" t="s">
        <v>292</v>
      </c>
      <c r="C43" s="296"/>
    </row>
    <row r="44" spans="2:21" ht="18" thickTop="1" thickBot="1">
      <c r="B44" s="76" t="s">
        <v>156</v>
      </c>
      <c r="C44" s="76"/>
      <c r="D44" s="76"/>
      <c r="E44" s="76"/>
      <c r="F44" s="76"/>
      <c r="G44" s="76"/>
      <c r="H44" s="76"/>
      <c r="I44" s="76"/>
      <c r="J44" s="76"/>
      <c r="K44" s="76"/>
      <c r="L44" s="76"/>
      <c r="M44" s="76"/>
      <c r="N44" s="76"/>
      <c r="O44" s="76"/>
      <c r="P44" s="76"/>
      <c r="Q44" s="76"/>
      <c r="R44" s="76"/>
      <c r="S44" s="76"/>
      <c r="T44" s="76"/>
      <c r="U44" s="76"/>
    </row>
    <row r="45" spans="2:21" ht="12.75" thickTop="1"/>
    <row r="46" spans="2:21" s="295" customFormat="1" ht="36">
      <c r="C46" s="120" t="s">
        <v>293</v>
      </c>
      <c r="D46" s="120" t="s">
        <v>289</v>
      </c>
    </row>
    <row r="47" spans="2:21" ht="36">
      <c r="C47" s="123" t="s">
        <v>152</v>
      </c>
      <c r="D47" s="123" t="s">
        <v>149</v>
      </c>
      <c r="E47"/>
      <c r="F47"/>
      <c r="G47"/>
    </row>
    <row r="48" spans="2:21">
      <c r="C48" s="299" t="s">
        <v>302</v>
      </c>
      <c r="D48" s="478"/>
      <c r="E48" s="297" t="s">
        <v>171</v>
      </c>
      <c r="F48"/>
      <c r="G48"/>
    </row>
    <row r="49" spans="3:7">
      <c r="C49" s="299" t="s">
        <v>294</v>
      </c>
      <c r="D49" s="478"/>
      <c r="E49" s="297" t="s">
        <v>167</v>
      </c>
      <c r="F49"/>
      <c r="G49"/>
    </row>
    <row r="50" spans="3:7">
      <c r="C50" s="299" t="s">
        <v>303</v>
      </c>
      <c r="D50" s="478"/>
      <c r="E50" s="297" t="s">
        <v>172</v>
      </c>
      <c r="F50"/>
      <c r="G50"/>
    </row>
    <row r="51" spans="3:7">
      <c r="C51" s="299" t="s">
        <v>304</v>
      </c>
      <c r="D51" s="478"/>
      <c r="E51" s="297" t="s">
        <v>173</v>
      </c>
      <c r="F51"/>
      <c r="G51"/>
    </row>
    <row r="52" spans="3:7">
      <c r="C52" s="299" t="s">
        <v>295</v>
      </c>
      <c r="D52" s="478"/>
      <c r="E52" s="297" t="s">
        <v>168</v>
      </c>
      <c r="F52"/>
      <c r="G52"/>
    </row>
    <row r="53" spans="3:7">
      <c r="C53" s="299" t="s">
        <v>305</v>
      </c>
      <c r="D53" s="478"/>
      <c r="E53" s="297" t="s">
        <v>174</v>
      </c>
      <c r="F53"/>
      <c r="G53"/>
    </row>
    <row r="54" spans="3:7">
      <c r="C54" s="299" t="s">
        <v>306</v>
      </c>
      <c r="D54" s="478"/>
      <c r="E54" s="297" t="s">
        <v>175</v>
      </c>
      <c r="F54"/>
      <c r="G54"/>
    </row>
    <row r="55" spans="3:7">
      <c r="C55" s="299" t="s">
        <v>307</v>
      </c>
      <c r="D55" s="478"/>
      <c r="E55" s="297" t="s">
        <v>176</v>
      </c>
      <c r="F55"/>
      <c r="G55"/>
    </row>
    <row r="56" spans="3:7">
      <c r="C56" s="299" t="s">
        <v>296</v>
      </c>
      <c r="D56" s="478"/>
      <c r="E56" s="297" t="s">
        <v>169</v>
      </c>
      <c r="F56"/>
      <c r="G56"/>
    </row>
    <row r="57" spans="3:7">
      <c r="C57" s="299" t="s">
        <v>308</v>
      </c>
      <c r="D57" s="478"/>
      <c r="E57" s="297" t="s">
        <v>177</v>
      </c>
      <c r="F57"/>
      <c r="G57"/>
    </row>
    <row r="58" spans="3:7">
      <c r="C58" s="299" t="s">
        <v>309</v>
      </c>
      <c r="D58" s="478"/>
      <c r="E58" s="297" t="s">
        <v>178</v>
      </c>
      <c r="F58"/>
      <c r="G58"/>
    </row>
    <row r="59" spans="3:7">
      <c r="C59" s="299" t="s">
        <v>300</v>
      </c>
      <c r="D59" s="510">
        <f>'Cálculos ED'!$E$698/'Cálculos ED'!$E$702-1</f>
        <v>0.10345883464994077</v>
      </c>
      <c r="E59" s="297" t="s">
        <v>154</v>
      </c>
      <c r="F59"/>
      <c r="G59"/>
    </row>
    <row r="60" spans="3:7">
      <c r="C60" s="299" t="s">
        <v>301</v>
      </c>
      <c r="D60" s="510">
        <f>'Cálculos ED'!$G$585/'Cálculos ED'!$G$702-1</f>
        <v>0.20959285960893159</v>
      </c>
      <c r="E60" s="297" t="s">
        <v>155</v>
      </c>
      <c r="F60"/>
      <c r="G60"/>
    </row>
    <row r="61" spans="3:7">
      <c r="C61"/>
      <c r="E61"/>
      <c r="F61"/>
      <c r="G61"/>
    </row>
    <row r="62" spans="3:7">
      <c r="E62"/>
      <c r="F62"/>
      <c r="G62"/>
    </row>
    <row r="63" spans="3:7">
      <c r="E63"/>
      <c r="F63"/>
      <c r="G63"/>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C1:D4"/>
  <sheetViews>
    <sheetView showGridLines="0" defaultGridColor="0" colorId="22" zoomScaleNormal="100" workbookViewId="0">
      <pane ySplit="1" topLeftCell="A2" activePane="bottomLeft" state="frozen"/>
      <selection pane="bottomLeft" activeCell="D4" sqref="D4"/>
    </sheetView>
  </sheetViews>
  <sheetFormatPr baseColWidth="10" defaultColWidth="12.7109375" defaultRowHeight="12"/>
  <cols>
    <col min="1" max="1" width="6.7109375" style="299" customWidth="1"/>
    <col min="2" max="16384" width="12.7109375" style="299"/>
  </cols>
  <sheetData>
    <row r="1" spans="3:4" s="138" customFormat="1" ht="33.75" customHeight="1">
      <c r="D1" s="216" t="s">
        <v>840</v>
      </c>
    </row>
    <row r="4" spans="3:4">
      <c r="C4" s="314" t="s">
        <v>769</v>
      </c>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CQ527"/>
  <sheetViews>
    <sheetView showGridLines="0" defaultGridColor="0" topLeftCell="H1" colorId="22" zoomScale="80" zoomScaleNormal="80" workbookViewId="0">
      <pane ySplit="2" topLeftCell="A486" activePane="bottomLeft" state="frozen"/>
      <selection pane="bottomLeft" activeCell="P510" sqref="P510:R510"/>
    </sheetView>
  </sheetViews>
  <sheetFormatPr baseColWidth="10" defaultColWidth="12.7109375" defaultRowHeight="12" outlineLevelRow="1"/>
  <cols>
    <col min="1" max="1" width="6.7109375" style="299" customWidth="1"/>
    <col min="2" max="3" width="12.7109375" style="299"/>
    <col min="4" max="59" width="20.85546875" style="299" customWidth="1"/>
    <col min="60" max="68" width="12.7109375" style="299"/>
    <col min="69" max="69" width="25.140625" style="299" customWidth="1"/>
    <col min="70" max="16384" width="12.7109375" style="299"/>
  </cols>
  <sheetData>
    <row r="1" spans="4:69" ht="48.75" customHeight="1">
      <c r="D1" s="564"/>
      <c r="E1" s="564"/>
      <c r="F1" s="564"/>
      <c r="G1" s="564"/>
      <c r="H1" s="564"/>
      <c r="I1" s="564"/>
      <c r="J1" s="564"/>
      <c r="K1" s="564"/>
      <c r="L1" s="564"/>
      <c r="M1" s="564"/>
    </row>
    <row r="2" spans="4:69" s="138" customFormat="1" ht="33.75" customHeight="1">
      <c r="D2" s="216" t="s">
        <v>612</v>
      </c>
      <c r="L2" s="138" t="s">
        <v>20</v>
      </c>
    </row>
    <row r="12" spans="4:69" s="36" customFormat="1" ht="18">
      <c r="D12" s="345" t="s">
        <v>613</v>
      </c>
      <c r="Q12" s="345"/>
      <c r="AD12" s="345"/>
      <c r="AQ12" s="345"/>
      <c r="BD12" s="345"/>
      <c r="BQ12" s="345"/>
    </row>
    <row r="13" spans="4:69" s="346" customFormat="1" ht="18">
      <c r="D13" s="347"/>
      <c r="Q13" s="347"/>
      <c r="AD13" s="347"/>
      <c r="AQ13" s="347"/>
      <c r="BD13" s="347"/>
      <c r="BQ13" s="347"/>
    </row>
    <row r="14" spans="4:69" s="346" customFormat="1" ht="18">
      <c r="D14" s="348" t="s">
        <v>614</v>
      </c>
      <c r="Q14" s="347"/>
      <c r="AD14" s="347"/>
      <c r="AQ14" s="347"/>
      <c r="BD14" s="347"/>
      <c r="BQ14" s="347"/>
    </row>
    <row r="15" spans="4:69" s="346" customFormat="1" ht="18">
      <c r="D15" s="347"/>
      <c r="Q15" s="347"/>
      <c r="AD15" s="347"/>
      <c r="AQ15" s="347"/>
      <c r="BD15" s="347"/>
      <c r="BQ15" s="347"/>
    </row>
    <row r="17" spans="4:80" ht="15.75">
      <c r="D17" s="33" t="s">
        <v>615</v>
      </c>
      <c r="Q17" s="33" t="s">
        <v>616</v>
      </c>
      <c r="AD17" s="33" t="s">
        <v>617</v>
      </c>
      <c r="AQ17" s="33" t="s">
        <v>618</v>
      </c>
      <c r="BD17" s="33" t="s">
        <v>619</v>
      </c>
      <c r="BQ17" s="33" t="s">
        <v>620</v>
      </c>
    </row>
    <row r="18" spans="4:80">
      <c r="D18" s="119" t="s">
        <v>186</v>
      </c>
      <c r="Q18" s="119" t="s">
        <v>186</v>
      </c>
      <c r="AD18" s="119" t="s">
        <v>186</v>
      </c>
      <c r="AQ18" s="119" t="s">
        <v>186</v>
      </c>
      <c r="BD18" s="119" t="s">
        <v>186</v>
      </c>
      <c r="BQ18" s="119" t="s">
        <v>186</v>
      </c>
    </row>
    <row r="19" spans="4:80">
      <c r="D19" s="338" t="s">
        <v>442</v>
      </c>
      <c r="E19" s="338">
        <v>2009</v>
      </c>
      <c r="F19" s="338">
        <v>2010</v>
      </c>
      <c r="G19" s="338">
        <v>2011</v>
      </c>
      <c r="H19" s="338">
        <v>2012</v>
      </c>
      <c r="I19" s="338">
        <v>2013</v>
      </c>
      <c r="J19" s="338">
        <v>2014</v>
      </c>
      <c r="K19" s="338">
        <v>2015</v>
      </c>
      <c r="L19" s="338">
        <v>2016</v>
      </c>
      <c r="M19" s="338">
        <v>2017</v>
      </c>
      <c r="N19" s="338">
        <v>2018</v>
      </c>
      <c r="O19" s="338">
        <v>2019</v>
      </c>
      <c r="Q19" s="338" t="s">
        <v>442</v>
      </c>
      <c r="R19" s="338">
        <v>2009</v>
      </c>
      <c r="S19" s="338">
        <v>2010</v>
      </c>
      <c r="T19" s="338">
        <v>2011</v>
      </c>
      <c r="U19" s="338">
        <v>2012</v>
      </c>
      <c r="V19" s="338">
        <v>2013</v>
      </c>
      <c r="W19" s="338">
        <v>2014</v>
      </c>
      <c r="X19" s="338">
        <v>2015</v>
      </c>
      <c r="Y19" s="338">
        <v>2016</v>
      </c>
      <c r="Z19" s="338">
        <v>2017</v>
      </c>
      <c r="AA19" s="338">
        <v>2018</v>
      </c>
      <c r="AB19" s="338">
        <v>2019</v>
      </c>
      <c r="AD19" s="338" t="s">
        <v>442</v>
      </c>
      <c r="AE19" s="338">
        <v>2009</v>
      </c>
      <c r="AF19" s="338">
        <v>2010</v>
      </c>
      <c r="AG19" s="338">
        <v>2011</v>
      </c>
      <c r="AH19" s="338">
        <v>2012</v>
      </c>
      <c r="AI19" s="338">
        <v>2013</v>
      </c>
      <c r="AJ19" s="338">
        <v>2014</v>
      </c>
      <c r="AK19" s="338">
        <v>2015</v>
      </c>
      <c r="AL19" s="338">
        <v>2016</v>
      </c>
      <c r="AM19" s="338">
        <v>2017</v>
      </c>
      <c r="AN19" s="338">
        <v>2018</v>
      </c>
      <c r="AO19" s="338">
        <v>2019</v>
      </c>
      <c r="AQ19" s="338" t="s">
        <v>442</v>
      </c>
      <c r="AR19" s="338">
        <v>2009</v>
      </c>
      <c r="AS19" s="338">
        <v>2010</v>
      </c>
      <c r="AT19" s="338">
        <v>2011</v>
      </c>
      <c r="AU19" s="338">
        <v>2012</v>
      </c>
      <c r="AV19" s="338">
        <v>2013</v>
      </c>
      <c r="AW19" s="338">
        <v>2014</v>
      </c>
      <c r="AX19" s="338">
        <v>2015</v>
      </c>
      <c r="AY19" s="338">
        <v>2016</v>
      </c>
      <c r="AZ19" s="338">
        <v>2017</v>
      </c>
      <c r="BA19" s="338">
        <v>2018</v>
      </c>
      <c r="BB19" s="338">
        <v>2019</v>
      </c>
      <c r="BD19" s="338" t="s">
        <v>442</v>
      </c>
      <c r="BE19" s="338">
        <v>2009</v>
      </c>
      <c r="BF19" s="338">
        <v>2010</v>
      </c>
      <c r="BG19" s="338">
        <v>2011</v>
      </c>
      <c r="BH19" s="338">
        <v>2012</v>
      </c>
      <c r="BI19" s="338">
        <v>2013</v>
      </c>
      <c r="BJ19" s="338">
        <v>2014</v>
      </c>
      <c r="BK19" s="338">
        <v>2015</v>
      </c>
      <c r="BL19" s="338">
        <v>2016</v>
      </c>
      <c r="BM19" s="338">
        <v>2017</v>
      </c>
      <c r="BN19" s="338">
        <v>2018</v>
      </c>
      <c r="BO19" s="338">
        <v>2019</v>
      </c>
      <c r="BQ19" s="338" t="s">
        <v>442</v>
      </c>
      <c r="BR19" s="338">
        <v>2009</v>
      </c>
      <c r="BS19" s="338">
        <v>2010</v>
      </c>
      <c r="BT19" s="338">
        <v>2011</v>
      </c>
      <c r="BU19" s="338">
        <v>2012</v>
      </c>
      <c r="BV19" s="338">
        <v>2013</v>
      </c>
      <c r="BW19" s="338">
        <v>2014</v>
      </c>
      <c r="BX19" s="338">
        <v>2015</v>
      </c>
      <c r="BY19" s="338">
        <v>2016</v>
      </c>
      <c r="BZ19" s="338">
        <v>2017</v>
      </c>
      <c r="CA19" s="338">
        <v>2018</v>
      </c>
      <c r="CB19" s="338">
        <v>2019</v>
      </c>
    </row>
    <row r="20" spans="4:80">
      <c r="D20" s="327" t="s">
        <v>443</v>
      </c>
      <c r="E20" s="481">
        <v>671.18</v>
      </c>
      <c r="F20" s="481">
        <v>870.71999999999991</v>
      </c>
      <c r="G20" s="481">
        <v>1088.3999999999999</v>
      </c>
      <c r="H20" s="481">
        <v>707.46</v>
      </c>
      <c r="I20" s="481">
        <v>1043.05</v>
      </c>
      <c r="J20" s="481">
        <v>752.81</v>
      </c>
      <c r="K20" s="349"/>
      <c r="L20" s="349"/>
      <c r="M20" s="349"/>
      <c r="N20" s="349"/>
      <c r="O20" s="349"/>
      <c r="Q20" s="327" t="s">
        <v>443</v>
      </c>
      <c r="R20" s="350" t="s">
        <v>132</v>
      </c>
      <c r="S20" s="350" t="s">
        <v>132</v>
      </c>
      <c r="T20" s="350" t="s">
        <v>132</v>
      </c>
      <c r="U20" s="350" t="s">
        <v>132</v>
      </c>
      <c r="V20" s="350" t="s">
        <v>132</v>
      </c>
      <c r="W20" s="350" t="s">
        <v>132</v>
      </c>
      <c r="X20" s="350" t="s">
        <v>132</v>
      </c>
      <c r="Y20" s="350" t="s">
        <v>132</v>
      </c>
      <c r="Z20" s="350" t="s">
        <v>132</v>
      </c>
      <c r="AA20" s="350" t="s">
        <v>132</v>
      </c>
      <c r="AB20" s="350" t="s">
        <v>132</v>
      </c>
      <c r="AD20" s="327" t="s">
        <v>443</v>
      </c>
      <c r="AE20" s="351" t="s">
        <v>132</v>
      </c>
      <c r="AF20" s="351" t="s">
        <v>132</v>
      </c>
      <c r="AG20" s="351" t="s">
        <v>132</v>
      </c>
      <c r="AH20" s="351" t="s">
        <v>132</v>
      </c>
      <c r="AI20" s="351" t="s">
        <v>132</v>
      </c>
      <c r="AJ20" s="351" t="s">
        <v>132</v>
      </c>
      <c r="AK20" s="351" t="s">
        <v>132</v>
      </c>
      <c r="AL20" s="351" t="s">
        <v>132</v>
      </c>
      <c r="AM20" s="351" t="s">
        <v>132</v>
      </c>
      <c r="AN20" s="351" t="s">
        <v>132</v>
      </c>
      <c r="AO20" s="351" t="s">
        <v>132</v>
      </c>
      <c r="AQ20" s="327" t="s">
        <v>443</v>
      </c>
      <c r="AR20" s="351" t="s">
        <v>132</v>
      </c>
      <c r="AS20" s="351" t="s">
        <v>132</v>
      </c>
      <c r="AT20" s="351" t="s">
        <v>132</v>
      </c>
      <c r="AU20" s="351" t="s">
        <v>132</v>
      </c>
      <c r="AV20" s="351" t="s">
        <v>132</v>
      </c>
      <c r="AW20" s="351" t="s">
        <v>132</v>
      </c>
      <c r="AX20" s="351" t="s">
        <v>132</v>
      </c>
      <c r="AY20" s="351" t="s">
        <v>132</v>
      </c>
      <c r="AZ20" s="351" t="s">
        <v>132</v>
      </c>
      <c r="BA20" s="351" t="s">
        <v>132</v>
      </c>
      <c r="BB20" s="351" t="s">
        <v>132</v>
      </c>
      <c r="BD20" s="327" t="s">
        <v>443</v>
      </c>
      <c r="BE20" s="351" t="s">
        <v>132</v>
      </c>
      <c r="BF20" s="351" t="s">
        <v>132</v>
      </c>
      <c r="BG20" s="351" t="s">
        <v>132</v>
      </c>
      <c r="BH20" s="351" t="s">
        <v>132</v>
      </c>
      <c r="BI20" s="351" t="s">
        <v>132</v>
      </c>
      <c r="BJ20" s="351" t="s">
        <v>132</v>
      </c>
      <c r="BK20" s="351" t="s">
        <v>132</v>
      </c>
      <c r="BL20" s="351" t="s">
        <v>132</v>
      </c>
      <c r="BM20" s="351" t="s">
        <v>132</v>
      </c>
      <c r="BN20" s="351" t="s">
        <v>132</v>
      </c>
      <c r="BO20" s="351" t="s">
        <v>132</v>
      </c>
      <c r="BQ20" s="327" t="s">
        <v>443</v>
      </c>
      <c r="BR20" s="351" t="s">
        <v>132</v>
      </c>
      <c r="BS20" s="351" t="s">
        <v>132</v>
      </c>
      <c r="BT20" s="351" t="s">
        <v>132</v>
      </c>
      <c r="BU20" s="351" t="s">
        <v>132</v>
      </c>
      <c r="BV20" s="351" t="s">
        <v>132</v>
      </c>
      <c r="BW20" s="351" t="s">
        <v>132</v>
      </c>
      <c r="BX20" s="351" t="s">
        <v>132</v>
      </c>
      <c r="BY20" s="351" t="s">
        <v>132</v>
      </c>
      <c r="BZ20" s="351" t="s">
        <v>132</v>
      </c>
      <c r="CA20" s="351" t="s">
        <v>132</v>
      </c>
      <c r="CB20" s="351" t="s">
        <v>132</v>
      </c>
    </row>
    <row r="21" spans="4:80">
      <c r="D21" s="87" t="s">
        <v>444</v>
      </c>
      <c r="E21" s="481">
        <v>1776.75</v>
      </c>
      <c r="F21" s="481">
        <v>1276.5</v>
      </c>
      <c r="G21" s="481">
        <v>1293.75</v>
      </c>
      <c r="H21" s="481">
        <v>1845.75</v>
      </c>
      <c r="I21" s="481">
        <v>1587</v>
      </c>
      <c r="J21" s="481">
        <v>1397.25</v>
      </c>
      <c r="K21" s="349"/>
      <c r="L21" s="349"/>
      <c r="M21" s="349"/>
      <c r="N21" s="349"/>
      <c r="O21" s="349"/>
      <c r="Q21" s="87" t="s">
        <v>444</v>
      </c>
      <c r="R21" s="350" t="s">
        <v>132</v>
      </c>
      <c r="S21" s="350" t="s">
        <v>132</v>
      </c>
      <c r="T21" s="350" t="s">
        <v>132</v>
      </c>
      <c r="U21" s="350" t="s">
        <v>132</v>
      </c>
      <c r="V21" s="350" t="s">
        <v>132</v>
      </c>
      <c r="W21" s="350" t="s">
        <v>132</v>
      </c>
      <c r="X21" s="350" t="s">
        <v>132</v>
      </c>
      <c r="Y21" s="350" t="s">
        <v>132</v>
      </c>
      <c r="Z21" s="350" t="s">
        <v>132</v>
      </c>
      <c r="AA21" s="350" t="s">
        <v>132</v>
      </c>
      <c r="AB21" s="350" t="s">
        <v>132</v>
      </c>
      <c r="AD21" s="87" t="s">
        <v>444</v>
      </c>
      <c r="AE21" s="351" t="s">
        <v>132</v>
      </c>
      <c r="AF21" s="351" t="s">
        <v>132</v>
      </c>
      <c r="AG21" s="351" t="s">
        <v>132</v>
      </c>
      <c r="AH21" s="351" t="s">
        <v>132</v>
      </c>
      <c r="AI21" s="351" t="s">
        <v>132</v>
      </c>
      <c r="AJ21" s="351" t="s">
        <v>132</v>
      </c>
      <c r="AK21" s="351" t="s">
        <v>132</v>
      </c>
      <c r="AL21" s="351" t="s">
        <v>132</v>
      </c>
      <c r="AM21" s="351" t="s">
        <v>132</v>
      </c>
      <c r="AN21" s="351" t="s">
        <v>132</v>
      </c>
      <c r="AO21" s="351" t="s">
        <v>132</v>
      </c>
      <c r="AQ21" s="87" t="s">
        <v>444</v>
      </c>
      <c r="AR21" s="351" t="s">
        <v>132</v>
      </c>
      <c r="AS21" s="351" t="s">
        <v>132</v>
      </c>
      <c r="AT21" s="351" t="s">
        <v>132</v>
      </c>
      <c r="AU21" s="351" t="s">
        <v>132</v>
      </c>
      <c r="AV21" s="351" t="s">
        <v>132</v>
      </c>
      <c r="AW21" s="351" t="s">
        <v>132</v>
      </c>
      <c r="AX21" s="351" t="s">
        <v>132</v>
      </c>
      <c r="AY21" s="351" t="s">
        <v>132</v>
      </c>
      <c r="AZ21" s="351" t="s">
        <v>132</v>
      </c>
      <c r="BA21" s="351" t="s">
        <v>132</v>
      </c>
      <c r="BB21" s="351" t="s">
        <v>132</v>
      </c>
      <c r="BD21" s="87" t="s">
        <v>444</v>
      </c>
      <c r="BE21" s="351" t="s">
        <v>132</v>
      </c>
      <c r="BF21" s="351" t="s">
        <v>132</v>
      </c>
      <c r="BG21" s="351" t="s">
        <v>132</v>
      </c>
      <c r="BH21" s="351" t="s">
        <v>132</v>
      </c>
      <c r="BI21" s="351" t="s">
        <v>132</v>
      </c>
      <c r="BJ21" s="351" t="s">
        <v>132</v>
      </c>
      <c r="BK21" s="351" t="s">
        <v>132</v>
      </c>
      <c r="BL21" s="351" t="s">
        <v>132</v>
      </c>
      <c r="BM21" s="351" t="s">
        <v>132</v>
      </c>
      <c r="BN21" s="351" t="s">
        <v>132</v>
      </c>
      <c r="BO21" s="351" t="s">
        <v>132</v>
      </c>
      <c r="BQ21" s="87" t="s">
        <v>444</v>
      </c>
      <c r="BR21" s="351" t="s">
        <v>132</v>
      </c>
      <c r="BS21" s="351" t="s">
        <v>132</v>
      </c>
      <c r="BT21" s="351" t="s">
        <v>132</v>
      </c>
      <c r="BU21" s="351" t="s">
        <v>132</v>
      </c>
      <c r="BV21" s="351" t="s">
        <v>132</v>
      </c>
      <c r="BW21" s="351" t="s">
        <v>132</v>
      </c>
      <c r="BX21" s="351" t="s">
        <v>132</v>
      </c>
      <c r="BY21" s="351" t="s">
        <v>132</v>
      </c>
      <c r="BZ21" s="351" t="s">
        <v>132</v>
      </c>
      <c r="CA21" s="351" t="s">
        <v>132</v>
      </c>
      <c r="CB21" s="351" t="s">
        <v>132</v>
      </c>
    </row>
    <row r="22" spans="4:80" outlineLevel="1">
      <c r="D22" s="328" t="s">
        <v>445</v>
      </c>
      <c r="E22" s="482">
        <v>2307.4599999999996</v>
      </c>
      <c r="F22" s="482">
        <v>2654.6</v>
      </c>
      <c r="G22" s="482">
        <v>1613.18</v>
      </c>
      <c r="H22" s="482">
        <v>2470.8199999999997</v>
      </c>
      <c r="I22" s="482">
        <v>2123.6800000000003</v>
      </c>
      <c r="J22" s="482">
        <v>2634.1800000000003</v>
      </c>
      <c r="K22" s="349"/>
      <c r="L22" s="349"/>
      <c r="M22" s="349"/>
      <c r="N22" s="349"/>
      <c r="O22" s="349"/>
      <c r="Q22" s="328" t="s">
        <v>445</v>
      </c>
      <c r="R22" s="350" t="s">
        <v>132</v>
      </c>
      <c r="S22" s="350" t="s">
        <v>132</v>
      </c>
      <c r="T22" s="350" t="s">
        <v>132</v>
      </c>
      <c r="U22" s="350" t="s">
        <v>132</v>
      </c>
      <c r="V22" s="350" t="s">
        <v>132</v>
      </c>
      <c r="W22" s="350" t="s">
        <v>132</v>
      </c>
      <c r="X22" s="350" t="s">
        <v>132</v>
      </c>
      <c r="Y22" s="350" t="s">
        <v>132</v>
      </c>
      <c r="Z22" s="350" t="s">
        <v>132</v>
      </c>
      <c r="AA22" s="350" t="s">
        <v>132</v>
      </c>
      <c r="AB22" s="350" t="s">
        <v>132</v>
      </c>
      <c r="AD22" s="328" t="s">
        <v>445</v>
      </c>
      <c r="AE22" s="351" t="s">
        <v>132</v>
      </c>
      <c r="AF22" s="351" t="s">
        <v>132</v>
      </c>
      <c r="AG22" s="351" t="s">
        <v>132</v>
      </c>
      <c r="AH22" s="351" t="s">
        <v>132</v>
      </c>
      <c r="AI22" s="351" t="s">
        <v>132</v>
      </c>
      <c r="AJ22" s="351" t="s">
        <v>132</v>
      </c>
      <c r="AK22" s="351" t="s">
        <v>132</v>
      </c>
      <c r="AL22" s="351" t="s">
        <v>132</v>
      </c>
      <c r="AM22" s="351" t="s">
        <v>132</v>
      </c>
      <c r="AN22" s="351" t="s">
        <v>132</v>
      </c>
      <c r="AO22" s="351" t="s">
        <v>132</v>
      </c>
      <c r="AQ22" s="328" t="s">
        <v>445</v>
      </c>
      <c r="AR22" s="351" t="s">
        <v>132</v>
      </c>
      <c r="AS22" s="351" t="s">
        <v>132</v>
      </c>
      <c r="AT22" s="351" t="s">
        <v>132</v>
      </c>
      <c r="AU22" s="351" t="s">
        <v>132</v>
      </c>
      <c r="AV22" s="351" t="s">
        <v>132</v>
      </c>
      <c r="AW22" s="351" t="s">
        <v>132</v>
      </c>
      <c r="AX22" s="351" t="s">
        <v>132</v>
      </c>
      <c r="AY22" s="351" t="s">
        <v>132</v>
      </c>
      <c r="AZ22" s="351" t="s">
        <v>132</v>
      </c>
      <c r="BA22" s="351" t="s">
        <v>132</v>
      </c>
      <c r="BB22" s="351" t="s">
        <v>132</v>
      </c>
      <c r="BD22" s="328" t="s">
        <v>445</v>
      </c>
      <c r="BE22" s="351" t="s">
        <v>132</v>
      </c>
      <c r="BF22" s="351" t="s">
        <v>132</v>
      </c>
      <c r="BG22" s="351" t="s">
        <v>132</v>
      </c>
      <c r="BH22" s="351" t="s">
        <v>132</v>
      </c>
      <c r="BI22" s="351" t="s">
        <v>132</v>
      </c>
      <c r="BJ22" s="351" t="s">
        <v>132</v>
      </c>
      <c r="BK22" s="351" t="s">
        <v>132</v>
      </c>
      <c r="BL22" s="351" t="s">
        <v>132</v>
      </c>
      <c r="BM22" s="351" t="s">
        <v>132</v>
      </c>
      <c r="BN22" s="351" t="s">
        <v>132</v>
      </c>
      <c r="BO22" s="351" t="s">
        <v>132</v>
      </c>
      <c r="BQ22" s="328" t="s">
        <v>445</v>
      </c>
      <c r="BR22" s="351" t="s">
        <v>132</v>
      </c>
      <c r="BS22" s="351" t="s">
        <v>132</v>
      </c>
      <c r="BT22" s="351" t="s">
        <v>132</v>
      </c>
      <c r="BU22" s="351" t="s">
        <v>132</v>
      </c>
      <c r="BV22" s="351" t="s">
        <v>132</v>
      </c>
      <c r="BW22" s="351" t="s">
        <v>132</v>
      </c>
      <c r="BX22" s="351" t="s">
        <v>132</v>
      </c>
      <c r="BY22" s="351" t="s">
        <v>132</v>
      </c>
      <c r="BZ22" s="351" t="s">
        <v>132</v>
      </c>
      <c r="CA22" s="351" t="s">
        <v>132</v>
      </c>
      <c r="CB22" s="351" t="s">
        <v>132</v>
      </c>
    </row>
    <row r="23" spans="4:80" outlineLevel="1">
      <c r="D23" s="328" t="s">
        <v>446</v>
      </c>
      <c r="E23" s="482">
        <v>2914.2699999999995</v>
      </c>
      <c r="F23" s="482">
        <v>3326.9100000000003</v>
      </c>
      <c r="G23" s="482">
        <v>1985.8300000000002</v>
      </c>
      <c r="H23" s="482">
        <v>2965.85</v>
      </c>
      <c r="I23" s="482">
        <v>1831.09</v>
      </c>
      <c r="J23" s="482">
        <v>2475.8399999999997</v>
      </c>
      <c r="K23" s="349"/>
      <c r="L23" s="349"/>
      <c r="M23" s="349"/>
      <c r="N23" s="349"/>
      <c r="O23" s="349"/>
      <c r="Q23" s="328" t="s">
        <v>446</v>
      </c>
      <c r="R23" s="350" t="s">
        <v>132</v>
      </c>
      <c r="S23" s="350" t="s">
        <v>132</v>
      </c>
      <c r="T23" s="350" t="s">
        <v>132</v>
      </c>
      <c r="U23" s="350" t="s">
        <v>132</v>
      </c>
      <c r="V23" s="350" t="s">
        <v>132</v>
      </c>
      <c r="W23" s="350" t="s">
        <v>132</v>
      </c>
      <c r="X23" s="350" t="s">
        <v>132</v>
      </c>
      <c r="Y23" s="350" t="s">
        <v>132</v>
      </c>
      <c r="Z23" s="350" t="s">
        <v>132</v>
      </c>
      <c r="AA23" s="350" t="s">
        <v>132</v>
      </c>
      <c r="AB23" s="350" t="s">
        <v>132</v>
      </c>
      <c r="AD23" s="328" t="s">
        <v>446</v>
      </c>
      <c r="AE23" s="351" t="s">
        <v>132</v>
      </c>
      <c r="AF23" s="351" t="s">
        <v>132</v>
      </c>
      <c r="AG23" s="351" t="s">
        <v>132</v>
      </c>
      <c r="AH23" s="351" t="s">
        <v>132</v>
      </c>
      <c r="AI23" s="351" t="s">
        <v>132</v>
      </c>
      <c r="AJ23" s="351" t="s">
        <v>132</v>
      </c>
      <c r="AK23" s="351" t="s">
        <v>132</v>
      </c>
      <c r="AL23" s="351" t="s">
        <v>132</v>
      </c>
      <c r="AM23" s="351" t="s">
        <v>132</v>
      </c>
      <c r="AN23" s="351" t="s">
        <v>132</v>
      </c>
      <c r="AO23" s="351" t="s">
        <v>132</v>
      </c>
      <c r="AQ23" s="328" t="s">
        <v>446</v>
      </c>
      <c r="AR23" s="351" t="s">
        <v>132</v>
      </c>
      <c r="AS23" s="351" t="s">
        <v>132</v>
      </c>
      <c r="AT23" s="351" t="s">
        <v>132</v>
      </c>
      <c r="AU23" s="351" t="s">
        <v>132</v>
      </c>
      <c r="AV23" s="351" t="s">
        <v>132</v>
      </c>
      <c r="AW23" s="351" t="s">
        <v>132</v>
      </c>
      <c r="AX23" s="351" t="s">
        <v>132</v>
      </c>
      <c r="AY23" s="351" t="s">
        <v>132</v>
      </c>
      <c r="AZ23" s="351" t="s">
        <v>132</v>
      </c>
      <c r="BA23" s="351" t="s">
        <v>132</v>
      </c>
      <c r="BB23" s="351" t="s">
        <v>132</v>
      </c>
      <c r="BD23" s="328" t="s">
        <v>446</v>
      </c>
      <c r="BE23" s="351" t="s">
        <v>132</v>
      </c>
      <c r="BF23" s="351" t="s">
        <v>132</v>
      </c>
      <c r="BG23" s="351" t="s">
        <v>132</v>
      </c>
      <c r="BH23" s="351" t="s">
        <v>132</v>
      </c>
      <c r="BI23" s="351" t="s">
        <v>132</v>
      </c>
      <c r="BJ23" s="351" t="s">
        <v>132</v>
      </c>
      <c r="BK23" s="351" t="s">
        <v>132</v>
      </c>
      <c r="BL23" s="351" t="s">
        <v>132</v>
      </c>
      <c r="BM23" s="351" t="s">
        <v>132</v>
      </c>
      <c r="BN23" s="351" t="s">
        <v>132</v>
      </c>
      <c r="BO23" s="351" t="s">
        <v>132</v>
      </c>
      <c r="BQ23" s="328" t="s">
        <v>446</v>
      </c>
      <c r="BR23" s="351" t="s">
        <v>132</v>
      </c>
      <c r="BS23" s="351" t="s">
        <v>132</v>
      </c>
      <c r="BT23" s="351" t="s">
        <v>132</v>
      </c>
      <c r="BU23" s="351" t="s">
        <v>132</v>
      </c>
      <c r="BV23" s="351" t="s">
        <v>132</v>
      </c>
      <c r="BW23" s="351" t="s">
        <v>132</v>
      </c>
      <c r="BX23" s="351" t="s">
        <v>132</v>
      </c>
      <c r="BY23" s="351" t="s">
        <v>132</v>
      </c>
      <c r="BZ23" s="351" t="s">
        <v>132</v>
      </c>
      <c r="CA23" s="351" t="s">
        <v>132</v>
      </c>
      <c r="CB23" s="351" t="s">
        <v>132</v>
      </c>
    </row>
    <row r="24" spans="4:80" outlineLevel="1">
      <c r="D24" s="328" t="s">
        <v>447</v>
      </c>
      <c r="E24" s="482">
        <v>2320.8000000000002</v>
      </c>
      <c r="F24" s="482">
        <v>2959.02</v>
      </c>
      <c r="G24" s="482">
        <v>2842.98</v>
      </c>
      <c r="H24" s="482">
        <v>2668.92</v>
      </c>
      <c r="I24" s="482">
        <v>2204.7600000000002</v>
      </c>
      <c r="J24" s="482">
        <v>2668.92</v>
      </c>
      <c r="K24" s="349"/>
      <c r="L24" s="349"/>
      <c r="M24" s="349"/>
      <c r="N24" s="349"/>
      <c r="O24" s="349"/>
      <c r="Q24" s="328" t="s">
        <v>447</v>
      </c>
      <c r="R24" s="350" t="s">
        <v>132</v>
      </c>
      <c r="S24" s="350" t="s">
        <v>132</v>
      </c>
      <c r="T24" s="350" t="s">
        <v>132</v>
      </c>
      <c r="U24" s="350" t="s">
        <v>132</v>
      </c>
      <c r="V24" s="350" t="s">
        <v>132</v>
      </c>
      <c r="W24" s="350" t="s">
        <v>132</v>
      </c>
      <c r="X24" s="350" t="s">
        <v>132</v>
      </c>
      <c r="Y24" s="350" t="s">
        <v>132</v>
      </c>
      <c r="Z24" s="350" t="s">
        <v>132</v>
      </c>
      <c r="AA24" s="350" t="s">
        <v>132</v>
      </c>
      <c r="AB24" s="350" t="s">
        <v>132</v>
      </c>
      <c r="AD24" s="328" t="s">
        <v>447</v>
      </c>
      <c r="AE24" s="351" t="s">
        <v>132</v>
      </c>
      <c r="AF24" s="351" t="s">
        <v>132</v>
      </c>
      <c r="AG24" s="351" t="s">
        <v>132</v>
      </c>
      <c r="AH24" s="351" t="s">
        <v>132</v>
      </c>
      <c r="AI24" s="351" t="s">
        <v>132</v>
      </c>
      <c r="AJ24" s="351" t="s">
        <v>132</v>
      </c>
      <c r="AK24" s="351" t="s">
        <v>132</v>
      </c>
      <c r="AL24" s="351" t="s">
        <v>132</v>
      </c>
      <c r="AM24" s="351" t="s">
        <v>132</v>
      </c>
      <c r="AN24" s="351" t="s">
        <v>132</v>
      </c>
      <c r="AO24" s="351" t="s">
        <v>132</v>
      </c>
      <c r="AQ24" s="328" t="s">
        <v>447</v>
      </c>
      <c r="AR24" s="351" t="s">
        <v>132</v>
      </c>
      <c r="AS24" s="351" t="s">
        <v>132</v>
      </c>
      <c r="AT24" s="351" t="s">
        <v>132</v>
      </c>
      <c r="AU24" s="351" t="s">
        <v>132</v>
      </c>
      <c r="AV24" s="351" t="s">
        <v>132</v>
      </c>
      <c r="AW24" s="351" t="s">
        <v>132</v>
      </c>
      <c r="AX24" s="351" t="s">
        <v>132</v>
      </c>
      <c r="AY24" s="351" t="s">
        <v>132</v>
      </c>
      <c r="AZ24" s="351" t="s">
        <v>132</v>
      </c>
      <c r="BA24" s="351" t="s">
        <v>132</v>
      </c>
      <c r="BB24" s="351" t="s">
        <v>132</v>
      </c>
      <c r="BD24" s="328" t="s">
        <v>447</v>
      </c>
      <c r="BE24" s="351" t="s">
        <v>132</v>
      </c>
      <c r="BF24" s="351" t="s">
        <v>132</v>
      </c>
      <c r="BG24" s="351" t="s">
        <v>132</v>
      </c>
      <c r="BH24" s="351" t="s">
        <v>132</v>
      </c>
      <c r="BI24" s="351" t="s">
        <v>132</v>
      </c>
      <c r="BJ24" s="351" t="s">
        <v>132</v>
      </c>
      <c r="BK24" s="351" t="s">
        <v>132</v>
      </c>
      <c r="BL24" s="351" t="s">
        <v>132</v>
      </c>
      <c r="BM24" s="351" t="s">
        <v>132</v>
      </c>
      <c r="BN24" s="351" t="s">
        <v>132</v>
      </c>
      <c r="BO24" s="351" t="s">
        <v>132</v>
      </c>
      <c r="BQ24" s="328" t="s">
        <v>447</v>
      </c>
      <c r="BR24" s="351" t="s">
        <v>132</v>
      </c>
      <c r="BS24" s="351" t="s">
        <v>132</v>
      </c>
      <c r="BT24" s="351" t="s">
        <v>132</v>
      </c>
      <c r="BU24" s="351" t="s">
        <v>132</v>
      </c>
      <c r="BV24" s="351" t="s">
        <v>132</v>
      </c>
      <c r="BW24" s="351" t="s">
        <v>132</v>
      </c>
      <c r="BX24" s="351" t="s">
        <v>132</v>
      </c>
      <c r="BY24" s="351" t="s">
        <v>132</v>
      </c>
      <c r="BZ24" s="351" t="s">
        <v>132</v>
      </c>
      <c r="CA24" s="351" t="s">
        <v>132</v>
      </c>
      <c r="CB24" s="351" t="s">
        <v>132</v>
      </c>
    </row>
    <row r="25" spans="4:80" outlineLevel="1">
      <c r="D25" s="328" t="s">
        <v>448</v>
      </c>
      <c r="E25" s="482">
        <v>2508.7600000000002</v>
      </c>
      <c r="F25" s="482">
        <v>3135.95</v>
      </c>
      <c r="G25" s="482">
        <v>3664.11</v>
      </c>
      <c r="H25" s="482">
        <v>2673.8100000000004</v>
      </c>
      <c r="I25" s="482">
        <v>3664.11</v>
      </c>
      <c r="J25" s="482">
        <v>2970.9</v>
      </c>
      <c r="K25" s="349"/>
      <c r="L25" s="349"/>
      <c r="M25" s="349"/>
      <c r="N25" s="349"/>
      <c r="O25" s="349"/>
      <c r="Q25" s="328" t="s">
        <v>448</v>
      </c>
      <c r="R25" s="350" t="s">
        <v>132</v>
      </c>
      <c r="S25" s="350" t="s">
        <v>132</v>
      </c>
      <c r="T25" s="350" t="s">
        <v>132</v>
      </c>
      <c r="U25" s="350" t="s">
        <v>132</v>
      </c>
      <c r="V25" s="350" t="s">
        <v>132</v>
      </c>
      <c r="W25" s="350" t="s">
        <v>132</v>
      </c>
      <c r="X25" s="350" t="s">
        <v>132</v>
      </c>
      <c r="Y25" s="350" t="s">
        <v>132</v>
      </c>
      <c r="Z25" s="350" t="s">
        <v>132</v>
      </c>
      <c r="AA25" s="350" t="s">
        <v>132</v>
      </c>
      <c r="AB25" s="350" t="s">
        <v>132</v>
      </c>
      <c r="AD25" s="328" t="s">
        <v>448</v>
      </c>
      <c r="AE25" s="351" t="s">
        <v>132</v>
      </c>
      <c r="AF25" s="351" t="s">
        <v>132</v>
      </c>
      <c r="AG25" s="351" t="s">
        <v>132</v>
      </c>
      <c r="AH25" s="351" t="s">
        <v>132</v>
      </c>
      <c r="AI25" s="351" t="s">
        <v>132</v>
      </c>
      <c r="AJ25" s="351" t="s">
        <v>132</v>
      </c>
      <c r="AK25" s="351" t="s">
        <v>132</v>
      </c>
      <c r="AL25" s="351" t="s">
        <v>132</v>
      </c>
      <c r="AM25" s="351" t="s">
        <v>132</v>
      </c>
      <c r="AN25" s="351" t="s">
        <v>132</v>
      </c>
      <c r="AO25" s="351" t="s">
        <v>132</v>
      </c>
      <c r="AQ25" s="328" t="s">
        <v>448</v>
      </c>
      <c r="AR25" s="351" t="s">
        <v>132</v>
      </c>
      <c r="AS25" s="351" t="s">
        <v>132</v>
      </c>
      <c r="AT25" s="351" t="s">
        <v>132</v>
      </c>
      <c r="AU25" s="351" t="s">
        <v>132</v>
      </c>
      <c r="AV25" s="351" t="s">
        <v>132</v>
      </c>
      <c r="AW25" s="351" t="s">
        <v>132</v>
      </c>
      <c r="AX25" s="351" t="s">
        <v>132</v>
      </c>
      <c r="AY25" s="351" t="s">
        <v>132</v>
      </c>
      <c r="AZ25" s="351" t="s">
        <v>132</v>
      </c>
      <c r="BA25" s="351" t="s">
        <v>132</v>
      </c>
      <c r="BB25" s="351" t="s">
        <v>132</v>
      </c>
      <c r="BD25" s="328" t="s">
        <v>448</v>
      </c>
      <c r="BE25" s="351" t="s">
        <v>132</v>
      </c>
      <c r="BF25" s="351" t="s">
        <v>132</v>
      </c>
      <c r="BG25" s="351" t="s">
        <v>132</v>
      </c>
      <c r="BH25" s="351" t="s">
        <v>132</v>
      </c>
      <c r="BI25" s="351" t="s">
        <v>132</v>
      </c>
      <c r="BJ25" s="351" t="s">
        <v>132</v>
      </c>
      <c r="BK25" s="351" t="s">
        <v>132</v>
      </c>
      <c r="BL25" s="351" t="s">
        <v>132</v>
      </c>
      <c r="BM25" s="351" t="s">
        <v>132</v>
      </c>
      <c r="BN25" s="351" t="s">
        <v>132</v>
      </c>
      <c r="BO25" s="351" t="s">
        <v>132</v>
      </c>
      <c r="BQ25" s="328" t="s">
        <v>448</v>
      </c>
      <c r="BR25" s="351" t="s">
        <v>132</v>
      </c>
      <c r="BS25" s="351" t="s">
        <v>132</v>
      </c>
      <c r="BT25" s="351" t="s">
        <v>132</v>
      </c>
      <c r="BU25" s="351" t="s">
        <v>132</v>
      </c>
      <c r="BV25" s="351" t="s">
        <v>132</v>
      </c>
      <c r="BW25" s="351" t="s">
        <v>132</v>
      </c>
      <c r="BX25" s="351" t="s">
        <v>132</v>
      </c>
      <c r="BY25" s="351" t="s">
        <v>132</v>
      </c>
      <c r="BZ25" s="351" t="s">
        <v>132</v>
      </c>
      <c r="CA25" s="351" t="s">
        <v>132</v>
      </c>
      <c r="CB25" s="351" t="s">
        <v>132</v>
      </c>
    </row>
    <row r="26" spans="4:80" outlineLevel="1">
      <c r="D26" s="328" t="s">
        <v>449</v>
      </c>
      <c r="E26" s="482">
        <v>3249.96</v>
      </c>
      <c r="F26" s="482">
        <v>3017.82</v>
      </c>
      <c r="G26" s="482">
        <v>3520.79</v>
      </c>
      <c r="H26" s="482">
        <v>3095.2000000000003</v>
      </c>
      <c r="I26" s="482">
        <v>3675.5499999999997</v>
      </c>
      <c r="J26" s="482">
        <v>4217.21</v>
      </c>
      <c r="K26" s="349"/>
      <c r="L26" s="349"/>
      <c r="M26" s="349"/>
      <c r="N26" s="349"/>
      <c r="O26" s="349"/>
      <c r="Q26" s="328" t="s">
        <v>449</v>
      </c>
      <c r="R26" s="350" t="s">
        <v>132</v>
      </c>
      <c r="S26" s="350" t="s">
        <v>132</v>
      </c>
      <c r="T26" s="350" t="s">
        <v>132</v>
      </c>
      <c r="U26" s="350" t="s">
        <v>132</v>
      </c>
      <c r="V26" s="350" t="s">
        <v>132</v>
      </c>
      <c r="W26" s="350" t="s">
        <v>132</v>
      </c>
      <c r="X26" s="350" t="s">
        <v>132</v>
      </c>
      <c r="Y26" s="350" t="s">
        <v>132</v>
      </c>
      <c r="Z26" s="350" t="s">
        <v>132</v>
      </c>
      <c r="AA26" s="350" t="s">
        <v>132</v>
      </c>
      <c r="AB26" s="350" t="s">
        <v>132</v>
      </c>
      <c r="AD26" s="328" t="s">
        <v>449</v>
      </c>
      <c r="AE26" s="351" t="s">
        <v>132</v>
      </c>
      <c r="AF26" s="351" t="s">
        <v>132</v>
      </c>
      <c r="AG26" s="351" t="s">
        <v>132</v>
      </c>
      <c r="AH26" s="351" t="s">
        <v>132</v>
      </c>
      <c r="AI26" s="351" t="s">
        <v>132</v>
      </c>
      <c r="AJ26" s="351" t="s">
        <v>132</v>
      </c>
      <c r="AK26" s="351" t="s">
        <v>132</v>
      </c>
      <c r="AL26" s="351" t="s">
        <v>132</v>
      </c>
      <c r="AM26" s="351" t="s">
        <v>132</v>
      </c>
      <c r="AN26" s="351" t="s">
        <v>132</v>
      </c>
      <c r="AO26" s="351" t="s">
        <v>132</v>
      </c>
      <c r="AQ26" s="328" t="s">
        <v>449</v>
      </c>
      <c r="AR26" s="351" t="s">
        <v>132</v>
      </c>
      <c r="AS26" s="351" t="s">
        <v>132</v>
      </c>
      <c r="AT26" s="351" t="s">
        <v>132</v>
      </c>
      <c r="AU26" s="351" t="s">
        <v>132</v>
      </c>
      <c r="AV26" s="351" t="s">
        <v>132</v>
      </c>
      <c r="AW26" s="351" t="s">
        <v>132</v>
      </c>
      <c r="AX26" s="351" t="s">
        <v>132</v>
      </c>
      <c r="AY26" s="351" t="s">
        <v>132</v>
      </c>
      <c r="AZ26" s="351" t="s">
        <v>132</v>
      </c>
      <c r="BA26" s="351" t="s">
        <v>132</v>
      </c>
      <c r="BB26" s="351" t="s">
        <v>132</v>
      </c>
      <c r="BD26" s="328" t="s">
        <v>449</v>
      </c>
      <c r="BE26" s="351" t="s">
        <v>132</v>
      </c>
      <c r="BF26" s="351" t="s">
        <v>132</v>
      </c>
      <c r="BG26" s="351" t="s">
        <v>132</v>
      </c>
      <c r="BH26" s="351" t="s">
        <v>132</v>
      </c>
      <c r="BI26" s="351" t="s">
        <v>132</v>
      </c>
      <c r="BJ26" s="351" t="s">
        <v>132</v>
      </c>
      <c r="BK26" s="351" t="s">
        <v>132</v>
      </c>
      <c r="BL26" s="351" t="s">
        <v>132</v>
      </c>
      <c r="BM26" s="351" t="s">
        <v>132</v>
      </c>
      <c r="BN26" s="351" t="s">
        <v>132</v>
      </c>
      <c r="BO26" s="351" t="s">
        <v>132</v>
      </c>
      <c r="BQ26" s="328" t="s">
        <v>449</v>
      </c>
      <c r="BR26" s="351" t="s">
        <v>132</v>
      </c>
      <c r="BS26" s="351" t="s">
        <v>132</v>
      </c>
      <c r="BT26" s="351" t="s">
        <v>132</v>
      </c>
      <c r="BU26" s="351" t="s">
        <v>132</v>
      </c>
      <c r="BV26" s="351" t="s">
        <v>132</v>
      </c>
      <c r="BW26" s="351" t="s">
        <v>132</v>
      </c>
      <c r="BX26" s="351" t="s">
        <v>132</v>
      </c>
      <c r="BY26" s="351" t="s">
        <v>132</v>
      </c>
      <c r="BZ26" s="351" t="s">
        <v>132</v>
      </c>
      <c r="CA26" s="351" t="s">
        <v>132</v>
      </c>
      <c r="CB26" s="351" t="s">
        <v>132</v>
      </c>
    </row>
    <row r="27" spans="4:80" outlineLevel="1">
      <c r="D27" s="328" t="s">
        <v>450</v>
      </c>
      <c r="E27" s="482">
        <v>3392.62</v>
      </c>
      <c r="F27" s="482">
        <v>4494.12</v>
      </c>
      <c r="G27" s="482">
        <v>3612.9199999999996</v>
      </c>
      <c r="H27" s="482">
        <v>3921.34</v>
      </c>
      <c r="I27" s="482">
        <v>5331.26</v>
      </c>
      <c r="J27" s="482">
        <v>5639.68</v>
      </c>
      <c r="K27" s="349"/>
      <c r="L27" s="349"/>
      <c r="M27" s="349"/>
      <c r="N27" s="349"/>
      <c r="O27" s="349"/>
      <c r="Q27" s="328" t="s">
        <v>450</v>
      </c>
      <c r="R27" s="350" t="s">
        <v>132</v>
      </c>
      <c r="S27" s="350" t="s">
        <v>132</v>
      </c>
      <c r="T27" s="350" t="s">
        <v>132</v>
      </c>
      <c r="U27" s="350" t="s">
        <v>132</v>
      </c>
      <c r="V27" s="350" t="s">
        <v>132</v>
      </c>
      <c r="W27" s="350" t="s">
        <v>132</v>
      </c>
      <c r="X27" s="350" t="s">
        <v>132</v>
      </c>
      <c r="Y27" s="350" t="s">
        <v>132</v>
      </c>
      <c r="Z27" s="350" t="s">
        <v>132</v>
      </c>
      <c r="AA27" s="350" t="s">
        <v>132</v>
      </c>
      <c r="AB27" s="350" t="s">
        <v>132</v>
      </c>
      <c r="AD27" s="328" t="s">
        <v>450</v>
      </c>
      <c r="AE27" s="351" t="s">
        <v>132</v>
      </c>
      <c r="AF27" s="351" t="s">
        <v>132</v>
      </c>
      <c r="AG27" s="351" t="s">
        <v>132</v>
      </c>
      <c r="AH27" s="351" t="s">
        <v>132</v>
      </c>
      <c r="AI27" s="351" t="s">
        <v>132</v>
      </c>
      <c r="AJ27" s="351" t="s">
        <v>132</v>
      </c>
      <c r="AK27" s="351" t="s">
        <v>132</v>
      </c>
      <c r="AL27" s="351" t="s">
        <v>132</v>
      </c>
      <c r="AM27" s="351" t="s">
        <v>132</v>
      </c>
      <c r="AN27" s="351" t="s">
        <v>132</v>
      </c>
      <c r="AO27" s="351" t="s">
        <v>132</v>
      </c>
      <c r="AQ27" s="328" t="s">
        <v>450</v>
      </c>
      <c r="AR27" s="351" t="s">
        <v>132</v>
      </c>
      <c r="AS27" s="351" t="s">
        <v>132</v>
      </c>
      <c r="AT27" s="351" t="s">
        <v>132</v>
      </c>
      <c r="AU27" s="351" t="s">
        <v>132</v>
      </c>
      <c r="AV27" s="351" t="s">
        <v>132</v>
      </c>
      <c r="AW27" s="351" t="s">
        <v>132</v>
      </c>
      <c r="AX27" s="351" t="s">
        <v>132</v>
      </c>
      <c r="AY27" s="351" t="s">
        <v>132</v>
      </c>
      <c r="AZ27" s="351" t="s">
        <v>132</v>
      </c>
      <c r="BA27" s="351" t="s">
        <v>132</v>
      </c>
      <c r="BB27" s="351" t="s">
        <v>132</v>
      </c>
      <c r="BD27" s="328" t="s">
        <v>450</v>
      </c>
      <c r="BE27" s="351" t="s">
        <v>132</v>
      </c>
      <c r="BF27" s="351" t="s">
        <v>132</v>
      </c>
      <c r="BG27" s="351" t="s">
        <v>132</v>
      </c>
      <c r="BH27" s="351" t="s">
        <v>132</v>
      </c>
      <c r="BI27" s="351" t="s">
        <v>132</v>
      </c>
      <c r="BJ27" s="351" t="s">
        <v>132</v>
      </c>
      <c r="BK27" s="351" t="s">
        <v>132</v>
      </c>
      <c r="BL27" s="351" t="s">
        <v>132</v>
      </c>
      <c r="BM27" s="351" t="s">
        <v>132</v>
      </c>
      <c r="BN27" s="351" t="s">
        <v>132</v>
      </c>
      <c r="BO27" s="351" t="s">
        <v>132</v>
      </c>
      <c r="BQ27" s="328" t="s">
        <v>450</v>
      </c>
      <c r="BR27" s="351" t="s">
        <v>132</v>
      </c>
      <c r="BS27" s="351" t="s">
        <v>132</v>
      </c>
      <c r="BT27" s="351" t="s">
        <v>132</v>
      </c>
      <c r="BU27" s="351" t="s">
        <v>132</v>
      </c>
      <c r="BV27" s="351" t="s">
        <v>132</v>
      </c>
      <c r="BW27" s="351" t="s">
        <v>132</v>
      </c>
      <c r="BX27" s="351" t="s">
        <v>132</v>
      </c>
      <c r="BY27" s="351" t="s">
        <v>132</v>
      </c>
      <c r="BZ27" s="351" t="s">
        <v>132</v>
      </c>
      <c r="CA27" s="351" t="s">
        <v>132</v>
      </c>
      <c r="CB27" s="351" t="s">
        <v>132</v>
      </c>
    </row>
    <row r="28" spans="4:80" outlineLevel="1">
      <c r="D28" s="330" t="s">
        <v>451</v>
      </c>
      <c r="E28" s="482">
        <v>6704.46</v>
      </c>
      <c r="F28" s="482">
        <v>4097.17</v>
      </c>
      <c r="G28" s="482">
        <v>5321</v>
      </c>
      <c r="H28" s="482">
        <v>3884.33</v>
      </c>
      <c r="I28" s="482">
        <v>4735.6900000000005</v>
      </c>
      <c r="J28" s="482">
        <v>5959.52</v>
      </c>
      <c r="K28" s="349"/>
      <c r="L28" s="349"/>
      <c r="M28" s="349"/>
      <c r="N28" s="349"/>
      <c r="O28" s="349"/>
      <c r="Q28" s="330" t="s">
        <v>451</v>
      </c>
      <c r="R28" s="350" t="s">
        <v>132</v>
      </c>
      <c r="S28" s="350" t="s">
        <v>132</v>
      </c>
      <c r="T28" s="350" t="s">
        <v>132</v>
      </c>
      <c r="U28" s="350" t="s">
        <v>132</v>
      </c>
      <c r="V28" s="350" t="s">
        <v>132</v>
      </c>
      <c r="W28" s="350" t="s">
        <v>132</v>
      </c>
      <c r="X28" s="350" t="s">
        <v>132</v>
      </c>
      <c r="Y28" s="350" t="s">
        <v>132</v>
      </c>
      <c r="Z28" s="350" t="s">
        <v>132</v>
      </c>
      <c r="AA28" s="350" t="s">
        <v>132</v>
      </c>
      <c r="AB28" s="350" t="s">
        <v>132</v>
      </c>
      <c r="AD28" s="330" t="s">
        <v>451</v>
      </c>
      <c r="AE28" s="351" t="s">
        <v>132</v>
      </c>
      <c r="AF28" s="351" t="s">
        <v>132</v>
      </c>
      <c r="AG28" s="351" t="s">
        <v>132</v>
      </c>
      <c r="AH28" s="351" t="s">
        <v>132</v>
      </c>
      <c r="AI28" s="351" t="s">
        <v>132</v>
      </c>
      <c r="AJ28" s="351" t="s">
        <v>132</v>
      </c>
      <c r="AK28" s="351" t="s">
        <v>132</v>
      </c>
      <c r="AL28" s="351" t="s">
        <v>132</v>
      </c>
      <c r="AM28" s="351" t="s">
        <v>132</v>
      </c>
      <c r="AN28" s="351" t="s">
        <v>132</v>
      </c>
      <c r="AO28" s="351" t="s">
        <v>132</v>
      </c>
      <c r="AQ28" s="330" t="s">
        <v>451</v>
      </c>
      <c r="AR28" s="351" t="s">
        <v>132</v>
      </c>
      <c r="AS28" s="351" t="s">
        <v>132</v>
      </c>
      <c r="AT28" s="351" t="s">
        <v>132</v>
      </c>
      <c r="AU28" s="351" t="s">
        <v>132</v>
      </c>
      <c r="AV28" s="351" t="s">
        <v>132</v>
      </c>
      <c r="AW28" s="351" t="s">
        <v>132</v>
      </c>
      <c r="AX28" s="351" t="s">
        <v>132</v>
      </c>
      <c r="AY28" s="351" t="s">
        <v>132</v>
      </c>
      <c r="AZ28" s="351" t="s">
        <v>132</v>
      </c>
      <c r="BA28" s="351" t="s">
        <v>132</v>
      </c>
      <c r="BB28" s="351" t="s">
        <v>132</v>
      </c>
      <c r="BD28" s="330" t="s">
        <v>451</v>
      </c>
      <c r="BE28" s="351" t="s">
        <v>132</v>
      </c>
      <c r="BF28" s="351" t="s">
        <v>132</v>
      </c>
      <c r="BG28" s="351" t="s">
        <v>132</v>
      </c>
      <c r="BH28" s="351" t="s">
        <v>132</v>
      </c>
      <c r="BI28" s="351" t="s">
        <v>132</v>
      </c>
      <c r="BJ28" s="351" t="s">
        <v>132</v>
      </c>
      <c r="BK28" s="351" t="s">
        <v>132</v>
      </c>
      <c r="BL28" s="351" t="s">
        <v>132</v>
      </c>
      <c r="BM28" s="351" t="s">
        <v>132</v>
      </c>
      <c r="BN28" s="351" t="s">
        <v>132</v>
      </c>
      <c r="BO28" s="351" t="s">
        <v>132</v>
      </c>
      <c r="BQ28" s="330" t="s">
        <v>451</v>
      </c>
      <c r="BR28" s="351" t="s">
        <v>132</v>
      </c>
      <c r="BS28" s="351" t="s">
        <v>132</v>
      </c>
      <c r="BT28" s="351" t="s">
        <v>132</v>
      </c>
      <c r="BU28" s="351" t="s">
        <v>132</v>
      </c>
      <c r="BV28" s="351" t="s">
        <v>132</v>
      </c>
      <c r="BW28" s="351" t="s">
        <v>132</v>
      </c>
      <c r="BX28" s="351" t="s">
        <v>132</v>
      </c>
      <c r="BY28" s="351" t="s">
        <v>132</v>
      </c>
      <c r="BZ28" s="351" t="s">
        <v>132</v>
      </c>
      <c r="CA28" s="351" t="s">
        <v>132</v>
      </c>
      <c r="CB28" s="351" t="s">
        <v>132</v>
      </c>
    </row>
    <row r="29" spans="4:80" outlineLevel="1">
      <c r="D29" s="330" t="s">
        <v>841</v>
      </c>
      <c r="E29" s="482">
        <v>24689.439999999999</v>
      </c>
      <c r="F29" s="482">
        <v>15750.16</v>
      </c>
      <c r="G29" s="482">
        <v>23838.080000000002</v>
      </c>
      <c r="H29" s="482">
        <v>19794.120000000003</v>
      </c>
      <c r="I29" s="482">
        <v>27669.200000000001</v>
      </c>
      <c r="J29" s="482">
        <v>22348.2</v>
      </c>
      <c r="K29" s="349"/>
      <c r="L29" s="349"/>
      <c r="M29" s="349"/>
      <c r="N29" s="349"/>
      <c r="O29" s="349"/>
      <c r="Q29" s="330" t="s">
        <v>452</v>
      </c>
      <c r="R29" s="350" t="s">
        <v>132</v>
      </c>
      <c r="S29" s="350" t="s">
        <v>132</v>
      </c>
      <c r="T29" s="350" t="s">
        <v>132</v>
      </c>
      <c r="U29" s="350" t="s">
        <v>132</v>
      </c>
      <c r="V29" s="350" t="s">
        <v>132</v>
      </c>
      <c r="W29" s="350" t="s">
        <v>132</v>
      </c>
      <c r="X29" s="350" t="s">
        <v>132</v>
      </c>
      <c r="Y29" s="350" t="s">
        <v>132</v>
      </c>
      <c r="Z29" s="350" t="s">
        <v>132</v>
      </c>
      <c r="AA29" s="350" t="s">
        <v>132</v>
      </c>
      <c r="AB29" s="350" t="s">
        <v>132</v>
      </c>
      <c r="AD29" s="330" t="s">
        <v>452</v>
      </c>
      <c r="AE29" s="351" t="s">
        <v>132</v>
      </c>
      <c r="AF29" s="351" t="s">
        <v>132</v>
      </c>
      <c r="AG29" s="351" t="s">
        <v>132</v>
      </c>
      <c r="AH29" s="351" t="s">
        <v>132</v>
      </c>
      <c r="AI29" s="351" t="s">
        <v>132</v>
      </c>
      <c r="AJ29" s="351" t="s">
        <v>132</v>
      </c>
      <c r="AK29" s="351" t="s">
        <v>132</v>
      </c>
      <c r="AL29" s="351" t="s">
        <v>132</v>
      </c>
      <c r="AM29" s="351" t="s">
        <v>132</v>
      </c>
      <c r="AN29" s="351" t="s">
        <v>132</v>
      </c>
      <c r="AO29" s="351" t="s">
        <v>132</v>
      </c>
      <c r="AQ29" s="330" t="s">
        <v>452</v>
      </c>
      <c r="AR29" s="351" t="s">
        <v>132</v>
      </c>
      <c r="AS29" s="351" t="s">
        <v>132</v>
      </c>
      <c r="AT29" s="351" t="s">
        <v>132</v>
      </c>
      <c r="AU29" s="351" t="s">
        <v>132</v>
      </c>
      <c r="AV29" s="351" t="s">
        <v>132</v>
      </c>
      <c r="AW29" s="351" t="s">
        <v>132</v>
      </c>
      <c r="AX29" s="351" t="s">
        <v>132</v>
      </c>
      <c r="AY29" s="351" t="s">
        <v>132</v>
      </c>
      <c r="AZ29" s="351" t="s">
        <v>132</v>
      </c>
      <c r="BA29" s="351" t="s">
        <v>132</v>
      </c>
      <c r="BB29" s="351" t="s">
        <v>132</v>
      </c>
      <c r="BD29" s="330" t="s">
        <v>452</v>
      </c>
      <c r="BE29" s="351" t="s">
        <v>132</v>
      </c>
      <c r="BF29" s="351" t="s">
        <v>132</v>
      </c>
      <c r="BG29" s="351" t="s">
        <v>132</v>
      </c>
      <c r="BH29" s="351" t="s">
        <v>132</v>
      </c>
      <c r="BI29" s="351" t="s">
        <v>132</v>
      </c>
      <c r="BJ29" s="351" t="s">
        <v>132</v>
      </c>
      <c r="BK29" s="351" t="s">
        <v>132</v>
      </c>
      <c r="BL29" s="351" t="s">
        <v>132</v>
      </c>
      <c r="BM29" s="351" t="s">
        <v>132</v>
      </c>
      <c r="BN29" s="351" t="s">
        <v>132</v>
      </c>
      <c r="BO29" s="351" t="s">
        <v>132</v>
      </c>
      <c r="BQ29" s="330" t="s">
        <v>452</v>
      </c>
      <c r="BR29" s="351" t="s">
        <v>132</v>
      </c>
      <c r="BS29" s="351" t="s">
        <v>132</v>
      </c>
      <c r="BT29" s="351" t="s">
        <v>132</v>
      </c>
      <c r="BU29" s="351" t="s">
        <v>132</v>
      </c>
      <c r="BV29" s="351" t="s">
        <v>132</v>
      </c>
      <c r="BW29" s="351" t="s">
        <v>132</v>
      </c>
      <c r="BX29" s="351" t="s">
        <v>132</v>
      </c>
      <c r="BY29" s="351" t="s">
        <v>132</v>
      </c>
      <c r="BZ29" s="351" t="s">
        <v>132</v>
      </c>
      <c r="CA29" s="351" t="s">
        <v>132</v>
      </c>
      <c r="CB29" s="351" t="s">
        <v>132</v>
      </c>
    </row>
    <row r="30" spans="4:80" outlineLevel="1">
      <c r="D30" s="330" t="s">
        <v>27</v>
      </c>
      <c r="E30" s="482">
        <v>65353.859999999993</v>
      </c>
      <c r="F30" s="482">
        <v>69263.92</v>
      </c>
      <c r="G30" s="482">
        <v>69263.92</v>
      </c>
      <c r="H30" s="482">
        <v>71498.240000000005</v>
      </c>
      <c r="I30" s="482">
        <v>42452.08</v>
      </c>
      <c r="J30" s="482">
        <v>41893.5</v>
      </c>
      <c r="K30" s="349"/>
      <c r="L30" s="349"/>
      <c r="M30" s="349"/>
      <c r="N30" s="349"/>
      <c r="O30" s="349"/>
      <c r="Q30" s="330" t="s">
        <v>27</v>
      </c>
      <c r="R30" s="350" t="s">
        <v>132</v>
      </c>
      <c r="S30" s="350" t="s">
        <v>132</v>
      </c>
      <c r="T30" s="350" t="s">
        <v>132</v>
      </c>
      <c r="U30" s="350" t="s">
        <v>132</v>
      </c>
      <c r="V30" s="350" t="s">
        <v>132</v>
      </c>
      <c r="W30" s="350" t="s">
        <v>132</v>
      </c>
      <c r="X30" s="350" t="s">
        <v>132</v>
      </c>
      <c r="Y30" s="350" t="s">
        <v>132</v>
      </c>
      <c r="Z30" s="350" t="s">
        <v>132</v>
      </c>
      <c r="AA30" s="350" t="s">
        <v>132</v>
      </c>
      <c r="AB30" s="350" t="s">
        <v>132</v>
      </c>
      <c r="AD30" s="330" t="s">
        <v>27</v>
      </c>
      <c r="AE30" s="351" t="s">
        <v>132</v>
      </c>
      <c r="AF30" s="351" t="s">
        <v>132</v>
      </c>
      <c r="AG30" s="351" t="s">
        <v>132</v>
      </c>
      <c r="AH30" s="351" t="s">
        <v>132</v>
      </c>
      <c r="AI30" s="351" t="s">
        <v>132</v>
      </c>
      <c r="AJ30" s="351" t="s">
        <v>132</v>
      </c>
      <c r="AK30" s="351" t="s">
        <v>132</v>
      </c>
      <c r="AL30" s="351" t="s">
        <v>132</v>
      </c>
      <c r="AM30" s="351" t="s">
        <v>132</v>
      </c>
      <c r="AN30" s="351" t="s">
        <v>132</v>
      </c>
      <c r="AO30" s="351" t="s">
        <v>132</v>
      </c>
      <c r="AQ30" s="330" t="s">
        <v>27</v>
      </c>
      <c r="AR30" s="351" t="s">
        <v>132</v>
      </c>
      <c r="AS30" s="351" t="s">
        <v>132</v>
      </c>
      <c r="AT30" s="351" t="s">
        <v>132</v>
      </c>
      <c r="AU30" s="351" t="s">
        <v>132</v>
      </c>
      <c r="AV30" s="351" t="s">
        <v>132</v>
      </c>
      <c r="AW30" s="351" t="s">
        <v>132</v>
      </c>
      <c r="AX30" s="351" t="s">
        <v>132</v>
      </c>
      <c r="AY30" s="351" t="s">
        <v>132</v>
      </c>
      <c r="AZ30" s="351" t="s">
        <v>132</v>
      </c>
      <c r="BA30" s="351" t="s">
        <v>132</v>
      </c>
      <c r="BB30" s="351" t="s">
        <v>132</v>
      </c>
      <c r="BD30" s="330" t="s">
        <v>27</v>
      </c>
      <c r="BE30" s="351" t="s">
        <v>132</v>
      </c>
      <c r="BF30" s="351" t="s">
        <v>132</v>
      </c>
      <c r="BG30" s="351" t="s">
        <v>132</v>
      </c>
      <c r="BH30" s="351" t="s">
        <v>132</v>
      </c>
      <c r="BI30" s="351" t="s">
        <v>132</v>
      </c>
      <c r="BJ30" s="351" t="s">
        <v>132</v>
      </c>
      <c r="BK30" s="351" t="s">
        <v>132</v>
      </c>
      <c r="BL30" s="351" t="s">
        <v>132</v>
      </c>
      <c r="BM30" s="351" t="s">
        <v>132</v>
      </c>
      <c r="BN30" s="351" t="s">
        <v>132</v>
      </c>
      <c r="BO30" s="351" t="s">
        <v>132</v>
      </c>
      <c r="BQ30" s="330" t="s">
        <v>27</v>
      </c>
      <c r="BR30" s="351" t="s">
        <v>132</v>
      </c>
      <c r="BS30" s="351" t="s">
        <v>132</v>
      </c>
      <c r="BT30" s="351" t="s">
        <v>132</v>
      </c>
      <c r="BU30" s="351" t="s">
        <v>132</v>
      </c>
      <c r="BV30" s="351" t="s">
        <v>132</v>
      </c>
      <c r="BW30" s="351" t="s">
        <v>132</v>
      </c>
      <c r="BX30" s="351" t="s">
        <v>132</v>
      </c>
      <c r="BY30" s="351" t="s">
        <v>132</v>
      </c>
      <c r="BZ30" s="351" t="s">
        <v>132</v>
      </c>
      <c r="CA30" s="351" t="s">
        <v>132</v>
      </c>
      <c r="CB30" s="351" t="s">
        <v>132</v>
      </c>
    </row>
    <row r="31" spans="4:80" outlineLevel="1">
      <c r="D31" s="330" t="s">
        <v>28</v>
      </c>
      <c r="E31" s="482">
        <v>165680.43000000002</v>
      </c>
      <c r="F31" s="482">
        <v>126487.20999999999</v>
      </c>
      <c r="G31" s="482">
        <v>183495.53</v>
      </c>
      <c r="H31" s="482">
        <v>213781.19999999998</v>
      </c>
      <c r="I31" s="482">
        <v>158554.39000000001</v>
      </c>
      <c r="J31" s="482">
        <v>178151</v>
      </c>
      <c r="K31" s="349"/>
      <c r="L31" s="349"/>
      <c r="M31" s="349"/>
      <c r="N31" s="349"/>
      <c r="O31" s="349"/>
      <c r="Q31" s="330" t="s">
        <v>28</v>
      </c>
      <c r="R31" s="350" t="s">
        <v>132</v>
      </c>
      <c r="S31" s="350" t="s">
        <v>132</v>
      </c>
      <c r="T31" s="350" t="s">
        <v>132</v>
      </c>
      <c r="U31" s="350" t="s">
        <v>132</v>
      </c>
      <c r="V31" s="350" t="s">
        <v>132</v>
      </c>
      <c r="W31" s="350" t="s">
        <v>132</v>
      </c>
      <c r="X31" s="350" t="s">
        <v>132</v>
      </c>
      <c r="Y31" s="350" t="s">
        <v>132</v>
      </c>
      <c r="Z31" s="350" t="s">
        <v>132</v>
      </c>
      <c r="AA31" s="350" t="s">
        <v>132</v>
      </c>
      <c r="AB31" s="350" t="s">
        <v>132</v>
      </c>
      <c r="AD31" s="330" t="s">
        <v>28</v>
      </c>
      <c r="AE31" s="351" t="s">
        <v>132</v>
      </c>
      <c r="AF31" s="351" t="s">
        <v>132</v>
      </c>
      <c r="AG31" s="351" t="s">
        <v>132</v>
      </c>
      <c r="AH31" s="351" t="s">
        <v>132</v>
      </c>
      <c r="AI31" s="351" t="s">
        <v>132</v>
      </c>
      <c r="AJ31" s="351" t="s">
        <v>132</v>
      </c>
      <c r="AK31" s="351" t="s">
        <v>132</v>
      </c>
      <c r="AL31" s="351" t="s">
        <v>132</v>
      </c>
      <c r="AM31" s="351" t="s">
        <v>132</v>
      </c>
      <c r="AN31" s="351" t="s">
        <v>132</v>
      </c>
      <c r="AO31" s="351" t="s">
        <v>132</v>
      </c>
      <c r="AQ31" s="330" t="s">
        <v>28</v>
      </c>
      <c r="AR31" s="351" t="s">
        <v>132</v>
      </c>
      <c r="AS31" s="351" t="s">
        <v>132</v>
      </c>
      <c r="AT31" s="351" t="s">
        <v>132</v>
      </c>
      <c r="AU31" s="351" t="s">
        <v>132</v>
      </c>
      <c r="AV31" s="351" t="s">
        <v>132</v>
      </c>
      <c r="AW31" s="351" t="s">
        <v>132</v>
      </c>
      <c r="AX31" s="351" t="s">
        <v>132</v>
      </c>
      <c r="AY31" s="351" t="s">
        <v>132</v>
      </c>
      <c r="AZ31" s="351" t="s">
        <v>132</v>
      </c>
      <c r="BA31" s="351" t="s">
        <v>132</v>
      </c>
      <c r="BB31" s="351" t="s">
        <v>132</v>
      </c>
      <c r="BD31" s="330" t="s">
        <v>28</v>
      </c>
      <c r="BE31" s="351" t="s">
        <v>132</v>
      </c>
      <c r="BF31" s="351" t="s">
        <v>132</v>
      </c>
      <c r="BG31" s="351" t="s">
        <v>132</v>
      </c>
      <c r="BH31" s="351" t="s">
        <v>132</v>
      </c>
      <c r="BI31" s="351" t="s">
        <v>132</v>
      </c>
      <c r="BJ31" s="351" t="s">
        <v>132</v>
      </c>
      <c r="BK31" s="351" t="s">
        <v>132</v>
      </c>
      <c r="BL31" s="351" t="s">
        <v>132</v>
      </c>
      <c r="BM31" s="351" t="s">
        <v>132</v>
      </c>
      <c r="BN31" s="351" t="s">
        <v>132</v>
      </c>
      <c r="BO31" s="351" t="s">
        <v>132</v>
      </c>
      <c r="BQ31" s="330" t="s">
        <v>28</v>
      </c>
      <c r="BR31" s="351" t="s">
        <v>132</v>
      </c>
      <c r="BS31" s="351" t="s">
        <v>132</v>
      </c>
      <c r="BT31" s="351" t="s">
        <v>132</v>
      </c>
      <c r="BU31" s="351" t="s">
        <v>132</v>
      </c>
      <c r="BV31" s="351" t="s">
        <v>132</v>
      </c>
      <c r="BW31" s="351" t="s">
        <v>132</v>
      </c>
      <c r="BX31" s="351" t="s">
        <v>132</v>
      </c>
      <c r="BY31" s="351" t="s">
        <v>132</v>
      </c>
      <c r="BZ31" s="351" t="s">
        <v>132</v>
      </c>
      <c r="CA31" s="351" t="s">
        <v>132</v>
      </c>
      <c r="CB31" s="351" t="s">
        <v>132</v>
      </c>
    </row>
    <row r="32" spans="4:80" outlineLevel="1">
      <c r="D32" s="329" t="s">
        <v>453</v>
      </c>
      <c r="E32" s="482">
        <v>565665.80000000005</v>
      </c>
      <c r="F32" s="482">
        <v>646475.20000000007</v>
      </c>
      <c r="G32" s="482">
        <v>577210</v>
      </c>
      <c r="H32" s="482">
        <v>686879.9</v>
      </c>
      <c r="I32" s="482">
        <v>721512.5</v>
      </c>
      <c r="J32" s="482">
        <v>554121.6</v>
      </c>
      <c r="K32" s="349"/>
      <c r="L32" s="349"/>
      <c r="M32" s="349"/>
      <c r="N32" s="349"/>
      <c r="O32" s="349"/>
      <c r="Q32" s="329" t="s">
        <v>453</v>
      </c>
      <c r="R32" s="350" t="s">
        <v>132</v>
      </c>
      <c r="S32" s="350" t="s">
        <v>132</v>
      </c>
      <c r="T32" s="350" t="s">
        <v>132</v>
      </c>
      <c r="U32" s="350" t="s">
        <v>132</v>
      </c>
      <c r="V32" s="350" t="s">
        <v>132</v>
      </c>
      <c r="W32" s="350" t="s">
        <v>132</v>
      </c>
      <c r="X32" s="350" t="s">
        <v>132</v>
      </c>
      <c r="Y32" s="350" t="s">
        <v>132</v>
      </c>
      <c r="Z32" s="350" t="s">
        <v>132</v>
      </c>
      <c r="AA32" s="350" t="s">
        <v>132</v>
      </c>
      <c r="AB32" s="350" t="s">
        <v>132</v>
      </c>
      <c r="AD32" s="329" t="s">
        <v>453</v>
      </c>
      <c r="AE32" s="351" t="s">
        <v>132</v>
      </c>
      <c r="AF32" s="351" t="s">
        <v>132</v>
      </c>
      <c r="AG32" s="351" t="s">
        <v>132</v>
      </c>
      <c r="AH32" s="351" t="s">
        <v>132</v>
      </c>
      <c r="AI32" s="351" t="s">
        <v>132</v>
      </c>
      <c r="AJ32" s="351" t="s">
        <v>132</v>
      </c>
      <c r="AK32" s="351" t="s">
        <v>132</v>
      </c>
      <c r="AL32" s="351" t="s">
        <v>132</v>
      </c>
      <c r="AM32" s="351" t="s">
        <v>132</v>
      </c>
      <c r="AN32" s="351" t="s">
        <v>132</v>
      </c>
      <c r="AO32" s="351" t="s">
        <v>132</v>
      </c>
      <c r="AQ32" s="329" t="s">
        <v>453</v>
      </c>
      <c r="AR32" s="351" t="s">
        <v>132</v>
      </c>
      <c r="AS32" s="351" t="s">
        <v>132</v>
      </c>
      <c r="AT32" s="351" t="s">
        <v>132</v>
      </c>
      <c r="AU32" s="351" t="s">
        <v>132</v>
      </c>
      <c r="AV32" s="351" t="s">
        <v>132</v>
      </c>
      <c r="AW32" s="351" t="s">
        <v>132</v>
      </c>
      <c r="AX32" s="351" t="s">
        <v>132</v>
      </c>
      <c r="AY32" s="351" t="s">
        <v>132</v>
      </c>
      <c r="AZ32" s="351" t="s">
        <v>132</v>
      </c>
      <c r="BA32" s="351" t="s">
        <v>132</v>
      </c>
      <c r="BB32" s="351" t="s">
        <v>132</v>
      </c>
      <c r="BD32" s="329" t="s">
        <v>453</v>
      </c>
      <c r="BE32" s="351" t="s">
        <v>132</v>
      </c>
      <c r="BF32" s="351" t="s">
        <v>132</v>
      </c>
      <c r="BG32" s="351" t="s">
        <v>132</v>
      </c>
      <c r="BH32" s="351" t="s">
        <v>132</v>
      </c>
      <c r="BI32" s="351" t="s">
        <v>132</v>
      </c>
      <c r="BJ32" s="351" t="s">
        <v>132</v>
      </c>
      <c r="BK32" s="351" t="s">
        <v>132</v>
      </c>
      <c r="BL32" s="351" t="s">
        <v>132</v>
      </c>
      <c r="BM32" s="351" t="s">
        <v>132</v>
      </c>
      <c r="BN32" s="351" t="s">
        <v>132</v>
      </c>
      <c r="BO32" s="351" t="s">
        <v>132</v>
      </c>
      <c r="BQ32" s="329" t="s">
        <v>453</v>
      </c>
      <c r="BR32" s="351" t="s">
        <v>132</v>
      </c>
      <c r="BS32" s="351" t="s">
        <v>132</v>
      </c>
      <c r="BT32" s="351" t="s">
        <v>132</v>
      </c>
      <c r="BU32" s="351" t="s">
        <v>132</v>
      </c>
      <c r="BV32" s="351" t="s">
        <v>132</v>
      </c>
      <c r="BW32" s="351" t="s">
        <v>132</v>
      </c>
      <c r="BX32" s="351" t="s">
        <v>132</v>
      </c>
      <c r="BY32" s="351" t="s">
        <v>132</v>
      </c>
      <c r="BZ32" s="351" t="s">
        <v>132</v>
      </c>
      <c r="CA32" s="351" t="s">
        <v>132</v>
      </c>
      <c r="CB32" s="351" t="s">
        <v>132</v>
      </c>
    </row>
    <row r="33" spans="4:80" outlineLevel="1">
      <c r="D33" s="329" t="s">
        <v>454</v>
      </c>
      <c r="E33" s="482">
        <v>1255431.75</v>
      </c>
      <c r="F33" s="482">
        <v>1587327.5000000002</v>
      </c>
      <c r="G33" s="482">
        <v>1861502.25</v>
      </c>
      <c r="H33" s="482">
        <v>1096699</v>
      </c>
      <c r="I33" s="482">
        <v>1414164.5</v>
      </c>
      <c r="J33" s="482">
        <v>1168850.25</v>
      </c>
      <c r="K33" s="349"/>
      <c r="L33" s="349"/>
      <c r="M33" s="349"/>
      <c r="N33" s="349"/>
      <c r="O33" s="349"/>
      <c r="Q33" s="329" t="s">
        <v>454</v>
      </c>
      <c r="R33" s="350" t="s">
        <v>132</v>
      </c>
      <c r="S33" s="350" t="s">
        <v>132</v>
      </c>
      <c r="T33" s="350" t="s">
        <v>132</v>
      </c>
      <c r="U33" s="350" t="s">
        <v>132</v>
      </c>
      <c r="V33" s="350" t="s">
        <v>132</v>
      </c>
      <c r="W33" s="350" t="s">
        <v>132</v>
      </c>
      <c r="X33" s="350" t="s">
        <v>132</v>
      </c>
      <c r="Y33" s="350" t="s">
        <v>132</v>
      </c>
      <c r="Z33" s="350" t="s">
        <v>132</v>
      </c>
      <c r="AA33" s="350" t="s">
        <v>132</v>
      </c>
      <c r="AB33" s="350" t="s">
        <v>132</v>
      </c>
      <c r="AD33" s="329" t="s">
        <v>454</v>
      </c>
      <c r="AE33" s="351" t="s">
        <v>132</v>
      </c>
      <c r="AF33" s="351" t="s">
        <v>132</v>
      </c>
      <c r="AG33" s="351" t="s">
        <v>132</v>
      </c>
      <c r="AH33" s="351" t="s">
        <v>132</v>
      </c>
      <c r="AI33" s="351" t="s">
        <v>132</v>
      </c>
      <c r="AJ33" s="351" t="s">
        <v>132</v>
      </c>
      <c r="AK33" s="351" t="s">
        <v>132</v>
      </c>
      <c r="AL33" s="351" t="s">
        <v>132</v>
      </c>
      <c r="AM33" s="351" t="s">
        <v>132</v>
      </c>
      <c r="AN33" s="351" t="s">
        <v>132</v>
      </c>
      <c r="AO33" s="351" t="s">
        <v>132</v>
      </c>
      <c r="AQ33" s="329" t="s">
        <v>454</v>
      </c>
      <c r="AR33" s="351" t="s">
        <v>132</v>
      </c>
      <c r="AS33" s="351" t="s">
        <v>132</v>
      </c>
      <c r="AT33" s="351" t="s">
        <v>132</v>
      </c>
      <c r="AU33" s="351" t="s">
        <v>132</v>
      </c>
      <c r="AV33" s="351" t="s">
        <v>132</v>
      </c>
      <c r="AW33" s="351" t="s">
        <v>132</v>
      </c>
      <c r="AX33" s="351" t="s">
        <v>132</v>
      </c>
      <c r="AY33" s="351" t="s">
        <v>132</v>
      </c>
      <c r="AZ33" s="351" t="s">
        <v>132</v>
      </c>
      <c r="BA33" s="351" t="s">
        <v>132</v>
      </c>
      <c r="BB33" s="351" t="s">
        <v>132</v>
      </c>
      <c r="BD33" s="329" t="s">
        <v>454</v>
      </c>
      <c r="BE33" s="351" t="s">
        <v>132</v>
      </c>
      <c r="BF33" s="351" t="s">
        <v>132</v>
      </c>
      <c r="BG33" s="351" t="s">
        <v>132</v>
      </c>
      <c r="BH33" s="351" t="s">
        <v>132</v>
      </c>
      <c r="BI33" s="351" t="s">
        <v>132</v>
      </c>
      <c r="BJ33" s="351" t="s">
        <v>132</v>
      </c>
      <c r="BK33" s="351" t="s">
        <v>132</v>
      </c>
      <c r="BL33" s="351" t="s">
        <v>132</v>
      </c>
      <c r="BM33" s="351" t="s">
        <v>132</v>
      </c>
      <c r="BN33" s="351" t="s">
        <v>132</v>
      </c>
      <c r="BO33" s="351" t="s">
        <v>132</v>
      </c>
      <c r="BQ33" s="329" t="s">
        <v>454</v>
      </c>
      <c r="BR33" s="351" t="s">
        <v>132</v>
      </c>
      <c r="BS33" s="351" t="s">
        <v>132</v>
      </c>
      <c r="BT33" s="351" t="s">
        <v>132</v>
      </c>
      <c r="BU33" s="351" t="s">
        <v>132</v>
      </c>
      <c r="BV33" s="351" t="s">
        <v>132</v>
      </c>
      <c r="BW33" s="351" t="s">
        <v>132</v>
      </c>
      <c r="BX33" s="351" t="s">
        <v>132</v>
      </c>
      <c r="BY33" s="351" t="s">
        <v>132</v>
      </c>
      <c r="BZ33" s="351" t="s">
        <v>132</v>
      </c>
      <c r="CA33" s="351" t="s">
        <v>132</v>
      </c>
      <c r="CB33" s="351" t="s">
        <v>132</v>
      </c>
    </row>
    <row r="34" spans="4:80" outlineLevel="1">
      <c r="D34" s="329" t="s">
        <v>455</v>
      </c>
      <c r="E34" s="482">
        <v>3728776.6</v>
      </c>
      <c r="F34" s="482">
        <v>5102536.4000000004</v>
      </c>
      <c r="G34" s="482">
        <v>4906285</v>
      </c>
      <c r="H34" s="482">
        <v>5102536.4000000004</v>
      </c>
      <c r="I34" s="482">
        <v>3974090.85</v>
      </c>
      <c r="J34" s="482">
        <v>5396913.5</v>
      </c>
      <c r="K34" s="349"/>
      <c r="L34" s="349"/>
      <c r="M34" s="349"/>
      <c r="N34" s="349"/>
      <c r="O34" s="349"/>
      <c r="Q34" s="329" t="s">
        <v>455</v>
      </c>
      <c r="R34" s="350" t="s">
        <v>132</v>
      </c>
      <c r="S34" s="350" t="s">
        <v>132</v>
      </c>
      <c r="T34" s="350" t="s">
        <v>132</v>
      </c>
      <c r="U34" s="350" t="s">
        <v>132</v>
      </c>
      <c r="V34" s="350" t="s">
        <v>132</v>
      </c>
      <c r="W34" s="350" t="s">
        <v>132</v>
      </c>
      <c r="X34" s="350" t="s">
        <v>132</v>
      </c>
      <c r="Y34" s="350" t="s">
        <v>132</v>
      </c>
      <c r="Z34" s="350" t="s">
        <v>132</v>
      </c>
      <c r="AA34" s="350" t="s">
        <v>132</v>
      </c>
      <c r="AB34" s="350" t="s">
        <v>132</v>
      </c>
      <c r="AD34" s="329" t="s">
        <v>455</v>
      </c>
      <c r="AE34" s="351" t="s">
        <v>132</v>
      </c>
      <c r="AF34" s="351" t="s">
        <v>132</v>
      </c>
      <c r="AG34" s="351" t="s">
        <v>132</v>
      </c>
      <c r="AH34" s="351" t="s">
        <v>132</v>
      </c>
      <c r="AI34" s="351" t="s">
        <v>132</v>
      </c>
      <c r="AJ34" s="351" t="s">
        <v>132</v>
      </c>
      <c r="AK34" s="351" t="s">
        <v>132</v>
      </c>
      <c r="AL34" s="351" t="s">
        <v>132</v>
      </c>
      <c r="AM34" s="351" t="s">
        <v>132</v>
      </c>
      <c r="AN34" s="351" t="s">
        <v>132</v>
      </c>
      <c r="AO34" s="351" t="s">
        <v>132</v>
      </c>
      <c r="AQ34" s="329" t="s">
        <v>455</v>
      </c>
      <c r="AR34" s="351" t="s">
        <v>132</v>
      </c>
      <c r="AS34" s="351" t="s">
        <v>132</v>
      </c>
      <c r="AT34" s="351" t="s">
        <v>132</v>
      </c>
      <c r="AU34" s="351" t="s">
        <v>132</v>
      </c>
      <c r="AV34" s="351" t="s">
        <v>132</v>
      </c>
      <c r="AW34" s="351" t="s">
        <v>132</v>
      </c>
      <c r="AX34" s="351" t="s">
        <v>132</v>
      </c>
      <c r="AY34" s="351" t="s">
        <v>132</v>
      </c>
      <c r="AZ34" s="351" t="s">
        <v>132</v>
      </c>
      <c r="BA34" s="351" t="s">
        <v>132</v>
      </c>
      <c r="BB34" s="351" t="s">
        <v>132</v>
      </c>
      <c r="BD34" s="329" t="s">
        <v>455</v>
      </c>
      <c r="BE34" s="351" t="s">
        <v>132</v>
      </c>
      <c r="BF34" s="351" t="s">
        <v>132</v>
      </c>
      <c r="BG34" s="351" t="s">
        <v>132</v>
      </c>
      <c r="BH34" s="351" t="s">
        <v>132</v>
      </c>
      <c r="BI34" s="351" t="s">
        <v>132</v>
      </c>
      <c r="BJ34" s="351" t="s">
        <v>132</v>
      </c>
      <c r="BK34" s="351" t="s">
        <v>132</v>
      </c>
      <c r="BL34" s="351" t="s">
        <v>132</v>
      </c>
      <c r="BM34" s="351" t="s">
        <v>132</v>
      </c>
      <c r="BN34" s="351" t="s">
        <v>132</v>
      </c>
      <c r="BO34" s="351" t="s">
        <v>132</v>
      </c>
      <c r="BQ34" s="329" t="s">
        <v>455</v>
      </c>
      <c r="BR34" s="351" t="s">
        <v>132</v>
      </c>
      <c r="BS34" s="351" t="s">
        <v>132</v>
      </c>
      <c r="BT34" s="351" t="s">
        <v>132</v>
      </c>
      <c r="BU34" s="351" t="s">
        <v>132</v>
      </c>
      <c r="BV34" s="351" t="s">
        <v>132</v>
      </c>
      <c r="BW34" s="351" t="s">
        <v>132</v>
      </c>
      <c r="BX34" s="351" t="s">
        <v>132</v>
      </c>
      <c r="BY34" s="351" t="s">
        <v>132</v>
      </c>
      <c r="BZ34" s="351" t="s">
        <v>132</v>
      </c>
      <c r="CA34" s="351" t="s">
        <v>132</v>
      </c>
      <c r="CB34" s="351" t="s">
        <v>132</v>
      </c>
    </row>
    <row r="35" spans="4:80" outlineLevel="1">
      <c r="D35" s="329" t="s">
        <v>456</v>
      </c>
      <c r="E35" s="482">
        <v>22765162.399999999</v>
      </c>
      <c r="F35" s="482">
        <v>16877620.399999999</v>
      </c>
      <c r="G35" s="482">
        <v>16485117.6</v>
      </c>
      <c r="H35" s="482">
        <v>13933849.399999999</v>
      </c>
      <c r="I35" s="482">
        <v>13933849.399999999</v>
      </c>
      <c r="J35" s="482">
        <v>22765162.399999999</v>
      </c>
      <c r="K35" s="349"/>
      <c r="L35" s="349"/>
      <c r="M35" s="349"/>
      <c r="N35" s="349"/>
      <c r="O35" s="349"/>
      <c r="Q35" s="329" t="s">
        <v>456</v>
      </c>
      <c r="R35" s="350" t="s">
        <v>132</v>
      </c>
      <c r="S35" s="350" t="s">
        <v>132</v>
      </c>
      <c r="T35" s="350" t="s">
        <v>132</v>
      </c>
      <c r="U35" s="350" t="s">
        <v>132</v>
      </c>
      <c r="V35" s="350" t="s">
        <v>132</v>
      </c>
      <c r="W35" s="350" t="s">
        <v>132</v>
      </c>
      <c r="X35" s="350" t="s">
        <v>132</v>
      </c>
      <c r="Y35" s="350" t="s">
        <v>132</v>
      </c>
      <c r="Z35" s="350" t="s">
        <v>132</v>
      </c>
      <c r="AA35" s="350" t="s">
        <v>132</v>
      </c>
      <c r="AB35" s="350" t="s">
        <v>132</v>
      </c>
      <c r="AD35" s="329" t="s">
        <v>456</v>
      </c>
      <c r="AE35" s="351" t="s">
        <v>132</v>
      </c>
      <c r="AF35" s="351" t="s">
        <v>132</v>
      </c>
      <c r="AG35" s="351" t="s">
        <v>132</v>
      </c>
      <c r="AH35" s="351" t="s">
        <v>132</v>
      </c>
      <c r="AI35" s="351" t="s">
        <v>132</v>
      </c>
      <c r="AJ35" s="351" t="s">
        <v>132</v>
      </c>
      <c r="AK35" s="351" t="s">
        <v>132</v>
      </c>
      <c r="AL35" s="351" t="s">
        <v>132</v>
      </c>
      <c r="AM35" s="351" t="s">
        <v>132</v>
      </c>
      <c r="AN35" s="351" t="s">
        <v>132</v>
      </c>
      <c r="AO35" s="351" t="s">
        <v>132</v>
      </c>
      <c r="AQ35" s="329" t="s">
        <v>456</v>
      </c>
      <c r="AR35" s="351" t="s">
        <v>132</v>
      </c>
      <c r="AS35" s="351" t="s">
        <v>132</v>
      </c>
      <c r="AT35" s="351" t="s">
        <v>132</v>
      </c>
      <c r="AU35" s="351" t="s">
        <v>132</v>
      </c>
      <c r="AV35" s="351" t="s">
        <v>132</v>
      </c>
      <c r="AW35" s="351" t="s">
        <v>132</v>
      </c>
      <c r="AX35" s="351" t="s">
        <v>132</v>
      </c>
      <c r="AY35" s="351" t="s">
        <v>132</v>
      </c>
      <c r="AZ35" s="351" t="s">
        <v>132</v>
      </c>
      <c r="BA35" s="351" t="s">
        <v>132</v>
      </c>
      <c r="BB35" s="351" t="s">
        <v>132</v>
      </c>
      <c r="BD35" s="329" t="s">
        <v>456</v>
      </c>
      <c r="BE35" s="351" t="s">
        <v>132</v>
      </c>
      <c r="BF35" s="351" t="s">
        <v>132</v>
      </c>
      <c r="BG35" s="351" t="s">
        <v>132</v>
      </c>
      <c r="BH35" s="351" t="s">
        <v>132</v>
      </c>
      <c r="BI35" s="351" t="s">
        <v>132</v>
      </c>
      <c r="BJ35" s="351" t="s">
        <v>132</v>
      </c>
      <c r="BK35" s="351" t="s">
        <v>132</v>
      </c>
      <c r="BL35" s="351" t="s">
        <v>132</v>
      </c>
      <c r="BM35" s="351" t="s">
        <v>132</v>
      </c>
      <c r="BN35" s="351" t="s">
        <v>132</v>
      </c>
      <c r="BO35" s="351" t="s">
        <v>132</v>
      </c>
      <c r="BQ35" s="329" t="s">
        <v>456</v>
      </c>
      <c r="BR35" s="351" t="s">
        <v>132</v>
      </c>
      <c r="BS35" s="351" t="s">
        <v>132</v>
      </c>
      <c r="BT35" s="351" t="s">
        <v>132</v>
      </c>
      <c r="BU35" s="351" t="s">
        <v>132</v>
      </c>
      <c r="BV35" s="351" t="s">
        <v>132</v>
      </c>
      <c r="BW35" s="351" t="s">
        <v>132</v>
      </c>
      <c r="BX35" s="351" t="s">
        <v>132</v>
      </c>
      <c r="BY35" s="351" t="s">
        <v>132</v>
      </c>
      <c r="BZ35" s="351" t="s">
        <v>132</v>
      </c>
      <c r="CA35" s="351" t="s">
        <v>132</v>
      </c>
      <c r="CB35" s="351" t="s">
        <v>132</v>
      </c>
    </row>
    <row r="36" spans="4:80" outlineLevel="1">
      <c r="D36" s="87" t="s">
        <v>457</v>
      </c>
      <c r="E36" s="481">
        <v>17945</v>
      </c>
      <c r="F36" s="481">
        <v>19795</v>
      </c>
      <c r="G36" s="481">
        <v>20350</v>
      </c>
      <c r="H36" s="481">
        <v>14430</v>
      </c>
      <c r="I36" s="481">
        <v>15355</v>
      </c>
      <c r="J36" s="481">
        <v>18500</v>
      </c>
      <c r="K36" s="349"/>
      <c r="L36" s="349"/>
      <c r="M36" s="349"/>
      <c r="N36" s="349"/>
      <c r="O36" s="349"/>
      <c r="Q36" s="87" t="s">
        <v>457</v>
      </c>
      <c r="R36" s="350" t="s">
        <v>132</v>
      </c>
      <c r="S36" s="350" t="s">
        <v>132</v>
      </c>
      <c r="T36" s="350" t="s">
        <v>132</v>
      </c>
      <c r="U36" s="350" t="s">
        <v>132</v>
      </c>
      <c r="V36" s="350" t="s">
        <v>132</v>
      </c>
      <c r="W36" s="350" t="s">
        <v>132</v>
      </c>
      <c r="X36" s="350" t="s">
        <v>132</v>
      </c>
      <c r="Y36" s="350" t="s">
        <v>132</v>
      </c>
      <c r="Z36" s="350" t="s">
        <v>132</v>
      </c>
      <c r="AA36" s="350" t="s">
        <v>132</v>
      </c>
      <c r="AB36" s="350" t="s">
        <v>132</v>
      </c>
      <c r="AD36" s="87" t="s">
        <v>457</v>
      </c>
      <c r="AE36" s="351" t="s">
        <v>132</v>
      </c>
      <c r="AF36" s="351" t="s">
        <v>132</v>
      </c>
      <c r="AG36" s="351" t="s">
        <v>132</v>
      </c>
      <c r="AH36" s="351" t="s">
        <v>132</v>
      </c>
      <c r="AI36" s="351" t="s">
        <v>132</v>
      </c>
      <c r="AJ36" s="351" t="s">
        <v>132</v>
      </c>
      <c r="AK36" s="351" t="s">
        <v>132</v>
      </c>
      <c r="AL36" s="351" t="s">
        <v>132</v>
      </c>
      <c r="AM36" s="351" t="s">
        <v>132</v>
      </c>
      <c r="AN36" s="351" t="s">
        <v>132</v>
      </c>
      <c r="AO36" s="351" t="s">
        <v>132</v>
      </c>
      <c r="AQ36" s="87" t="s">
        <v>457</v>
      </c>
      <c r="AR36" s="351" t="s">
        <v>132</v>
      </c>
      <c r="AS36" s="351" t="s">
        <v>132</v>
      </c>
      <c r="AT36" s="351" t="s">
        <v>132</v>
      </c>
      <c r="AU36" s="351" t="s">
        <v>132</v>
      </c>
      <c r="AV36" s="351" t="s">
        <v>132</v>
      </c>
      <c r="AW36" s="351" t="s">
        <v>132</v>
      </c>
      <c r="AX36" s="351" t="s">
        <v>132</v>
      </c>
      <c r="AY36" s="351" t="s">
        <v>132</v>
      </c>
      <c r="AZ36" s="351" t="s">
        <v>132</v>
      </c>
      <c r="BA36" s="351" t="s">
        <v>132</v>
      </c>
      <c r="BB36" s="351" t="s">
        <v>132</v>
      </c>
      <c r="BD36" s="87" t="s">
        <v>457</v>
      </c>
      <c r="BE36" s="351" t="s">
        <v>132</v>
      </c>
      <c r="BF36" s="351" t="s">
        <v>132</v>
      </c>
      <c r="BG36" s="351" t="s">
        <v>132</v>
      </c>
      <c r="BH36" s="351" t="s">
        <v>132</v>
      </c>
      <c r="BI36" s="351" t="s">
        <v>132</v>
      </c>
      <c r="BJ36" s="351" t="s">
        <v>132</v>
      </c>
      <c r="BK36" s="351" t="s">
        <v>132</v>
      </c>
      <c r="BL36" s="351" t="s">
        <v>132</v>
      </c>
      <c r="BM36" s="351" t="s">
        <v>132</v>
      </c>
      <c r="BN36" s="351" t="s">
        <v>132</v>
      </c>
      <c r="BO36" s="351" t="s">
        <v>132</v>
      </c>
      <c r="BQ36" s="87" t="s">
        <v>457</v>
      </c>
      <c r="BR36" s="351" t="s">
        <v>132</v>
      </c>
      <c r="BS36" s="351" t="s">
        <v>132</v>
      </c>
      <c r="BT36" s="351" t="s">
        <v>132</v>
      </c>
      <c r="BU36" s="351" t="s">
        <v>132</v>
      </c>
      <c r="BV36" s="351" t="s">
        <v>132</v>
      </c>
      <c r="BW36" s="351" t="s">
        <v>132</v>
      </c>
      <c r="BX36" s="351" t="s">
        <v>132</v>
      </c>
      <c r="BY36" s="351" t="s">
        <v>132</v>
      </c>
      <c r="BZ36" s="351" t="s">
        <v>132</v>
      </c>
      <c r="CA36" s="351" t="s">
        <v>132</v>
      </c>
      <c r="CB36" s="351" t="s">
        <v>132</v>
      </c>
    </row>
    <row r="37" spans="4:80" outlineLevel="1">
      <c r="D37" s="328" t="s">
        <v>458</v>
      </c>
      <c r="E37" s="481">
        <v>18360</v>
      </c>
      <c r="F37" s="481">
        <v>28814.999999999996</v>
      </c>
      <c r="G37" s="481">
        <v>18360</v>
      </c>
      <c r="H37" s="481">
        <v>24735</v>
      </c>
      <c r="I37" s="481">
        <v>19635</v>
      </c>
      <c r="J37" s="481">
        <v>19125</v>
      </c>
      <c r="K37" s="349"/>
      <c r="L37" s="349"/>
      <c r="M37" s="349"/>
      <c r="N37" s="349"/>
      <c r="O37" s="349"/>
      <c r="Q37" s="328" t="s">
        <v>458</v>
      </c>
      <c r="R37" s="350" t="s">
        <v>132</v>
      </c>
      <c r="S37" s="350" t="s">
        <v>132</v>
      </c>
      <c r="T37" s="350" t="s">
        <v>132</v>
      </c>
      <c r="U37" s="350" t="s">
        <v>132</v>
      </c>
      <c r="V37" s="350" t="s">
        <v>132</v>
      </c>
      <c r="W37" s="350" t="s">
        <v>132</v>
      </c>
      <c r="X37" s="350" t="s">
        <v>132</v>
      </c>
      <c r="Y37" s="350" t="s">
        <v>132</v>
      </c>
      <c r="Z37" s="350" t="s">
        <v>132</v>
      </c>
      <c r="AA37" s="350" t="s">
        <v>132</v>
      </c>
      <c r="AB37" s="350" t="s">
        <v>132</v>
      </c>
      <c r="AD37" s="328" t="s">
        <v>458</v>
      </c>
      <c r="AE37" s="351" t="s">
        <v>132</v>
      </c>
      <c r="AF37" s="351" t="s">
        <v>132</v>
      </c>
      <c r="AG37" s="351" t="s">
        <v>132</v>
      </c>
      <c r="AH37" s="351" t="s">
        <v>132</v>
      </c>
      <c r="AI37" s="351" t="s">
        <v>132</v>
      </c>
      <c r="AJ37" s="351" t="s">
        <v>132</v>
      </c>
      <c r="AK37" s="351" t="s">
        <v>132</v>
      </c>
      <c r="AL37" s="351" t="s">
        <v>132</v>
      </c>
      <c r="AM37" s="351" t="s">
        <v>132</v>
      </c>
      <c r="AN37" s="351" t="s">
        <v>132</v>
      </c>
      <c r="AO37" s="351" t="s">
        <v>132</v>
      </c>
      <c r="AQ37" s="328" t="s">
        <v>458</v>
      </c>
      <c r="AR37" s="351" t="s">
        <v>132</v>
      </c>
      <c r="AS37" s="351" t="s">
        <v>132</v>
      </c>
      <c r="AT37" s="351" t="s">
        <v>132</v>
      </c>
      <c r="AU37" s="351" t="s">
        <v>132</v>
      </c>
      <c r="AV37" s="351" t="s">
        <v>132</v>
      </c>
      <c r="AW37" s="351" t="s">
        <v>132</v>
      </c>
      <c r="AX37" s="351" t="s">
        <v>132</v>
      </c>
      <c r="AY37" s="351" t="s">
        <v>132</v>
      </c>
      <c r="AZ37" s="351" t="s">
        <v>132</v>
      </c>
      <c r="BA37" s="351" t="s">
        <v>132</v>
      </c>
      <c r="BB37" s="351" t="s">
        <v>132</v>
      </c>
      <c r="BD37" s="328" t="s">
        <v>458</v>
      </c>
      <c r="BE37" s="351" t="s">
        <v>132</v>
      </c>
      <c r="BF37" s="351" t="s">
        <v>132</v>
      </c>
      <c r="BG37" s="351" t="s">
        <v>132</v>
      </c>
      <c r="BH37" s="351" t="s">
        <v>132</v>
      </c>
      <c r="BI37" s="351" t="s">
        <v>132</v>
      </c>
      <c r="BJ37" s="351" t="s">
        <v>132</v>
      </c>
      <c r="BK37" s="351" t="s">
        <v>132</v>
      </c>
      <c r="BL37" s="351" t="s">
        <v>132</v>
      </c>
      <c r="BM37" s="351" t="s">
        <v>132</v>
      </c>
      <c r="BN37" s="351" t="s">
        <v>132</v>
      </c>
      <c r="BO37" s="351" t="s">
        <v>132</v>
      </c>
      <c r="BQ37" s="328" t="s">
        <v>458</v>
      </c>
      <c r="BR37" s="351" t="s">
        <v>132</v>
      </c>
      <c r="BS37" s="351" t="s">
        <v>132</v>
      </c>
      <c r="BT37" s="351" t="s">
        <v>132</v>
      </c>
      <c r="BU37" s="351" t="s">
        <v>132</v>
      </c>
      <c r="BV37" s="351" t="s">
        <v>132</v>
      </c>
      <c r="BW37" s="351" t="s">
        <v>132</v>
      </c>
      <c r="BX37" s="351" t="s">
        <v>132</v>
      </c>
      <c r="BY37" s="351" t="s">
        <v>132</v>
      </c>
      <c r="BZ37" s="351" t="s">
        <v>132</v>
      </c>
      <c r="CA37" s="351" t="s">
        <v>132</v>
      </c>
      <c r="CB37" s="351" t="s">
        <v>132</v>
      </c>
    </row>
    <row r="38" spans="4:80" outlineLevel="1">
      <c r="D38" s="328" t="s">
        <v>459</v>
      </c>
      <c r="E38" s="481">
        <v>33078</v>
      </c>
      <c r="F38" s="481">
        <v>29204</v>
      </c>
      <c r="G38" s="481">
        <v>34866</v>
      </c>
      <c r="H38" s="481">
        <v>35462</v>
      </c>
      <c r="I38" s="481">
        <v>33078</v>
      </c>
      <c r="J38" s="481">
        <v>25330</v>
      </c>
      <c r="K38" s="349"/>
      <c r="L38" s="349"/>
      <c r="M38" s="349"/>
      <c r="N38" s="349"/>
      <c r="O38" s="349"/>
      <c r="Q38" s="328" t="s">
        <v>459</v>
      </c>
      <c r="R38" s="350" t="s">
        <v>132</v>
      </c>
      <c r="S38" s="350" t="s">
        <v>132</v>
      </c>
      <c r="T38" s="350" t="s">
        <v>132</v>
      </c>
      <c r="U38" s="350" t="s">
        <v>132</v>
      </c>
      <c r="V38" s="350" t="s">
        <v>132</v>
      </c>
      <c r="W38" s="350" t="s">
        <v>132</v>
      </c>
      <c r="X38" s="350" t="s">
        <v>132</v>
      </c>
      <c r="Y38" s="350" t="s">
        <v>132</v>
      </c>
      <c r="Z38" s="350" t="s">
        <v>132</v>
      </c>
      <c r="AA38" s="350" t="s">
        <v>132</v>
      </c>
      <c r="AB38" s="350" t="s">
        <v>132</v>
      </c>
      <c r="AD38" s="328" t="s">
        <v>459</v>
      </c>
      <c r="AE38" s="351" t="s">
        <v>132</v>
      </c>
      <c r="AF38" s="351" t="s">
        <v>132</v>
      </c>
      <c r="AG38" s="351" t="s">
        <v>132</v>
      </c>
      <c r="AH38" s="351" t="s">
        <v>132</v>
      </c>
      <c r="AI38" s="351" t="s">
        <v>132</v>
      </c>
      <c r="AJ38" s="351" t="s">
        <v>132</v>
      </c>
      <c r="AK38" s="351" t="s">
        <v>132</v>
      </c>
      <c r="AL38" s="351" t="s">
        <v>132</v>
      </c>
      <c r="AM38" s="351" t="s">
        <v>132</v>
      </c>
      <c r="AN38" s="351" t="s">
        <v>132</v>
      </c>
      <c r="AO38" s="351" t="s">
        <v>132</v>
      </c>
      <c r="AQ38" s="328" t="s">
        <v>459</v>
      </c>
      <c r="AR38" s="351" t="s">
        <v>132</v>
      </c>
      <c r="AS38" s="351" t="s">
        <v>132</v>
      </c>
      <c r="AT38" s="351" t="s">
        <v>132</v>
      </c>
      <c r="AU38" s="351" t="s">
        <v>132</v>
      </c>
      <c r="AV38" s="351" t="s">
        <v>132</v>
      </c>
      <c r="AW38" s="351" t="s">
        <v>132</v>
      </c>
      <c r="AX38" s="351" t="s">
        <v>132</v>
      </c>
      <c r="AY38" s="351" t="s">
        <v>132</v>
      </c>
      <c r="AZ38" s="351" t="s">
        <v>132</v>
      </c>
      <c r="BA38" s="351" t="s">
        <v>132</v>
      </c>
      <c r="BB38" s="351" t="s">
        <v>132</v>
      </c>
      <c r="BD38" s="328" t="s">
        <v>459</v>
      </c>
      <c r="BE38" s="351" t="s">
        <v>132</v>
      </c>
      <c r="BF38" s="351" t="s">
        <v>132</v>
      </c>
      <c r="BG38" s="351" t="s">
        <v>132</v>
      </c>
      <c r="BH38" s="351" t="s">
        <v>132</v>
      </c>
      <c r="BI38" s="351" t="s">
        <v>132</v>
      </c>
      <c r="BJ38" s="351" t="s">
        <v>132</v>
      </c>
      <c r="BK38" s="351" t="s">
        <v>132</v>
      </c>
      <c r="BL38" s="351" t="s">
        <v>132</v>
      </c>
      <c r="BM38" s="351" t="s">
        <v>132</v>
      </c>
      <c r="BN38" s="351" t="s">
        <v>132</v>
      </c>
      <c r="BO38" s="351" t="s">
        <v>132</v>
      </c>
      <c r="BQ38" s="328" t="s">
        <v>459</v>
      </c>
      <c r="BR38" s="351" t="s">
        <v>132</v>
      </c>
      <c r="BS38" s="351" t="s">
        <v>132</v>
      </c>
      <c r="BT38" s="351" t="s">
        <v>132</v>
      </c>
      <c r="BU38" s="351" t="s">
        <v>132</v>
      </c>
      <c r="BV38" s="351" t="s">
        <v>132</v>
      </c>
      <c r="BW38" s="351" t="s">
        <v>132</v>
      </c>
      <c r="BX38" s="351" t="s">
        <v>132</v>
      </c>
      <c r="BY38" s="351" t="s">
        <v>132</v>
      </c>
      <c r="BZ38" s="351" t="s">
        <v>132</v>
      </c>
      <c r="CA38" s="351" t="s">
        <v>132</v>
      </c>
      <c r="CB38" s="351" t="s">
        <v>132</v>
      </c>
    </row>
    <row r="39" spans="4:80" outlineLevel="1">
      <c r="D39" s="328" t="s">
        <v>460</v>
      </c>
      <c r="E39" s="481">
        <v>32307.999999999996</v>
      </c>
      <c r="F39" s="481">
        <v>37036</v>
      </c>
      <c r="G39" s="481">
        <v>28762</v>
      </c>
      <c r="H39" s="481">
        <v>33490</v>
      </c>
      <c r="I39" s="481">
        <v>29550</v>
      </c>
      <c r="J39" s="481">
        <v>31126</v>
      </c>
      <c r="K39" s="349"/>
      <c r="L39" s="349"/>
      <c r="M39" s="349"/>
      <c r="N39" s="349"/>
      <c r="O39" s="349"/>
      <c r="Q39" s="328" t="s">
        <v>460</v>
      </c>
      <c r="R39" s="350" t="s">
        <v>132</v>
      </c>
      <c r="S39" s="350" t="s">
        <v>132</v>
      </c>
      <c r="T39" s="350" t="s">
        <v>132</v>
      </c>
      <c r="U39" s="350" t="s">
        <v>132</v>
      </c>
      <c r="V39" s="350" t="s">
        <v>132</v>
      </c>
      <c r="W39" s="350" t="s">
        <v>132</v>
      </c>
      <c r="X39" s="350" t="s">
        <v>132</v>
      </c>
      <c r="Y39" s="350" t="s">
        <v>132</v>
      </c>
      <c r="Z39" s="350" t="s">
        <v>132</v>
      </c>
      <c r="AA39" s="350" t="s">
        <v>132</v>
      </c>
      <c r="AB39" s="350" t="s">
        <v>132</v>
      </c>
      <c r="AD39" s="328" t="s">
        <v>460</v>
      </c>
      <c r="AE39" s="351" t="s">
        <v>132</v>
      </c>
      <c r="AF39" s="351" t="s">
        <v>132</v>
      </c>
      <c r="AG39" s="351" t="s">
        <v>132</v>
      </c>
      <c r="AH39" s="351" t="s">
        <v>132</v>
      </c>
      <c r="AI39" s="351" t="s">
        <v>132</v>
      </c>
      <c r="AJ39" s="351" t="s">
        <v>132</v>
      </c>
      <c r="AK39" s="351" t="s">
        <v>132</v>
      </c>
      <c r="AL39" s="351" t="s">
        <v>132</v>
      </c>
      <c r="AM39" s="351" t="s">
        <v>132</v>
      </c>
      <c r="AN39" s="351" t="s">
        <v>132</v>
      </c>
      <c r="AO39" s="351" t="s">
        <v>132</v>
      </c>
      <c r="AQ39" s="328" t="s">
        <v>460</v>
      </c>
      <c r="AR39" s="351" t="s">
        <v>132</v>
      </c>
      <c r="AS39" s="351" t="s">
        <v>132</v>
      </c>
      <c r="AT39" s="351" t="s">
        <v>132</v>
      </c>
      <c r="AU39" s="351" t="s">
        <v>132</v>
      </c>
      <c r="AV39" s="351" t="s">
        <v>132</v>
      </c>
      <c r="AW39" s="351" t="s">
        <v>132</v>
      </c>
      <c r="AX39" s="351" t="s">
        <v>132</v>
      </c>
      <c r="AY39" s="351" t="s">
        <v>132</v>
      </c>
      <c r="AZ39" s="351" t="s">
        <v>132</v>
      </c>
      <c r="BA39" s="351" t="s">
        <v>132</v>
      </c>
      <c r="BB39" s="351" t="s">
        <v>132</v>
      </c>
      <c r="BD39" s="328" t="s">
        <v>460</v>
      </c>
      <c r="BE39" s="351" t="s">
        <v>132</v>
      </c>
      <c r="BF39" s="351" t="s">
        <v>132</v>
      </c>
      <c r="BG39" s="351" t="s">
        <v>132</v>
      </c>
      <c r="BH39" s="351" t="s">
        <v>132</v>
      </c>
      <c r="BI39" s="351" t="s">
        <v>132</v>
      </c>
      <c r="BJ39" s="351" t="s">
        <v>132</v>
      </c>
      <c r="BK39" s="351" t="s">
        <v>132</v>
      </c>
      <c r="BL39" s="351" t="s">
        <v>132</v>
      </c>
      <c r="BM39" s="351" t="s">
        <v>132</v>
      </c>
      <c r="BN39" s="351" t="s">
        <v>132</v>
      </c>
      <c r="BO39" s="351" t="s">
        <v>132</v>
      </c>
      <c r="BQ39" s="328" t="s">
        <v>460</v>
      </c>
      <c r="BR39" s="351" t="s">
        <v>132</v>
      </c>
      <c r="BS39" s="351" t="s">
        <v>132</v>
      </c>
      <c r="BT39" s="351" t="s">
        <v>132</v>
      </c>
      <c r="BU39" s="351" t="s">
        <v>132</v>
      </c>
      <c r="BV39" s="351" t="s">
        <v>132</v>
      </c>
      <c r="BW39" s="351" t="s">
        <v>132</v>
      </c>
      <c r="BX39" s="351" t="s">
        <v>132</v>
      </c>
      <c r="BY39" s="351" t="s">
        <v>132</v>
      </c>
      <c r="BZ39" s="351" t="s">
        <v>132</v>
      </c>
      <c r="CA39" s="351" t="s">
        <v>132</v>
      </c>
      <c r="CB39" s="351" t="s">
        <v>132</v>
      </c>
    </row>
    <row r="40" spans="4:80" outlineLevel="1">
      <c r="D40" s="328" t="s">
        <v>461</v>
      </c>
      <c r="E40" s="481">
        <v>42966</v>
      </c>
      <c r="F40" s="481">
        <v>60060</v>
      </c>
      <c r="G40" s="481">
        <v>57750</v>
      </c>
      <c r="H40" s="481">
        <v>41118</v>
      </c>
      <c r="I40" s="481">
        <v>36498</v>
      </c>
      <c r="J40" s="481">
        <v>55440</v>
      </c>
      <c r="K40" s="349"/>
      <c r="L40" s="349"/>
      <c r="M40" s="349"/>
      <c r="N40" s="349"/>
      <c r="O40" s="349"/>
      <c r="Q40" s="328" t="s">
        <v>461</v>
      </c>
      <c r="R40" s="350" t="s">
        <v>132</v>
      </c>
      <c r="S40" s="350" t="s">
        <v>132</v>
      </c>
      <c r="T40" s="350" t="s">
        <v>132</v>
      </c>
      <c r="U40" s="350" t="s">
        <v>132</v>
      </c>
      <c r="V40" s="350" t="s">
        <v>132</v>
      </c>
      <c r="W40" s="350" t="s">
        <v>132</v>
      </c>
      <c r="X40" s="350" t="s">
        <v>132</v>
      </c>
      <c r="Y40" s="350" t="s">
        <v>132</v>
      </c>
      <c r="Z40" s="350" t="s">
        <v>132</v>
      </c>
      <c r="AA40" s="350" t="s">
        <v>132</v>
      </c>
      <c r="AB40" s="350" t="s">
        <v>132</v>
      </c>
      <c r="AD40" s="328" t="s">
        <v>461</v>
      </c>
      <c r="AE40" s="351" t="s">
        <v>132</v>
      </c>
      <c r="AF40" s="351" t="s">
        <v>132</v>
      </c>
      <c r="AG40" s="351" t="s">
        <v>132</v>
      </c>
      <c r="AH40" s="351" t="s">
        <v>132</v>
      </c>
      <c r="AI40" s="351" t="s">
        <v>132</v>
      </c>
      <c r="AJ40" s="351" t="s">
        <v>132</v>
      </c>
      <c r="AK40" s="351" t="s">
        <v>132</v>
      </c>
      <c r="AL40" s="351" t="s">
        <v>132</v>
      </c>
      <c r="AM40" s="351" t="s">
        <v>132</v>
      </c>
      <c r="AN40" s="351" t="s">
        <v>132</v>
      </c>
      <c r="AO40" s="351" t="s">
        <v>132</v>
      </c>
      <c r="AQ40" s="328" t="s">
        <v>461</v>
      </c>
      <c r="AR40" s="351" t="s">
        <v>132</v>
      </c>
      <c r="AS40" s="351" t="s">
        <v>132</v>
      </c>
      <c r="AT40" s="351" t="s">
        <v>132</v>
      </c>
      <c r="AU40" s="351" t="s">
        <v>132</v>
      </c>
      <c r="AV40" s="351" t="s">
        <v>132</v>
      </c>
      <c r="AW40" s="351" t="s">
        <v>132</v>
      </c>
      <c r="AX40" s="351" t="s">
        <v>132</v>
      </c>
      <c r="AY40" s="351" t="s">
        <v>132</v>
      </c>
      <c r="AZ40" s="351" t="s">
        <v>132</v>
      </c>
      <c r="BA40" s="351" t="s">
        <v>132</v>
      </c>
      <c r="BB40" s="351" t="s">
        <v>132</v>
      </c>
      <c r="BD40" s="328" t="s">
        <v>461</v>
      </c>
      <c r="BE40" s="351" t="s">
        <v>132</v>
      </c>
      <c r="BF40" s="351" t="s">
        <v>132</v>
      </c>
      <c r="BG40" s="351" t="s">
        <v>132</v>
      </c>
      <c r="BH40" s="351" t="s">
        <v>132</v>
      </c>
      <c r="BI40" s="351" t="s">
        <v>132</v>
      </c>
      <c r="BJ40" s="351" t="s">
        <v>132</v>
      </c>
      <c r="BK40" s="351" t="s">
        <v>132</v>
      </c>
      <c r="BL40" s="351" t="s">
        <v>132</v>
      </c>
      <c r="BM40" s="351" t="s">
        <v>132</v>
      </c>
      <c r="BN40" s="351" t="s">
        <v>132</v>
      </c>
      <c r="BO40" s="351" t="s">
        <v>132</v>
      </c>
      <c r="BQ40" s="328" t="s">
        <v>461</v>
      </c>
      <c r="BR40" s="351" t="s">
        <v>132</v>
      </c>
      <c r="BS40" s="351" t="s">
        <v>132</v>
      </c>
      <c r="BT40" s="351" t="s">
        <v>132</v>
      </c>
      <c r="BU40" s="351" t="s">
        <v>132</v>
      </c>
      <c r="BV40" s="351" t="s">
        <v>132</v>
      </c>
      <c r="BW40" s="351" t="s">
        <v>132</v>
      </c>
      <c r="BX40" s="351" t="s">
        <v>132</v>
      </c>
      <c r="BY40" s="351" t="s">
        <v>132</v>
      </c>
      <c r="BZ40" s="351" t="s">
        <v>132</v>
      </c>
      <c r="CA40" s="351" t="s">
        <v>132</v>
      </c>
      <c r="CB40" s="351" t="s">
        <v>132</v>
      </c>
    </row>
    <row r="41" spans="4:80" outlineLevel="1">
      <c r="D41" s="328" t="s">
        <v>462</v>
      </c>
      <c r="E41" s="481">
        <v>52815</v>
      </c>
      <c r="F41" s="481">
        <v>36719</v>
      </c>
      <c r="G41" s="481">
        <v>37725</v>
      </c>
      <c r="H41" s="481">
        <v>36719</v>
      </c>
      <c r="I41" s="481">
        <v>46779</v>
      </c>
      <c r="J41" s="481">
        <v>42252</v>
      </c>
      <c r="K41" s="349"/>
      <c r="L41" s="349"/>
      <c r="M41" s="349"/>
      <c r="N41" s="349"/>
      <c r="O41" s="349"/>
      <c r="Q41" s="328" t="s">
        <v>462</v>
      </c>
      <c r="R41" s="350" t="s">
        <v>132</v>
      </c>
      <c r="S41" s="350" t="s">
        <v>132</v>
      </c>
      <c r="T41" s="350" t="s">
        <v>132</v>
      </c>
      <c r="U41" s="350" t="s">
        <v>132</v>
      </c>
      <c r="V41" s="350" t="s">
        <v>132</v>
      </c>
      <c r="W41" s="350" t="s">
        <v>132</v>
      </c>
      <c r="X41" s="350" t="s">
        <v>132</v>
      </c>
      <c r="Y41" s="350" t="s">
        <v>132</v>
      </c>
      <c r="Z41" s="350" t="s">
        <v>132</v>
      </c>
      <c r="AA41" s="350" t="s">
        <v>132</v>
      </c>
      <c r="AB41" s="350" t="s">
        <v>132</v>
      </c>
      <c r="AD41" s="328" t="s">
        <v>462</v>
      </c>
      <c r="AE41" s="351" t="s">
        <v>132</v>
      </c>
      <c r="AF41" s="351" t="s">
        <v>132</v>
      </c>
      <c r="AG41" s="351" t="s">
        <v>132</v>
      </c>
      <c r="AH41" s="351" t="s">
        <v>132</v>
      </c>
      <c r="AI41" s="351" t="s">
        <v>132</v>
      </c>
      <c r="AJ41" s="351" t="s">
        <v>132</v>
      </c>
      <c r="AK41" s="351" t="s">
        <v>132</v>
      </c>
      <c r="AL41" s="351" t="s">
        <v>132</v>
      </c>
      <c r="AM41" s="351" t="s">
        <v>132</v>
      </c>
      <c r="AN41" s="351" t="s">
        <v>132</v>
      </c>
      <c r="AO41" s="351" t="s">
        <v>132</v>
      </c>
      <c r="AQ41" s="328" t="s">
        <v>462</v>
      </c>
      <c r="AR41" s="351" t="s">
        <v>132</v>
      </c>
      <c r="AS41" s="351" t="s">
        <v>132</v>
      </c>
      <c r="AT41" s="351" t="s">
        <v>132</v>
      </c>
      <c r="AU41" s="351" t="s">
        <v>132</v>
      </c>
      <c r="AV41" s="351" t="s">
        <v>132</v>
      </c>
      <c r="AW41" s="351" t="s">
        <v>132</v>
      </c>
      <c r="AX41" s="351" t="s">
        <v>132</v>
      </c>
      <c r="AY41" s="351" t="s">
        <v>132</v>
      </c>
      <c r="AZ41" s="351" t="s">
        <v>132</v>
      </c>
      <c r="BA41" s="351" t="s">
        <v>132</v>
      </c>
      <c r="BB41" s="351" t="s">
        <v>132</v>
      </c>
      <c r="BD41" s="328" t="s">
        <v>462</v>
      </c>
      <c r="BE41" s="351" t="s">
        <v>132</v>
      </c>
      <c r="BF41" s="351" t="s">
        <v>132</v>
      </c>
      <c r="BG41" s="351" t="s">
        <v>132</v>
      </c>
      <c r="BH41" s="351" t="s">
        <v>132</v>
      </c>
      <c r="BI41" s="351" t="s">
        <v>132</v>
      </c>
      <c r="BJ41" s="351" t="s">
        <v>132</v>
      </c>
      <c r="BK41" s="351" t="s">
        <v>132</v>
      </c>
      <c r="BL41" s="351" t="s">
        <v>132</v>
      </c>
      <c r="BM41" s="351" t="s">
        <v>132</v>
      </c>
      <c r="BN41" s="351" t="s">
        <v>132</v>
      </c>
      <c r="BO41" s="351" t="s">
        <v>132</v>
      </c>
      <c r="BQ41" s="328" t="s">
        <v>462</v>
      </c>
      <c r="BR41" s="351" t="s">
        <v>132</v>
      </c>
      <c r="BS41" s="351" t="s">
        <v>132</v>
      </c>
      <c r="BT41" s="351" t="s">
        <v>132</v>
      </c>
      <c r="BU41" s="351" t="s">
        <v>132</v>
      </c>
      <c r="BV41" s="351" t="s">
        <v>132</v>
      </c>
      <c r="BW41" s="351" t="s">
        <v>132</v>
      </c>
      <c r="BX41" s="351" t="s">
        <v>132</v>
      </c>
      <c r="BY41" s="351" t="s">
        <v>132</v>
      </c>
      <c r="BZ41" s="351" t="s">
        <v>132</v>
      </c>
      <c r="CA41" s="351" t="s">
        <v>132</v>
      </c>
      <c r="CB41" s="351" t="s">
        <v>132</v>
      </c>
    </row>
    <row r="42" spans="4:80" outlineLevel="1">
      <c r="D42" s="328" t="s">
        <v>463</v>
      </c>
      <c r="E42" s="481">
        <v>64428</v>
      </c>
      <c r="F42" s="481">
        <v>69888</v>
      </c>
      <c r="G42" s="481">
        <v>63335.999999999993</v>
      </c>
      <c r="H42" s="481">
        <v>40404</v>
      </c>
      <c r="I42" s="481">
        <v>38766</v>
      </c>
      <c r="J42" s="481">
        <v>51324</v>
      </c>
      <c r="K42" s="349"/>
      <c r="L42" s="349"/>
      <c r="M42" s="349"/>
      <c r="N42" s="349"/>
      <c r="O42" s="349"/>
      <c r="Q42" s="328" t="s">
        <v>463</v>
      </c>
      <c r="R42" s="350" t="s">
        <v>132</v>
      </c>
      <c r="S42" s="350" t="s">
        <v>132</v>
      </c>
      <c r="T42" s="350" t="s">
        <v>132</v>
      </c>
      <c r="U42" s="350" t="s">
        <v>132</v>
      </c>
      <c r="V42" s="350" t="s">
        <v>132</v>
      </c>
      <c r="W42" s="350" t="s">
        <v>132</v>
      </c>
      <c r="X42" s="350" t="s">
        <v>132</v>
      </c>
      <c r="Y42" s="350" t="s">
        <v>132</v>
      </c>
      <c r="Z42" s="350" t="s">
        <v>132</v>
      </c>
      <c r="AA42" s="350" t="s">
        <v>132</v>
      </c>
      <c r="AB42" s="350" t="s">
        <v>132</v>
      </c>
      <c r="AD42" s="328" t="s">
        <v>463</v>
      </c>
      <c r="AE42" s="351" t="s">
        <v>132</v>
      </c>
      <c r="AF42" s="351" t="s">
        <v>132</v>
      </c>
      <c r="AG42" s="351" t="s">
        <v>132</v>
      </c>
      <c r="AH42" s="351" t="s">
        <v>132</v>
      </c>
      <c r="AI42" s="351" t="s">
        <v>132</v>
      </c>
      <c r="AJ42" s="351" t="s">
        <v>132</v>
      </c>
      <c r="AK42" s="351" t="s">
        <v>132</v>
      </c>
      <c r="AL42" s="351" t="s">
        <v>132</v>
      </c>
      <c r="AM42" s="351" t="s">
        <v>132</v>
      </c>
      <c r="AN42" s="351" t="s">
        <v>132</v>
      </c>
      <c r="AO42" s="351" t="s">
        <v>132</v>
      </c>
      <c r="AQ42" s="328" t="s">
        <v>463</v>
      </c>
      <c r="AR42" s="351" t="s">
        <v>132</v>
      </c>
      <c r="AS42" s="351" t="s">
        <v>132</v>
      </c>
      <c r="AT42" s="351" t="s">
        <v>132</v>
      </c>
      <c r="AU42" s="351" t="s">
        <v>132</v>
      </c>
      <c r="AV42" s="351" t="s">
        <v>132</v>
      </c>
      <c r="AW42" s="351" t="s">
        <v>132</v>
      </c>
      <c r="AX42" s="351" t="s">
        <v>132</v>
      </c>
      <c r="AY42" s="351" t="s">
        <v>132</v>
      </c>
      <c r="AZ42" s="351" t="s">
        <v>132</v>
      </c>
      <c r="BA42" s="351" t="s">
        <v>132</v>
      </c>
      <c r="BB42" s="351" t="s">
        <v>132</v>
      </c>
      <c r="BD42" s="328" t="s">
        <v>463</v>
      </c>
      <c r="BE42" s="351" t="s">
        <v>132</v>
      </c>
      <c r="BF42" s="351" t="s">
        <v>132</v>
      </c>
      <c r="BG42" s="351" t="s">
        <v>132</v>
      </c>
      <c r="BH42" s="351" t="s">
        <v>132</v>
      </c>
      <c r="BI42" s="351" t="s">
        <v>132</v>
      </c>
      <c r="BJ42" s="351" t="s">
        <v>132</v>
      </c>
      <c r="BK42" s="351" t="s">
        <v>132</v>
      </c>
      <c r="BL42" s="351" t="s">
        <v>132</v>
      </c>
      <c r="BM42" s="351" t="s">
        <v>132</v>
      </c>
      <c r="BN42" s="351" t="s">
        <v>132</v>
      </c>
      <c r="BO42" s="351" t="s">
        <v>132</v>
      </c>
      <c r="BQ42" s="328" t="s">
        <v>463</v>
      </c>
      <c r="BR42" s="351" t="s">
        <v>132</v>
      </c>
      <c r="BS42" s="351" t="s">
        <v>132</v>
      </c>
      <c r="BT42" s="351" t="s">
        <v>132</v>
      </c>
      <c r="BU42" s="351" t="s">
        <v>132</v>
      </c>
      <c r="BV42" s="351" t="s">
        <v>132</v>
      </c>
      <c r="BW42" s="351" t="s">
        <v>132</v>
      </c>
      <c r="BX42" s="351" t="s">
        <v>132</v>
      </c>
      <c r="BY42" s="351" t="s">
        <v>132</v>
      </c>
      <c r="BZ42" s="351" t="s">
        <v>132</v>
      </c>
      <c r="CA42" s="351" t="s">
        <v>132</v>
      </c>
      <c r="CB42" s="351" t="s">
        <v>132</v>
      </c>
    </row>
    <row r="43" spans="4:80" outlineLevel="1">
      <c r="D43" s="328" t="s">
        <v>464</v>
      </c>
      <c r="E43" s="481">
        <v>68913</v>
      </c>
      <c r="F43" s="481">
        <v>70091</v>
      </c>
      <c r="G43" s="481">
        <v>70091</v>
      </c>
      <c r="H43" s="481">
        <v>43586</v>
      </c>
      <c r="I43" s="481">
        <v>50654</v>
      </c>
      <c r="J43" s="481">
        <v>63612.000000000007</v>
      </c>
      <c r="K43" s="349"/>
      <c r="L43" s="349"/>
      <c r="M43" s="349"/>
      <c r="N43" s="349"/>
      <c r="O43" s="349"/>
      <c r="Q43" s="328" t="s">
        <v>464</v>
      </c>
      <c r="R43" s="350" t="s">
        <v>132</v>
      </c>
      <c r="S43" s="350" t="s">
        <v>132</v>
      </c>
      <c r="T43" s="350" t="s">
        <v>132</v>
      </c>
      <c r="U43" s="350" t="s">
        <v>132</v>
      </c>
      <c r="V43" s="350" t="s">
        <v>132</v>
      </c>
      <c r="W43" s="350" t="s">
        <v>132</v>
      </c>
      <c r="X43" s="350" t="s">
        <v>132</v>
      </c>
      <c r="Y43" s="350" t="s">
        <v>132</v>
      </c>
      <c r="Z43" s="350" t="s">
        <v>132</v>
      </c>
      <c r="AA43" s="350" t="s">
        <v>132</v>
      </c>
      <c r="AB43" s="350" t="s">
        <v>132</v>
      </c>
      <c r="AD43" s="328" t="s">
        <v>464</v>
      </c>
      <c r="AE43" s="351" t="s">
        <v>132</v>
      </c>
      <c r="AF43" s="351" t="s">
        <v>132</v>
      </c>
      <c r="AG43" s="351" t="s">
        <v>132</v>
      </c>
      <c r="AH43" s="351" t="s">
        <v>132</v>
      </c>
      <c r="AI43" s="351" t="s">
        <v>132</v>
      </c>
      <c r="AJ43" s="351" t="s">
        <v>132</v>
      </c>
      <c r="AK43" s="351" t="s">
        <v>132</v>
      </c>
      <c r="AL43" s="351" t="s">
        <v>132</v>
      </c>
      <c r="AM43" s="351" t="s">
        <v>132</v>
      </c>
      <c r="AN43" s="351" t="s">
        <v>132</v>
      </c>
      <c r="AO43" s="351" t="s">
        <v>132</v>
      </c>
      <c r="AQ43" s="328" t="s">
        <v>464</v>
      </c>
      <c r="AR43" s="351" t="s">
        <v>132</v>
      </c>
      <c r="AS43" s="351" t="s">
        <v>132</v>
      </c>
      <c r="AT43" s="351" t="s">
        <v>132</v>
      </c>
      <c r="AU43" s="351" t="s">
        <v>132</v>
      </c>
      <c r="AV43" s="351" t="s">
        <v>132</v>
      </c>
      <c r="AW43" s="351" t="s">
        <v>132</v>
      </c>
      <c r="AX43" s="351" t="s">
        <v>132</v>
      </c>
      <c r="AY43" s="351" t="s">
        <v>132</v>
      </c>
      <c r="AZ43" s="351" t="s">
        <v>132</v>
      </c>
      <c r="BA43" s="351" t="s">
        <v>132</v>
      </c>
      <c r="BB43" s="351" t="s">
        <v>132</v>
      </c>
      <c r="BD43" s="328" t="s">
        <v>464</v>
      </c>
      <c r="BE43" s="351" t="s">
        <v>132</v>
      </c>
      <c r="BF43" s="351" t="s">
        <v>132</v>
      </c>
      <c r="BG43" s="351" t="s">
        <v>132</v>
      </c>
      <c r="BH43" s="351" t="s">
        <v>132</v>
      </c>
      <c r="BI43" s="351" t="s">
        <v>132</v>
      </c>
      <c r="BJ43" s="351" t="s">
        <v>132</v>
      </c>
      <c r="BK43" s="351" t="s">
        <v>132</v>
      </c>
      <c r="BL43" s="351" t="s">
        <v>132</v>
      </c>
      <c r="BM43" s="351" t="s">
        <v>132</v>
      </c>
      <c r="BN43" s="351" t="s">
        <v>132</v>
      </c>
      <c r="BO43" s="351" t="s">
        <v>132</v>
      </c>
      <c r="BQ43" s="328" t="s">
        <v>464</v>
      </c>
      <c r="BR43" s="351" t="s">
        <v>132</v>
      </c>
      <c r="BS43" s="351" t="s">
        <v>132</v>
      </c>
      <c r="BT43" s="351" t="s">
        <v>132</v>
      </c>
      <c r="BU43" s="351" t="s">
        <v>132</v>
      </c>
      <c r="BV43" s="351" t="s">
        <v>132</v>
      </c>
      <c r="BW43" s="351" t="s">
        <v>132</v>
      </c>
      <c r="BX43" s="351" t="s">
        <v>132</v>
      </c>
      <c r="BY43" s="351" t="s">
        <v>132</v>
      </c>
      <c r="BZ43" s="351" t="s">
        <v>132</v>
      </c>
      <c r="CA43" s="351" t="s">
        <v>132</v>
      </c>
      <c r="CB43" s="351" t="s">
        <v>132</v>
      </c>
    </row>
    <row r="44" spans="4:80" outlineLevel="1">
      <c r="D44" s="328" t="s">
        <v>465</v>
      </c>
      <c r="E44" s="481">
        <v>50560</v>
      </c>
      <c r="F44" s="481">
        <v>66360</v>
      </c>
      <c r="G44" s="481">
        <v>50560</v>
      </c>
      <c r="H44" s="481">
        <v>72680</v>
      </c>
      <c r="I44" s="481">
        <v>60672</v>
      </c>
      <c r="J44" s="481">
        <v>46136</v>
      </c>
      <c r="K44" s="349"/>
      <c r="L44" s="349"/>
      <c r="M44" s="349"/>
      <c r="N44" s="349"/>
      <c r="O44" s="349"/>
      <c r="Q44" s="328" t="s">
        <v>465</v>
      </c>
      <c r="R44" s="350" t="s">
        <v>132</v>
      </c>
      <c r="S44" s="350" t="s">
        <v>132</v>
      </c>
      <c r="T44" s="350" t="s">
        <v>132</v>
      </c>
      <c r="U44" s="350" t="s">
        <v>132</v>
      </c>
      <c r="V44" s="350" t="s">
        <v>132</v>
      </c>
      <c r="W44" s="350" t="s">
        <v>132</v>
      </c>
      <c r="X44" s="350" t="s">
        <v>132</v>
      </c>
      <c r="Y44" s="350" t="s">
        <v>132</v>
      </c>
      <c r="Z44" s="350" t="s">
        <v>132</v>
      </c>
      <c r="AA44" s="350" t="s">
        <v>132</v>
      </c>
      <c r="AB44" s="350" t="s">
        <v>132</v>
      </c>
      <c r="AD44" s="328" t="s">
        <v>465</v>
      </c>
      <c r="AE44" s="351" t="s">
        <v>132</v>
      </c>
      <c r="AF44" s="351" t="s">
        <v>132</v>
      </c>
      <c r="AG44" s="351" t="s">
        <v>132</v>
      </c>
      <c r="AH44" s="351" t="s">
        <v>132</v>
      </c>
      <c r="AI44" s="351" t="s">
        <v>132</v>
      </c>
      <c r="AJ44" s="351" t="s">
        <v>132</v>
      </c>
      <c r="AK44" s="351" t="s">
        <v>132</v>
      </c>
      <c r="AL44" s="351" t="s">
        <v>132</v>
      </c>
      <c r="AM44" s="351" t="s">
        <v>132</v>
      </c>
      <c r="AN44" s="351" t="s">
        <v>132</v>
      </c>
      <c r="AO44" s="351" t="s">
        <v>132</v>
      </c>
      <c r="AQ44" s="328" t="s">
        <v>465</v>
      </c>
      <c r="AR44" s="351" t="s">
        <v>132</v>
      </c>
      <c r="AS44" s="351" t="s">
        <v>132</v>
      </c>
      <c r="AT44" s="351" t="s">
        <v>132</v>
      </c>
      <c r="AU44" s="351" t="s">
        <v>132</v>
      </c>
      <c r="AV44" s="351" t="s">
        <v>132</v>
      </c>
      <c r="AW44" s="351" t="s">
        <v>132</v>
      </c>
      <c r="AX44" s="351" t="s">
        <v>132</v>
      </c>
      <c r="AY44" s="351" t="s">
        <v>132</v>
      </c>
      <c r="AZ44" s="351" t="s">
        <v>132</v>
      </c>
      <c r="BA44" s="351" t="s">
        <v>132</v>
      </c>
      <c r="BB44" s="351" t="s">
        <v>132</v>
      </c>
      <c r="BD44" s="328" t="s">
        <v>465</v>
      </c>
      <c r="BE44" s="351" t="s">
        <v>132</v>
      </c>
      <c r="BF44" s="351" t="s">
        <v>132</v>
      </c>
      <c r="BG44" s="351" t="s">
        <v>132</v>
      </c>
      <c r="BH44" s="351" t="s">
        <v>132</v>
      </c>
      <c r="BI44" s="351" t="s">
        <v>132</v>
      </c>
      <c r="BJ44" s="351" t="s">
        <v>132</v>
      </c>
      <c r="BK44" s="351" t="s">
        <v>132</v>
      </c>
      <c r="BL44" s="351" t="s">
        <v>132</v>
      </c>
      <c r="BM44" s="351" t="s">
        <v>132</v>
      </c>
      <c r="BN44" s="351" t="s">
        <v>132</v>
      </c>
      <c r="BO44" s="351" t="s">
        <v>132</v>
      </c>
      <c r="BQ44" s="328" t="s">
        <v>465</v>
      </c>
      <c r="BR44" s="351" t="s">
        <v>132</v>
      </c>
      <c r="BS44" s="351" t="s">
        <v>132</v>
      </c>
      <c r="BT44" s="351" t="s">
        <v>132</v>
      </c>
      <c r="BU44" s="351" t="s">
        <v>132</v>
      </c>
      <c r="BV44" s="351" t="s">
        <v>132</v>
      </c>
      <c r="BW44" s="351" t="s">
        <v>132</v>
      </c>
      <c r="BX44" s="351" t="s">
        <v>132</v>
      </c>
      <c r="BY44" s="351" t="s">
        <v>132</v>
      </c>
      <c r="BZ44" s="351" t="s">
        <v>132</v>
      </c>
      <c r="CA44" s="351" t="s">
        <v>132</v>
      </c>
      <c r="CB44" s="351" t="s">
        <v>132</v>
      </c>
    </row>
    <row r="45" spans="4:80" outlineLevel="1">
      <c r="D45" s="328" t="s">
        <v>466</v>
      </c>
      <c r="E45" s="481">
        <v>69550</v>
      </c>
      <c r="F45" s="481">
        <v>63050</v>
      </c>
      <c r="G45" s="481">
        <v>83850</v>
      </c>
      <c r="H45" s="481">
        <v>78650</v>
      </c>
      <c r="I45" s="481">
        <v>46150</v>
      </c>
      <c r="J45" s="481">
        <v>56550</v>
      </c>
      <c r="K45" s="349"/>
      <c r="L45" s="349"/>
      <c r="M45" s="349"/>
      <c r="N45" s="349"/>
      <c r="O45" s="349"/>
      <c r="Q45" s="328" t="s">
        <v>466</v>
      </c>
      <c r="R45" s="350" t="s">
        <v>132</v>
      </c>
      <c r="S45" s="350" t="s">
        <v>132</v>
      </c>
      <c r="T45" s="350" t="s">
        <v>132</v>
      </c>
      <c r="U45" s="350" t="s">
        <v>132</v>
      </c>
      <c r="V45" s="350" t="s">
        <v>132</v>
      </c>
      <c r="W45" s="350" t="s">
        <v>132</v>
      </c>
      <c r="X45" s="350" t="s">
        <v>132</v>
      </c>
      <c r="Y45" s="350" t="s">
        <v>132</v>
      </c>
      <c r="Z45" s="350" t="s">
        <v>132</v>
      </c>
      <c r="AA45" s="350" t="s">
        <v>132</v>
      </c>
      <c r="AB45" s="350" t="s">
        <v>132</v>
      </c>
      <c r="AD45" s="328" t="s">
        <v>466</v>
      </c>
      <c r="AE45" s="351" t="s">
        <v>132</v>
      </c>
      <c r="AF45" s="351" t="s">
        <v>132</v>
      </c>
      <c r="AG45" s="351" t="s">
        <v>132</v>
      </c>
      <c r="AH45" s="351" t="s">
        <v>132</v>
      </c>
      <c r="AI45" s="351" t="s">
        <v>132</v>
      </c>
      <c r="AJ45" s="351" t="s">
        <v>132</v>
      </c>
      <c r="AK45" s="351" t="s">
        <v>132</v>
      </c>
      <c r="AL45" s="351" t="s">
        <v>132</v>
      </c>
      <c r="AM45" s="351" t="s">
        <v>132</v>
      </c>
      <c r="AN45" s="351" t="s">
        <v>132</v>
      </c>
      <c r="AO45" s="351" t="s">
        <v>132</v>
      </c>
      <c r="AQ45" s="328" t="s">
        <v>466</v>
      </c>
      <c r="AR45" s="351" t="s">
        <v>132</v>
      </c>
      <c r="AS45" s="351" t="s">
        <v>132</v>
      </c>
      <c r="AT45" s="351" t="s">
        <v>132</v>
      </c>
      <c r="AU45" s="351" t="s">
        <v>132</v>
      </c>
      <c r="AV45" s="351" t="s">
        <v>132</v>
      </c>
      <c r="AW45" s="351" t="s">
        <v>132</v>
      </c>
      <c r="AX45" s="351" t="s">
        <v>132</v>
      </c>
      <c r="AY45" s="351" t="s">
        <v>132</v>
      </c>
      <c r="AZ45" s="351" t="s">
        <v>132</v>
      </c>
      <c r="BA45" s="351" t="s">
        <v>132</v>
      </c>
      <c r="BB45" s="351" t="s">
        <v>132</v>
      </c>
      <c r="BD45" s="328" t="s">
        <v>466</v>
      </c>
      <c r="BE45" s="351" t="s">
        <v>132</v>
      </c>
      <c r="BF45" s="351" t="s">
        <v>132</v>
      </c>
      <c r="BG45" s="351" t="s">
        <v>132</v>
      </c>
      <c r="BH45" s="351" t="s">
        <v>132</v>
      </c>
      <c r="BI45" s="351" t="s">
        <v>132</v>
      </c>
      <c r="BJ45" s="351" t="s">
        <v>132</v>
      </c>
      <c r="BK45" s="351" t="s">
        <v>132</v>
      </c>
      <c r="BL45" s="351" t="s">
        <v>132</v>
      </c>
      <c r="BM45" s="351" t="s">
        <v>132</v>
      </c>
      <c r="BN45" s="351" t="s">
        <v>132</v>
      </c>
      <c r="BO45" s="351" t="s">
        <v>132</v>
      </c>
      <c r="BQ45" s="328" t="s">
        <v>466</v>
      </c>
      <c r="BR45" s="351" t="s">
        <v>132</v>
      </c>
      <c r="BS45" s="351" t="s">
        <v>132</v>
      </c>
      <c r="BT45" s="351" t="s">
        <v>132</v>
      </c>
      <c r="BU45" s="351" t="s">
        <v>132</v>
      </c>
      <c r="BV45" s="351" t="s">
        <v>132</v>
      </c>
      <c r="BW45" s="351" t="s">
        <v>132</v>
      </c>
      <c r="BX45" s="351" t="s">
        <v>132</v>
      </c>
      <c r="BY45" s="351" t="s">
        <v>132</v>
      </c>
      <c r="BZ45" s="351" t="s">
        <v>132</v>
      </c>
      <c r="CA45" s="351" t="s">
        <v>132</v>
      </c>
      <c r="CB45" s="351" t="s">
        <v>132</v>
      </c>
    </row>
    <row r="46" spans="4:80" outlineLevel="1">
      <c r="D46" s="328" t="s">
        <v>467</v>
      </c>
      <c r="E46" s="481">
        <v>102506</v>
      </c>
      <c r="F46" s="481">
        <v>112086</v>
      </c>
      <c r="G46" s="481">
        <v>87178</v>
      </c>
      <c r="H46" s="481">
        <v>74724</v>
      </c>
      <c r="I46" s="481">
        <v>95800</v>
      </c>
      <c r="J46" s="481">
        <v>79514</v>
      </c>
      <c r="K46" s="349"/>
      <c r="L46" s="349"/>
      <c r="M46" s="349"/>
      <c r="N46" s="349"/>
      <c r="O46" s="349"/>
      <c r="Q46" s="328" t="s">
        <v>467</v>
      </c>
      <c r="R46" s="350" t="s">
        <v>132</v>
      </c>
      <c r="S46" s="350" t="s">
        <v>132</v>
      </c>
      <c r="T46" s="350" t="s">
        <v>132</v>
      </c>
      <c r="U46" s="350" t="s">
        <v>132</v>
      </c>
      <c r="V46" s="350" t="s">
        <v>132</v>
      </c>
      <c r="W46" s="350" t="s">
        <v>132</v>
      </c>
      <c r="X46" s="350" t="s">
        <v>132</v>
      </c>
      <c r="Y46" s="350" t="s">
        <v>132</v>
      </c>
      <c r="Z46" s="350" t="s">
        <v>132</v>
      </c>
      <c r="AA46" s="350" t="s">
        <v>132</v>
      </c>
      <c r="AB46" s="350" t="s">
        <v>132</v>
      </c>
      <c r="AD46" s="328" t="s">
        <v>467</v>
      </c>
      <c r="AE46" s="351" t="s">
        <v>132</v>
      </c>
      <c r="AF46" s="351" t="s">
        <v>132</v>
      </c>
      <c r="AG46" s="351" t="s">
        <v>132</v>
      </c>
      <c r="AH46" s="351" t="s">
        <v>132</v>
      </c>
      <c r="AI46" s="351" t="s">
        <v>132</v>
      </c>
      <c r="AJ46" s="351" t="s">
        <v>132</v>
      </c>
      <c r="AK46" s="351" t="s">
        <v>132</v>
      </c>
      <c r="AL46" s="351" t="s">
        <v>132</v>
      </c>
      <c r="AM46" s="351" t="s">
        <v>132</v>
      </c>
      <c r="AN46" s="351" t="s">
        <v>132</v>
      </c>
      <c r="AO46" s="351" t="s">
        <v>132</v>
      </c>
      <c r="AQ46" s="328" t="s">
        <v>467</v>
      </c>
      <c r="AR46" s="351" t="s">
        <v>132</v>
      </c>
      <c r="AS46" s="351" t="s">
        <v>132</v>
      </c>
      <c r="AT46" s="351" t="s">
        <v>132</v>
      </c>
      <c r="AU46" s="351" t="s">
        <v>132</v>
      </c>
      <c r="AV46" s="351" t="s">
        <v>132</v>
      </c>
      <c r="AW46" s="351" t="s">
        <v>132</v>
      </c>
      <c r="AX46" s="351" t="s">
        <v>132</v>
      </c>
      <c r="AY46" s="351" t="s">
        <v>132</v>
      </c>
      <c r="AZ46" s="351" t="s">
        <v>132</v>
      </c>
      <c r="BA46" s="351" t="s">
        <v>132</v>
      </c>
      <c r="BB46" s="351" t="s">
        <v>132</v>
      </c>
      <c r="BD46" s="328" t="s">
        <v>467</v>
      </c>
      <c r="BE46" s="351" t="s">
        <v>132</v>
      </c>
      <c r="BF46" s="351" t="s">
        <v>132</v>
      </c>
      <c r="BG46" s="351" t="s">
        <v>132</v>
      </c>
      <c r="BH46" s="351" t="s">
        <v>132</v>
      </c>
      <c r="BI46" s="351" t="s">
        <v>132</v>
      </c>
      <c r="BJ46" s="351" t="s">
        <v>132</v>
      </c>
      <c r="BK46" s="351" t="s">
        <v>132</v>
      </c>
      <c r="BL46" s="351" t="s">
        <v>132</v>
      </c>
      <c r="BM46" s="351" t="s">
        <v>132</v>
      </c>
      <c r="BN46" s="351" t="s">
        <v>132</v>
      </c>
      <c r="BO46" s="351" t="s">
        <v>132</v>
      </c>
      <c r="BQ46" s="328" t="s">
        <v>467</v>
      </c>
      <c r="BR46" s="351" t="s">
        <v>132</v>
      </c>
      <c r="BS46" s="351" t="s">
        <v>132</v>
      </c>
      <c r="BT46" s="351" t="s">
        <v>132</v>
      </c>
      <c r="BU46" s="351" t="s">
        <v>132</v>
      </c>
      <c r="BV46" s="351" t="s">
        <v>132</v>
      </c>
      <c r="BW46" s="351" t="s">
        <v>132</v>
      </c>
      <c r="BX46" s="351" t="s">
        <v>132</v>
      </c>
      <c r="BY46" s="351" t="s">
        <v>132</v>
      </c>
      <c r="BZ46" s="351" t="s">
        <v>132</v>
      </c>
      <c r="CA46" s="351" t="s">
        <v>132</v>
      </c>
      <c r="CB46" s="351" t="s">
        <v>132</v>
      </c>
    </row>
    <row r="47" spans="4:80" outlineLevel="1">
      <c r="D47" s="328" t="s">
        <v>468</v>
      </c>
      <c r="E47" s="481">
        <v>96854</v>
      </c>
      <c r="F47" s="481">
        <v>139764</v>
      </c>
      <c r="G47" s="481">
        <v>99306</v>
      </c>
      <c r="H47" s="481">
        <v>120148</v>
      </c>
      <c r="I47" s="481">
        <v>127504</v>
      </c>
      <c r="J47" s="481">
        <v>117696</v>
      </c>
      <c r="K47" s="349"/>
      <c r="L47" s="349"/>
      <c r="M47" s="349"/>
      <c r="N47" s="349"/>
      <c r="O47" s="349"/>
      <c r="Q47" s="328" t="s">
        <v>468</v>
      </c>
      <c r="R47" s="350" t="s">
        <v>132</v>
      </c>
      <c r="S47" s="350" t="s">
        <v>132</v>
      </c>
      <c r="T47" s="350" t="s">
        <v>132</v>
      </c>
      <c r="U47" s="350" t="s">
        <v>132</v>
      </c>
      <c r="V47" s="350" t="s">
        <v>132</v>
      </c>
      <c r="W47" s="350" t="s">
        <v>132</v>
      </c>
      <c r="X47" s="350" t="s">
        <v>132</v>
      </c>
      <c r="Y47" s="350" t="s">
        <v>132</v>
      </c>
      <c r="Z47" s="350" t="s">
        <v>132</v>
      </c>
      <c r="AA47" s="350" t="s">
        <v>132</v>
      </c>
      <c r="AB47" s="350" t="s">
        <v>132</v>
      </c>
      <c r="AD47" s="328" t="s">
        <v>468</v>
      </c>
      <c r="AE47" s="351" t="s">
        <v>132</v>
      </c>
      <c r="AF47" s="351" t="s">
        <v>132</v>
      </c>
      <c r="AG47" s="351" t="s">
        <v>132</v>
      </c>
      <c r="AH47" s="351" t="s">
        <v>132</v>
      </c>
      <c r="AI47" s="351" t="s">
        <v>132</v>
      </c>
      <c r="AJ47" s="351" t="s">
        <v>132</v>
      </c>
      <c r="AK47" s="351" t="s">
        <v>132</v>
      </c>
      <c r="AL47" s="351" t="s">
        <v>132</v>
      </c>
      <c r="AM47" s="351" t="s">
        <v>132</v>
      </c>
      <c r="AN47" s="351" t="s">
        <v>132</v>
      </c>
      <c r="AO47" s="351" t="s">
        <v>132</v>
      </c>
      <c r="AQ47" s="328" t="s">
        <v>468</v>
      </c>
      <c r="AR47" s="351" t="s">
        <v>132</v>
      </c>
      <c r="AS47" s="351" t="s">
        <v>132</v>
      </c>
      <c r="AT47" s="351" t="s">
        <v>132</v>
      </c>
      <c r="AU47" s="351" t="s">
        <v>132</v>
      </c>
      <c r="AV47" s="351" t="s">
        <v>132</v>
      </c>
      <c r="AW47" s="351" t="s">
        <v>132</v>
      </c>
      <c r="AX47" s="351" t="s">
        <v>132</v>
      </c>
      <c r="AY47" s="351" t="s">
        <v>132</v>
      </c>
      <c r="AZ47" s="351" t="s">
        <v>132</v>
      </c>
      <c r="BA47" s="351" t="s">
        <v>132</v>
      </c>
      <c r="BB47" s="351" t="s">
        <v>132</v>
      </c>
      <c r="BD47" s="328" t="s">
        <v>468</v>
      </c>
      <c r="BE47" s="351" t="s">
        <v>132</v>
      </c>
      <c r="BF47" s="351" t="s">
        <v>132</v>
      </c>
      <c r="BG47" s="351" t="s">
        <v>132</v>
      </c>
      <c r="BH47" s="351" t="s">
        <v>132</v>
      </c>
      <c r="BI47" s="351" t="s">
        <v>132</v>
      </c>
      <c r="BJ47" s="351" t="s">
        <v>132</v>
      </c>
      <c r="BK47" s="351" t="s">
        <v>132</v>
      </c>
      <c r="BL47" s="351" t="s">
        <v>132</v>
      </c>
      <c r="BM47" s="351" t="s">
        <v>132</v>
      </c>
      <c r="BN47" s="351" t="s">
        <v>132</v>
      </c>
      <c r="BO47" s="351" t="s">
        <v>132</v>
      </c>
      <c r="BQ47" s="328" t="s">
        <v>468</v>
      </c>
      <c r="BR47" s="351" t="s">
        <v>132</v>
      </c>
      <c r="BS47" s="351" t="s">
        <v>132</v>
      </c>
      <c r="BT47" s="351" t="s">
        <v>132</v>
      </c>
      <c r="BU47" s="351" t="s">
        <v>132</v>
      </c>
      <c r="BV47" s="351" t="s">
        <v>132</v>
      </c>
      <c r="BW47" s="351" t="s">
        <v>132</v>
      </c>
      <c r="BX47" s="351" t="s">
        <v>132</v>
      </c>
      <c r="BY47" s="351" t="s">
        <v>132</v>
      </c>
      <c r="BZ47" s="351" t="s">
        <v>132</v>
      </c>
      <c r="CA47" s="351" t="s">
        <v>132</v>
      </c>
      <c r="CB47" s="351" t="s">
        <v>132</v>
      </c>
    </row>
    <row r="48" spans="4:80" outlineLevel="1">
      <c r="D48" s="328" t="s">
        <v>469</v>
      </c>
      <c r="E48" s="481">
        <v>122400</v>
      </c>
      <c r="F48" s="481">
        <v>169920</v>
      </c>
      <c r="G48" s="481">
        <v>132480</v>
      </c>
      <c r="H48" s="481">
        <v>144000</v>
      </c>
      <c r="I48" s="481">
        <v>168480</v>
      </c>
      <c r="J48" s="481">
        <v>105120</v>
      </c>
      <c r="K48" s="349"/>
      <c r="L48" s="349"/>
      <c r="M48" s="349"/>
      <c r="N48" s="349"/>
      <c r="O48" s="349"/>
      <c r="Q48" s="328" t="s">
        <v>469</v>
      </c>
      <c r="R48" s="350" t="s">
        <v>132</v>
      </c>
      <c r="S48" s="350" t="s">
        <v>132</v>
      </c>
      <c r="T48" s="350" t="s">
        <v>132</v>
      </c>
      <c r="U48" s="350" t="s">
        <v>132</v>
      </c>
      <c r="V48" s="350" t="s">
        <v>132</v>
      </c>
      <c r="W48" s="350" t="s">
        <v>132</v>
      </c>
      <c r="X48" s="350" t="s">
        <v>132</v>
      </c>
      <c r="Y48" s="350" t="s">
        <v>132</v>
      </c>
      <c r="Z48" s="350" t="s">
        <v>132</v>
      </c>
      <c r="AA48" s="350" t="s">
        <v>132</v>
      </c>
      <c r="AB48" s="350" t="s">
        <v>132</v>
      </c>
      <c r="AD48" s="328" t="s">
        <v>469</v>
      </c>
      <c r="AE48" s="351" t="s">
        <v>132</v>
      </c>
      <c r="AF48" s="351" t="s">
        <v>132</v>
      </c>
      <c r="AG48" s="351" t="s">
        <v>132</v>
      </c>
      <c r="AH48" s="351" t="s">
        <v>132</v>
      </c>
      <c r="AI48" s="351" t="s">
        <v>132</v>
      </c>
      <c r="AJ48" s="351" t="s">
        <v>132</v>
      </c>
      <c r="AK48" s="351" t="s">
        <v>132</v>
      </c>
      <c r="AL48" s="351" t="s">
        <v>132</v>
      </c>
      <c r="AM48" s="351" t="s">
        <v>132</v>
      </c>
      <c r="AN48" s="351" t="s">
        <v>132</v>
      </c>
      <c r="AO48" s="351" t="s">
        <v>132</v>
      </c>
      <c r="AQ48" s="328" t="s">
        <v>469</v>
      </c>
      <c r="AR48" s="351" t="s">
        <v>132</v>
      </c>
      <c r="AS48" s="351" t="s">
        <v>132</v>
      </c>
      <c r="AT48" s="351" t="s">
        <v>132</v>
      </c>
      <c r="AU48" s="351" t="s">
        <v>132</v>
      </c>
      <c r="AV48" s="351" t="s">
        <v>132</v>
      </c>
      <c r="AW48" s="351" t="s">
        <v>132</v>
      </c>
      <c r="AX48" s="351" t="s">
        <v>132</v>
      </c>
      <c r="AY48" s="351" t="s">
        <v>132</v>
      </c>
      <c r="AZ48" s="351" t="s">
        <v>132</v>
      </c>
      <c r="BA48" s="351" t="s">
        <v>132</v>
      </c>
      <c r="BB48" s="351" t="s">
        <v>132</v>
      </c>
      <c r="BD48" s="328" t="s">
        <v>469</v>
      </c>
      <c r="BE48" s="351" t="s">
        <v>132</v>
      </c>
      <c r="BF48" s="351" t="s">
        <v>132</v>
      </c>
      <c r="BG48" s="351" t="s">
        <v>132</v>
      </c>
      <c r="BH48" s="351" t="s">
        <v>132</v>
      </c>
      <c r="BI48" s="351" t="s">
        <v>132</v>
      </c>
      <c r="BJ48" s="351" t="s">
        <v>132</v>
      </c>
      <c r="BK48" s="351" t="s">
        <v>132</v>
      </c>
      <c r="BL48" s="351" t="s">
        <v>132</v>
      </c>
      <c r="BM48" s="351" t="s">
        <v>132</v>
      </c>
      <c r="BN48" s="351" t="s">
        <v>132</v>
      </c>
      <c r="BO48" s="351" t="s">
        <v>132</v>
      </c>
      <c r="BQ48" s="328" t="s">
        <v>469</v>
      </c>
      <c r="BR48" s="351" t="s">
        <v>132</v>
      </c>
      <c r="BS48" s="351" t="s">
        <v>132</v>
      </c>
      <c r="BT48" s="351" t="s">
        <v>132</v>
      </c>
      <c r="BU48" s="351" t="s">
        <v>132</v>
      </c>
      <c r="BV48" s="351" t="s">
        <v>132</v>
      </c>
      <c r="BW48" s="351" t="s">
        <v>132</v>
      </c>
      <c r="BX48" s="351" t="s">
        <v>132</v>
      </c>
      <c r="BY48" s="351" t="s">
        <v>132</v>
      </c>
      <c r="BZ48" s="351" t="s">
        <v>132</v>
      </c>
      <c r="CA48" s="351" t="s">
        <v>132</v>
      </c>
      <c r="CB48" s="351" t="s">
        <v>132</v>
      </c>
    </row>
    <row r="49" spans="4:80" outlineLevel="1">
      <c r="D49" s="328" t="s">
        <v>470</v>
      </c>
      <c r="E49" s="481">
        <v>213495</v>
      </c>
      <c r="F49" s="481">
        <v>132400</v>
      </c>
      <c r="G49" s="481">
        <v>188669.99999999997</v>
      </c>
      <c r="H49" s="481">
        <v>147295</v>
      </c>
      <c r="I49" s="481">
        <v>117505</v>
      </c>
      <c r="J49" s="481">
        <v>147295</v>
      </c>
      <c r="K49" s="349"/>
      <c r="L49" s="349"/>
      <c r="M49" s="349"/>
      <c r="N49" s="349"/>
      <c r="O49" s="349"/>
      <c r="Q49" s="328" t="s">
        <v>470</v>
      </c>
      <c r="R49" s="350" t="s">
        <v>132</v>
      </c>
      <c r="S49" s="350" t="s">
        <v>132</v>
      </c>
      <c r="T49" s="350" t="s">
        <v>132</v>
      </c>
      <c r="U49" s="350" t="s">
        <v>132</v>
      </c>
      <c r="V49" s="350" t="s">
        <v>132</v>
      </c>
      <c r="W49" s="350" t="s">
        <v>132</v>
      </c>
      <c r="X49" s="350" t="s">
        <v>132</v>
      </c>
      <c r="Y49" s="350" t="s">
        <v>132</v>
      </c>
      <c r="Z49" s="350" t="s">
        <v>132</v>
      </c>
      <c r="AA49" s="350" t="s">
        <v>132</v>
      </c>
      <c r="AB49" s="350" t="s">
        <v>132</v>
      </c>
      <c r="AD49" s="328" t="s">
        <v>470</v>
      </c>
      <c r="AE49" s="351" t="s">
        <v>132</v>
      </c>
      <c r="AF49" s="351" t="s">
        <v>132</v>
      </c>
      <c r="AG49" s="351" t="s">
        <v>132</v>
      </c>
      <c r="AH49" s="351" t="s">
        <v>132</v>
      </c>
      <c r="AI49" s="351" t="s">
        <v>132</v>
      </c>
      <c r="AJ49" s="351" t="s">
        <v>132</v>
      </c>
      <c r="AK49" s="351" t="s">
        <v>132</v>
      </c>
      <c r="AL49" s="351" t="s">
        <v>132</v>
      </c>
      <c r="AM49" s="351" t="s">
        <v>132</v>
      </c>
      <c r="AN49" s="351" t="s">
        <v>132</v>
      </c>
      <c r="AO49" s="351" t="s">
        <v>132</v>
      </c>
      <c r="AQ49" s="328" t="s">
        <v>470</v>
      </c>
      <c r="AR49" s="351" t="s">
        <v>132</v>
      </c>
      <c r="AS49" s="351" t="s">
        <v>132</v>
      </c>
      <c r="AT49" s="351" t="s">
        <v>132</v>
      </c>
      <c r="AU49" s="351" t="s">
        <v>132</v>
      </c>
      <c r="AV49" s="351" t="s">
        <v>132</v>
      </c>
      <c r="AW49" s="351" t="s">
        <v>132</v>
      </c>
      <c r="AX49" s="351" t="s">
        <v>132</v>
      </c>
      <c r="AY49" s="351" t="s">
        <v>132</v>
      </c>
      <c r="AZ49" s="351" t="s">
        <v>132</v>
      </c>
      <c r="BA49" s="351" t="s">
        <v>132</v>
      </c>
      <c r="BB49" s="351" t="s">
        <v>132</v>
      </c>
      <c r="BD49" s="328" t="s">
        <v>470</v>
      </c>
      <c r="BE49" s="351" t="s">
        <v>132</v>
      </c>
      <c r="BF49" s="351" t="s">
        <v>132</v>
      </c>
      <c r="BG49" s="351" t="s">
        <v>132</v>
      </c>
      <c r="BH49" s="351" t="s">
        <v>132</v>
      </c>
      <c r="BI49" s="351" t="s">
        <v>132</v>
      </c>
      <c r="BJ49" s="351" t="s">
        <v>132</v>
      </c>
      <c r="BK49" s="351" t="s">
        <v>132</v>
      </c>
      <c r="BL49" s="351" t="s">
        <v>132</v>
      </c>
      <c r="BM49" s="351" t="s">
        <v>132</v>
      </c>
      <c r="BN49" s="351" t="s">
        <v>132</v>
      </c>
      <c r="BO49" s="351" t="s">
        <v>132</v>
      </c>
      <c r="BQ49" s="328" t="s">
        <v>470</v>
      </c>
      <c r="BR49" s="351" t="s">
        <v>132</v>
      </c>
      <c r="BS49" s="351" t="s">
        <v>132</v>
      </c>
      <c r="BT49" s="351" t="s">
        <v>132</v>
      </c>
      <c r="BU49" s="351" t="s">
        <v>132</v>
      </c>
      <c r="BV49" s="351" t="s">
        <v>132</v>
      </c>
      <c r="BW49" s="351" t="s">
        <v>132</v>
      </c>
      <c r="BX49" s="351" t="s">
        <v>132</v>
      </c>
      <c r="BY49" s="351" t="s">
        <v>132</v>
      </c>
      <c r="BZ49" s="351" t="s">
        <v>132</v>
      </c>
      <c r="CA49" s="351" t="s">
        <v>132</v>
      </c>
      <c r="CB49" s="351" t="s">
        <v>132</v>
      </c>
    </row>
    <row r="50" spans="4:80" outlineLevel="1">
      <c r="D50" s="328" t="s">
        <v>471</v>
      </c>
      <c r="E50" s="481">
        <v>207681.00000000003</v>
      </c>
      <c r="F50" s="481">
        <v>192713</v>
      </c>
      <c r="G50" s="481">
        <v>159035</v>
      </c>
      <c r="H50" s="481">
        <v>142196</v>
      </c>
      <c r="I50" s="481">
        <v>183358</v>
      </c>
      <c r="J50" s="481">
        <v>157164</v>
      </c>
      <c r="K50" s="349"/>
      <c r="L50" s="349"/>
      <c r="M50" s="349"/>
      <c r="N50" s="349"/>
      <c r="O50" s="349"/>
      <c r="Q50" s="328" t="s">
        <v>471</v>
      </c>
      <c r="R50" s="350" t="s">
        <v>132</v>
      </c>
      <c r="S50" s="350" t="s">
        <v>132</v>
      </c>
      <c r="T50" s="350" t="s">
        <v>132</v>
      </c>
      <c r="U50" s="350" t="s">
        <v>132</v>
      </c>
      <c r="V50" s="350" t="s">
        <v>132</v>
      </c>
      <c r="W50" s="350" t="s">
        <v>132</v>
      </c>
      <c r="X50" s="350" t="s">
        <v>132</v>
      </c>
      <c r="Y50" s="350" t="s">
        <v>132</v>
      </c>
      <c r="Z50" s="350" t="s">
        <v>132</v>
      </c>
      <c r="AA50" s="350" t="s">
        <v>132</v>
      </c>
      <c r="AB50" s="350" t="s">
        <v>132</v>
      </c>
      <c r="AD50" s="328" t="s">
        <v>471</v>
      </c>
      <c r="AE50" s="351" t="s">
        <v>132</v>
      </c>
      <c r="AF50" s="351" t="s">
        <v>132</v>
      </c>
      <c r="AG50" s="351" t="s">
        <v>132</v>
      </c>
      <c r="AH50" s="351" t="s">
        <v>132</v>
      </c>
      <c r="AI50" s="351" t="s">
        <v>132</v>
      </c>
      <c r="AJ50" s="351" t="s">
        <v>132</v>
      </c>
      <c r="AK50" s="351" t="s">
        <v>132</v>
      </c>
      <c r="AL50" s="351" t="s">
        <v>132</v>
      </c>
      <c r="AM50" s="351" t="s">
        <v>132</v>
      </c>
      <c r="AN50" s="351" t="s">
        <v>132</v>
      </c>
      <c r="AO50" s="351" t="s">
        <v>132</v>
      </c>
      <c r="AQ50" s="328" t="s">
        <v>471</v>
      </c>
      <c r="AR50" s="351" t="s">
        <v>132</v>
      </c>
      <c r="AS50" s="351" t="s">
        <v>132</v>
      </c>
      <c r="AT50" s="351" t="s">
        <v>132</v>
      </c>
      <c r="AU50" s="351" t="s">
        <v>132</v>
      </c>
      <c r="AV50" s="351" t="s">
        <v>132</v>
      </c>
      <c r="AW50" s="351" t="s">
        <v>132</v>
      </c>
      <c r="AX50" s="351" t="s">
        <v>132</v>
      </c>
      <c r="AY50" s="351" t="s">
        <v>132</v>
      </c>
      <c r="AZ50" s="351" t="s">
        <v>132</v>
      </c>
      <c r="BA50" s="351" t="s">
        <v>132</v>
      </c>
      <c r="BB50" s="351" t="s">
        <v>132</v>
      </c>
      <c r="BD50" s="328" t="s">
        <v>471</v>
      </c>
      <c r="BE50" s="351" t="s">
        <v>132</v>
      </c>
      <c r="BF50" s="351" t="s">
        <v>132</v>
      </c>
      <c r="BG50" s="351" t="s">
        <v>132</v>
      </c>
      <c r="BH50" s="351" t="s">
        <v>132</v>
      </c>
      <c r="BI50" s="351" t="s">
        <v>132</v>
      </c>
      <c r="BJ50" s="351" t="s">
        <v>132</v>
      </c>
      <c r="BK50" s="351" t="s">
        <v>132</v>
      </c>
      <c r="BL50" s="351" t="s">
        <v>132</v>
      </c>
      <c r="BM50" s="351" t="s">
        <v>132</v>
      </c>
      <c r="BN50" s="351" t="s">
        <v>132</v>
      </c>
      <c r="BO50" s="351" t="s">
        <v>132</v>
      </c>
      <c r="BQ50" s="328" t="s">
        <v>471</v>
      </c>
      <c r="BR50" s="351" t="s">
        <v>132</v>
      </c>
      <c r="BS50" s="351" t="s">
        <v>132</v>
      </c>
      <c r="BT50" s="351" t="s">
        <v>132</v>
      </c>
      <c r="BU50" s="351" t="s">
        <v>132</v>
      </c>
      <c r="BV50" s="351" t="s">
        <v>132</v>
      </c>
      <c r="BW50" s="351" t="s">
        <v>132</v>
      </c>
      <c r="BX50" s="351" t="s">
        <v>132</v>
      </c>
      <c r="BY50" s="351" t="s">
        <v>132</v>
      </c>
      <c r="BZ50" s="351" t="s">
        <v>132</v>
      </c>
      <c r="CA50" s="351" t="s">
        <v>132</v>
      </c>
      <c r="CB50" s="351" t="s">
        <v>132</v>
      </c>
    </row>
    <row r="51" spans="4:80" outlineLevel="1">
      <c r="D51" s="328" t="s">
        <v>472</v>
      </c>
      <c r="E51" s="481">
        <v>166800</v>
      </c>
      <c r="F51" s="481">
        <v>193905</v>
      </c>
      <c r="G51" s="481">
        <v>195990</v>
      </c>
      <c r="H51" s="481">
        <v>191820</v>
      </c>
      <c r="I51" s="481">
        <v>193905</v>
      </c>
      <c r="J51" s="481">
        <v>235604.99999999997</v>
      </c>
      <c r="K51" s="349"/>
      <c r="L51" s="349"/>
      <c r="M51" s="349"/>
      <c r="N51" s="349"/>
      <c r="O51" s="349"/>
      <c r="Q51" s="328" t="s">
        <v>472</v>
      </c>
      <c r="R51" s="350" t="s">
        <v>132</v>
      </c>
      <c r="S51" s="350" t="s">
        <v>132</v>
      </c>
      <c r="T51" s="350" t="s">
        <v>132</v>
      </c>
      <c r="U51" s="350" t="s">
        <v>132</v>
      </c>
      <c r="V51" s="350" t="s">
        <v>132</v>
      </c>
      <c r="W51" s="350" t="s">
        <v>132</v>
      </c>
      <c r="X51" s="350" t="s">
        <v>132</v>
      </c>
      <c r="Y51" s="350" t="s">
        <v>132</v>
      </c>
      <c r="Z51" s="350" t="s">
        <v>132</v>
      </c>
      <c r="AA51" s="350" t="s">
        <v>132</v>
      </c>
      <c r="AB51" s="350" t="s">
        <v>132</v>
      </c>
      <c r="AD51" s="328" t="s">
        <v>472</v>
      </c>
      <c r="AE51" s="351" t="s">
        <v>132</v>
      </c>
      <c r="AF51" s="351" t="s">
        <v>132</v>
      </c>
      <c r="AG51" s="351" t="s">
        <v>132</v>
      </c>
      <c r="AH51" s="351" t="s">
        <v>132</v>
      </c>
      <c r="AI51" s="351" t="s">
        <v>132</v>
      </c>
      <c r="AJ51" s="351" t="s">
        <v>132</v>
      </c>
      <c r="AK51" s="351" t="s">
        <v>132</v>
      </c>
      <c r="AL51" s="351" t="s">
        <v>132</v>
      </c>
      <c r="AM51" s="351" t="s">
        <v>132</v>
      </c>
      <c r="AN51" s="351" t="s">
        <v>132</v>
      </c>
      <c r="AO51" s="351" t="s">
        <v>132</v>
      </c>
      <c r="AQ51" s="328" t="s">
        <v>472</v>
      </c>
      <c r="AR51" s="351" t="s">
        <v>132</v>
      </c>
      <c r="AS51" s="351" t="s">
        <v>132</v>
      </c>
      <c r="AT51" s="351" t="s">
        <v>132</v>
      </c>
      <c r="AU51" s="351" t="s">
        <v>132</v>
      </c>
      <c r="AV51" s="351" t="s">
        <v>132</v>
      </c>
      <c r="AW51" s="351" t="s">
        <v>132</v>
      </c>
      <c r="AX51" s="351" t="s">
        <v>132</v>
      </c>
      <c r="AY51" s="351" t="s">
        <v>132</v>
      </c>
      <c r="AZ51" s="351" t="s">
        <v>132</v>
      </c>
      <c r="BA51" s="351" t="s">
        <v>132</v>
      </c>
      <c r="BB51" s="351" t="s">
        <v>132</v>
      </c>
      <c r="BD51" s="328" t="s">
        <v>472</v>
      </c>
      <c r="BE51" s="351" t="s">
        <v>132</v>
      </c>
      <c r="BF51" s="351" t="s">
        <v>132</v>
      </c>
      <c r="BG51" s="351" t="s">
        <v>132</v>
      </c>
      <c r="BH51" s="351" t="s">
        <v>132</v>
      </c>
      <c r="BI51" s="351" t="s">
        <v>132</v>
      </c>
      <c r="BJ51" s="351" t="s">
        <v>132</v>
      </c>
      <c r="BK51" s="351" t="s">
        <v>132</v>
      </c>
      <c r="BL51" s="351" t="s">
        <v>132</v>
      </c>
      <c r="BM51" s="351" t="s">
        <v>132</v>
      </c>
      <c r="BN51" s="351" t="s">
        <v>132</v>
      </c>
      <c r="BO51" s="351" t="s">
        <v>132</v>
      </c>
      <c r="BQ51" s="328" t="s">
        <v>472</v>
      </c>
      <c r="BR51" s="351" t="s">
        <v>132</v>
      </c>
      <c r="BS51" s="351" t="s">
        <v>132</v>
      </c>
      <c r="BT51" s="351" t="s">
        <v>132</v>
      </c>
      <c r="BU51" s="351" t="s">
        <v>132</v>
      </c>
      <c r="BV51" s="351" t="s">
        <v>132</v>
      </c>
      <c r="BW51" s="351" t="s">
        <v>132</v>
      </c>
      <c r="BX51" s="351" t="s">
        <v>132</v>
      </c>
      <c r="BY51" s="351" t="s">
        <v>132</v>
      </c>
      <c r="BZ51" s="351" t="s">
        <v>132</v>
      </c>
      <c r="CA51" s="351" t="s">
        <v>132</v>
      </c>
      <c r="CB51" s="351" t="s">
        <v>132</v>
      </c>
    </row>
    <row r="52" spans="4:80" outlineLevel="1">
      <c r="D52" s="328" t="s">
        <v>473</v>
      </c>
      <c r="E52" s="481">
        <v>253000.00000000003</v>
      </c>
      <c r="F52" s="481">
        <v>264500</v>
      </c>
      <c r="G52" s="481">
        <v>163300</v>
      </c>
      <c r="H52" s="481">
        <v>276000</v>
      </c>
      <c r="I52" s="481">
        <v>271400</v>
      </c>
      <c r="J52" s="481">
        <v>174800</v>
      </c>
      <c r="K52" s="349"/>
      <c r="L52" s="349"/>
      <c r="M52" s="349"/>
      <c r="N52" s="349"/>
      <c r="O52" s="349"/>
      <c r="Q52" s="328" t="s">
        <v>473</v>
      </c>
      <c r="R52" s="350" t="s">
        <v>132</v>
      </c>
      <c r="S52" s="350" t="s">
        <v>132</v>
      </c>
      <c r="T52" s="350" t="s">
        <v>132</v>
      </c>
      <c r="U52" s="350" t="s">
        <v>132</v>
      </c>
      <c r="V52" s="350" t="s">
        <v>132</v>
      </c>
      <c r="W52" s="350" t="s">
        <v>132</v>
      </c>
      <c r="X52" s="350" t="s">
        <v>132</v>
      </c>
      <c r="Y52" s="350" t="s">
        <v>132</v>
      </c>
      <c r="Z52" s="350" t="s">
        <v>132</v>
      </c>
      <c r="AA52" s="350" t="s">
        <v>132</v>
      </c>
      <c r="AB52" s="350" t="s">
        <v>132</v>
      </c>
      <c r="AD52" s="328" t="s">
        <v>473</v>
      </c>
      <c r="AE52" s="351" t="s">
        <v>132</v>
      </c>
      <c r="AF52" s="351" t="s">
        <v>132</v>
      </c>
      <c r="AG52" s="351" t="s">
        <v>132</v>
      </c>
      <c r="AH52" s="351" t="s">
        <v>132</v>
      </c>
      <c r="AI52" s="351" t="s">
        <v>132</v>
      </c>
      <c r="AJ52" s="351" t="s">
        <v>132</v>
      </c>
      <c r="AK52" s="351" t="s">
        <v>132</v>
      </c>
      <c r="AL52" s="351" t="s">
        <v>132</v>
      </c>
      <c r="AM52" s="351" t="s">
        <v>132</v>
      </c>
      <c r="AN52" s="351" t="s">
        <v>132</v>
      </c>
      <c r="AO52" s="351" t="s">
        <v>132</v>
      </c>
      <c r="AQ52" s="328" t="s">
        <v>473</v>
      </c>
      <c r="AR52" s="351" t="s">
        <v>132</v>
      </c>
      <c r="AS52" s="351" t="s">
        <v>132</v>
      </c>
      <c r="AT52" s="351" t="s">
        <v>132</v>
      </c>
      <c r="AU52" s="351" t="s">
        <v>132</v>
      </c>
      <c r="AV52" s="351" t="s">
        <v>132</v>
      </c>
      <c r="AW52" s="351" t="s">
        <v>132</v>
      </c>
      <c r="AX52" s="351" t="s">
        <v>132</v>
      </c>
      <c r="AY52" s="351" t="s">
        <v>132</v>
      </c>
      <c r="AZ52" s="351" t="s">
        <v>132</v>
      </c>
      <c r="BA52" s="351" t="s">
        <v>132</v>
      </c>
      <c r="BB52" s="351" t="s">
        <v>132</v>
      </c>
      <c r="BD52" s="328" t="s">
        <v>473</v>
      </c>
      <c r="BE52" s="351" t="s">
        <v>132</v>
      </c>
      <c r="BF52" s="351" t="s">
        <v>132</v>
      </c>
      <c r="BG52" s="351" t="s">
        <v>132</v>
      </c>
      <c r="BH52" s="351" t="s">
        <v>132</v>
      </c>
      <c r="BI52" s="351" t="s">
        <v>132</v>
      </c>
      <c r="BJ52" s="351" t="s">
        <v>132</v>
      </c>
      <c r="BK52" s="351" t="s">
        <v>132</v>
      </c>
      <c r="BL52" s="351" t="s">
        <v>132</v>
      </c>
      <c r="BM52" s="351" t="s">
        <v>132</v>
      </c>
      <c r="BN52" s="351" t="s">
        <v>132</v>
      </c>
      <c r="BO52" s="351" t="s">
        <v>132</v>
      </c>
      <c r="BQ52" s="328" t="s">
        <v>473</v>
      </c>
      <c r="BR52" s="351" t="s">
        <v>132</v>
      </c>
      <c r="BS52" s="351" t="s">
        <v>132</v>
      </c>
      <c r="BT52" s="351" t="s">
        <v>132</v>
      </c>
      <c r="BU52" s="351" t="s">
        <v>132</v>
      </c>
      <c r="BV52" s="351" t="s">
        <v>132</v>
      </c>
      <c r="BW52" s="351" t="s">
        <v>132</v>
      </c>
      <c r="BX52" s="351" t="s">
        <v>132</v>
      </c>
      <c r="BY52" s="351" t="s">
        <v>132</v>
      </c>
      <c r="BZ52" s="351" t="s">
        <v>132</v>
      </c>
      <c r="CA52" s="351" t="s">
        <v>132</v>
      </c>
      <c r="CB52" s="351" t="s">
        <v>132</v>
      </c>
    </row>
    <row r="53" spans="4:80" outlineLevel="1">
      <c r="D53" s="328" t="s">
        <v>474</v>
      </c>
      <c r="E53" s="481">
        <v>281680</v>
      </c>
      <c r="F53" s="481">
        <v>306830</v>
      </c>
      <c r="G53" s="481">
        <v>324435</v>
      </c>
      <c r="H53" s="481">
        <v>206230</v>
      </c>
      <c r="I53" s="481">
        <v>304315</v>
      </c>
      <c r="J53" s="481">
        <v>176050</v>
      </c>
      <c r="K53" s="349"/>
      <c r="L53" s="349"/>
      <c r="M53" s="349"/>
      <c r="N53" s="349"/>
      <c r="O53" s="349"/>
      <c r="Q53" s="328" t="s">
        <v>474</v>
      </c>
      <c r="R53" s="350" t="s">
        <v>132</v>
      </c>
      <c r="S53" s="350" t="s">
        <v>132</v>
      </c>
      <c r="T53" s="350" t="s">
        <v>132</v>
      </c>
      <c r="U53" s="350" t="s">
        <v>132</v>
      </c>
      <c r="V53" s="350" t="s">
        <v>132</v>
      </c>
      <c r="W53" s="350" t="s">
        <v>132</v>
      </c>
      <c r="X53" s="350" t="s">
        <v>132</v>
      </c>
      <c r="Y53" s="350" t="s">
        <v>132</v>
      </c>
      <c r="Z53" s="350" t="s">
        <v>132</v>
      </c>
      <c r="AA53" s="350" t="s">
        <v>132</v>
      </c>
      <c r="AB53" s="350" t="s">
        <v>132</v>
      </c>
      <c r="AD53" s="328" t="s">
        <v>474</v>
      </c>
      <c r="AE53" s="351" t="s">
        <v>132</v>
      </c>
      <c r="AF53" s="351" t="s">
        <v>132</v>
      </c>
      <c r="AG53" s="351" t="s">
        <v>132</v>
      </c>
      <c r="AH53" s="351" t="s">
        <v>132</v>
      </c>
      <c r="AI53" s="351" t="s">
        <v>132</v>
      </c>
      <c r="AJ53" s="351" t="s">
        <v>132</v>
      </c>
      <c r="AK53" s="351" t="s">
        <v>132</v>
      </c>
      <c r="AL53" s="351" t="s">
        <v>132</v>
      </c>
      <c r="AM53" s="351" t="s">
        <v>132</v>
      </c>
      <c r="AN53" s="351" t="s">
        <v>132</v>
      </c>
      <c r="AO53" s="351" t="s">
        <v>132</v>
      </c>
      <c r="AQ53" s="328" t="s">
        <v>474</v>
      </c>
      <c r="AR53" s="351" t="s">
        <v>132</v>
      </c>
      <c r="AS53" s="351" t="s">
        <v>132</v>
      </c>
      <c r="AT53" s="351" t="s">
        <v>132</v>
      </c>
      <c r="AU53" s="351" t="s">
        <v>132</v>
      </c>
      <c r="AV53" s="351" t="s">
        <v>132</v>
      </c>
      <c r="AW53" s="351" t="s">
        <v>132</v>
      </c>
      <c r="AX53" s="351" t="s">
        <v>132</v>
      </c>
      <c r="AY53" s="351" t="s">
        <v>132</v>
      </c>
      <c r="AZ53" s="351" t="s">
        <v>132</v>
      </c>
      <c r="BA53" s="351" t="s">
        <v>132</v>
      </c>
      <c r="BB53" s="351" t="s">
        <v>132</v>
      </c>
      <c r="BD53" s="328" t="s">
        <v>474</v>
      </c>
      <c r="BE53" s="351" t="s">
        <v>132</v>
      </c>
      <c r="BF53" s="351" t="s">
        <v>132</v>
      </c>
      <c r="BG53" s="351" t="s">
        <v>132</v>
      </c>
      <c r="BH53" s="351" t="s">
        <v>132</v>
      </c>
      <c r="BI53" s="351" t="s">
        <v>132</v>
      </c>
      <c r="BJ53" s="351" t="s">
        <v>132</v>
      </c>
      <c r="BK53" s="351" t="s">
        <v>132</v>
      </c>
      <c r="BL53" s="351" t="s">
        <v>132</v>
      </c>
      <c r="BM53" s="351" t="s">
        <v>132</v>
      </c>
      <c r="BN53" s="351" t="s">
        <v>132</v>
      </c>
      <c r="BO53" s="351" t="s">
        <v>132</v>
      </c>
      <c r="BQ53" s="328" t="s">
        <v>474</v>
      </c>
      <c r="BR53" s="351" t="s">
        <v>132</v>
      </c>
      <c r="BS53" s="351" t="s">
        <v>132</v>
      </c>
      <c r="BT53" s="351" t="s">
        <v>132</v>
      </c>
      <c r="BU53" s="351" t="s">
        <v>132</v>
      </c>
      <c r="BV53" s="351" t="s">
        <v>132</v>
      </c>
      <c r="BW53" s="351" t="s">
        <v>132</v>
      </c>
      <c r="BX53" s="351" t="s">
        <v>132</v>
      </c>
      <c r="BY53" s="351" t="s">
        <v>132</v>
      </c>
      <c r="BZ53" s="351" t="s">
        <v>132</v>
      </c>
      <c r="CA53" s="351" t="s">
        <v>132</v>
      </c>
      <c r="CB53" s="351" t="s">
        <v>132</v>
      </c>
    </row>
    <row r="54" spans="4:80" outlineLevel="1">
      <c r="D54" s="328" t="s">
        <v>475</v>
      </c>
      <c r="E54" s="481">
        <v>341125</v>
      </c>
      <c r="F54" s="481">
        <v>218320</v>
      </c>
      <c r="G54" s="481">
        <v>221049</v>
      </c>
      <c r="H54" s="481">
        <v>245610</v>
      </c>
      <c r="I54" s="481">
        <v>223778</v>
      </c>
      <c r="J54" s="481">
        <v>281087</v>
      </c>
      <c r="K54" s="349"/>
      <c r="L54" s="349"/>
      <c r="M54" s="349"/>
      <c r="N54" s="349"/>
      <c r="O54" s="349"/>
      <c r="Q54" s="328" t="s">
        <v>475</v>
      </c>
      <c r="R54" s="350" t="s">
        <v>132</v>
      </c>
      <c r="S54" s="350" t="s">
        <v>132</v>
      </c>
      <c r="T54" s="350" t="s">
        <v>132</v>
      </c>
      <c r="U54" s="350" t="s">
        <v>132</v>
      </c>
      <c r="V54" s="350" t="s">
        <v>132</v>
      </c>
      <c r="W54" s="350" t="s">
        <v>132</v>
      </c>
      <c r="X54" s="350" t="s">
        <v>132</v>
      </c>
      <c r="Y54" s="350" t="s">
        <v>132</v>
      </c>
      <c r="Z54" s="350" t="s">
        <v>132</v>
      </c>
      <c r="AA54" s="350" t="s">
        <v>132</v>
      </c>
      <c r="AB54" s="350" t="s">
        <v>132</v>
      </c>
      <c r="AD54" s="328" t="s">
        <v>475</v>
      </c>
      <c r="AE54" s="351" t="s">
        <v>132</v>
      </c>
      <c r="AF54" s="351" t="s">
        <v>132</v>
      </c>
      <c r="AG54" s="351" t="s">
        <v>132</v>
      </c>
      <c r="AH54" s="351" t="s">
        <v>132</v>
      </c>
      <c r="AI54" s="351" t="s">
        <v>132</v>
      </c>
      <c r="AJ54" s="351" t="s">
        <v>132</v>
      </c>
      <c r="AK54" s="351" t="s">
        <v>132</v>
      </c>
      <c r="AL54" s="351" t="s">
        <v>132</v>
      </c>
      <c r="AM54" s="351" t="s">
        <v>132</v>
      </c>
      <c r="AN54" s="351" t="s">
        <v>132</v>
      </c>
      <c r="AO54" s="351" t="s">
        <v>132</v>
      </c>
      <c r="AQ54" s="328" t="s">
        <v>475</v>
      </c>
      <c r="AR54" s="351" t="s">
        <v>132</v>
      </c>
      <c r="AS54" s="351" t="s">
        <v>132</v>
      </c>
      <c r="AT54" s="351" t="s">
        <v>132</v>
      </c>
      <c r="AU54" s="351" t="s">
        <v>132</v>
      </c>
      <c r="AV54" s="351" t="s">
        <v>132</v>
      </c>
      <c r="AW54" s="351" t="s">
        <v>132</v>
      </c>
      <c r="AX54" s="351" t="s">
        <v>132</v>
      </c>
      <c r="AY54" s="351" t="s">
        <v>132</v>
      </c>
      <c r="AZ54" s="351" t="s">
        <v>132</v>
      </c>
      <c r="BA54" s="351" t="s">
        <v>132</v>
      </c>
      <c r="BB54" s="351" t="s">
        <v>132</v>
      </c>
      <c r="BD54" s="328" t="s">
        <v>475</v>
      </c>
      <c r="BE54" s="351" t="s">
        <v>132</v>
      </c>
      <c r="BF54" s="351" t="s">
        <v>132</v>
      </c>
      <c r="BG54" s="351" t="s">
        <v>132</v>
      </c>
      <c r="BH54" s="351" t="s">
        <v>132</v>
      </c>
      <c r="BI54" s="351" t="s">
        <v>132</v>
      </c>
      <c r="BJ54" s="351" t="s">
        <v>132</v>
      </c>
      <c r="BK54" s="351" t="s">
        <v>132</v>
      </c>
      <c r="BL54" s="351" t="s">
        <v>132</v>
      </c>
      <c r="BM54" s="351" t="s">
        <v>132</v>
      </c>
      <c r="BN54" s="351" t="s">
        <v>132</v>
      </c>
      <c r="BO54" s="351" t="s">
        <v>132</v>
      </c>
      <c r="BQ54" s="328" t="s">
        <v>475</v>
      </c>
      <c r="BR54" s="351" t="s">
        <v>132</v>
      </c>
      <c r="BS54" s="351" t="s">
        <v>132</v>
      </c>
      <c r="BT54" s="351" t="s">
        <v>132</v>
      </c>
      <c r="BU54" s="351" t="s">
        <v>132</v>
      </c>
      <c r="BV54" s="351" t="s">
        <v>132</v>
      </c>
      <c r="BW54" s="351" t="s">
        <v>132</v>
      </c>
      <c r="BX54" s="351" t="s">
        <v>132</v>
      </c>
      <c r="BY54" s="351" t="s">
        <v>132</v>
      </c>
      <c r="BZ54" s="351" t="s">
        <v>132</v>
      </c>
      <c r="CA54" s="351" t="s">
        <v>132</v>
      </c>
      <c r="CB54" s="351" t="s">
        <v>132</v>
      </c>
    </row>
    <row r="55" spans="4:80" outlineLevel="1">
      <c r="D55" s="328" t="s">
        <v>476</v>
      </c>
      <c r="E55" s="482">
        <v>368125</v>
      </c>
      <c r="F55" s="482">
        <v>368125</v>
      </c>
      <c r="G55" s="482">
        <v>241490</v>
      </c>
      <c r="H55" s="482">
        <v>365180</v>
      </c>
      <c r="I55" s="482">
        <v>315115</v>
      </c>
      <c r="J55" s="482">
        <v>209095</v>
      </c>
      <c r="K55" s="349"/>
      <c r="L55" s="349"/>
      <c r="M55" s="349"/>
      <c r="N55" s="349"/>
      <c r="O55" s="349"/>
      <c r="Q55" s="328" t="s">
        <v>476</v>
      </c>
      <c r="R55" s="350" t="s">
        <v>132</v>
      </c>
      <c r="S55" s="350" t="s">
        <v>132</v>
      </c>
      <c r="T55" s="350" t="s">
        <v>132</v>
      </c>
      <c r="U55" s="350" t="s">
        <v>132</v>
      </c>
      <c r="V55" s="350" t="s">
        <v>132</v>
      </c>
      <c r="W55" s="350" t="s">
        <v>132</v>
      </c>
      <c r="X55" s="350" t="s">
        <v>132</v>
      </c>
      <c r="Y55" s="350" t="s">
        <v>132</v>
      </c>
      <c r="Z55" s="350" t="s">
        <v>132</v>
      </c>
      <c r="AA55" s="350" t="s">
        <v>132</v>
      </c>
      <c r="AB55" s="350" t="s">
        <v>132</v>
      </c>
      <c r="AD55" s="328" t="s">
        <v>476</v>
      </c>
      <c r="AE55" s="351" t="s">
        <v>132</v>
      </c>
      <c r="AF55" s="351" t="s">
        <v>132</v>
      </c>
      <c r="AG55" s="351" t="s">
        <v>132</v>
      </c>
      <c r="AH55" s="351" t="s">
        <v>132</v>
      </c>
      <c r="AI55" s="351" t="s">
        <v>132</v>
      </c>
      <c r="AJ55" s="351" t="s">
        <v>132</v>
      </c>
      <c r="AK55" s="351" t="s">
        <v>132</v>
      </c>
      <c r="AL55" s="351" t="s">
        <v>132</v>
      </c>
      <c r="AM55" s="351" t="s">
        <v>132</v>
      </c>
      <c r="AN55" s="351" t="s">
        <v>132</v>
      </c>
      <c r="AO55" s="351" t="s">
        <v>132</v>
      </c>
      <c r="AQ55" s="328" t="s">
        <v>476</v>
      </c>
      <c r="AR55" s="351" t="s">
        <v>132</v>
      </c>
      <c r="AS55" s="351" t="s">
        <v>132</v>
      </c>
      <c r="AT55" s="351" t="s">
        <v>132</v>
      </c>
      <c r="AU55" s="351" t="s">
        <v>132</v>
      </c>
      <c r="AV55" s="351" t="s">
        <v>132</v>
      </c>
      <c r="AW55" s="351" t="s">
        <v>132</v>
      </c>
      <c r="AX55" s="351" t="s">
        <v>132</v>
      </c>
      <c r="AY55" s="351" t="s">
        <v>132</v>
      </c>
      <c r="AZ55" s="351" t="s">
        <v>132</v>
      </c>
      <c r="BA55" s="351" t="s">
        <v>132</v>
      </c>
      <c r="BB55" s="351" t="s">
        <v>132</v>
      </c>
      <c r="BD55" s="328" t="s">
        <v>476</v>
      </c>
      <c r="BE55" s="351" t="s">
        <v>132</v>
      </c>
      <c r="BF55" s="351" t="s">
        <v>132</v>
      </c>
      <c r="BG55" s="351" t="s">
        <v>132</v>
      </c>
      <c r="BH55" s="351" t="s">
        <v>132</v>
      </c>
      <c r="BI55" s="351" t="s">
        <v>132</v>
      </c>
      <c r="BJ55" s="351" t="s">
        <v>132</v>
      </c>
      <c r="BK55" s="351" t="s">
        <v>132</v>
      </c>
      <c r="BL55" s="351" t="s">
        <v>132</v>
      </c>
      <c r="BM55" s="351" t="s">
        <v>132</v>
      </c>
      <c r="BN55" s="351" t="s">
        <v>132</v>
      </c>
      <c r="BO55" s="351" t="s">
        <v>132</v>
      </c>
      <c r="BQ55" s="328" t="s">
        <v>476</v>
      </c>
      <c r="BR55" s="351" t="s">
        <v>132</v>
      </c>
      <c r="BS55" s="351" t="s">
        <v>132</v>
      </c>
      <c r="BT55" s="351" t="s">
        <v>132</v>
      </c>
      <c r="BU55" s="351" t="s">
        <v>132</v>
      </c>
      <c r="BV55" s="351" t="s">
        <v>132</v>
      </c>
      <c r="BW55" s="351" t="s">
        <v>132</v>
      </c>
      <c r="BX55" s="351" t="s">
        <v>132</v>
      </c>
      <c r="BY55" s="351" t="s">
        <v>132</v>
      </c>
      <c r="BZ55" s="351" t="s">
        <v>132</v>
      </c>
      <c r="CA55" s="351" t="s">
        <v>132</v>
      </c>
      <c r="CB55" s="351" t="s">
        <v>132</v>
      </c>
    </row>
    <row r="56" spans="4:80" outlineLevel="1">
      <c r="D56" s="328" t="s">
        <v>477</v>
      </c>
      <c r="E56" s="481">
        <v>395703</v>
      </c>
      <c r="F56" s="481">
        <v>435673.00000000006</v>
      </c>
      <c r="G56" s="481">
        <v>339745</v>
      </c>
      <c r="H56" s="481">
        <v>319760</v>
      </c>
      <c r="I56" s="481">
        <v>515613</v>
      </c>
      <c r="J56" s="481">
        <v>467649</v>
      </c>
      <c r="K56" s="349"/>
      <c r="L56" s="349"/>
      <c r="M56" s="349"/>
      <c r="N56" s="349"/>
      <c r="O56" s="349"/>
      <c r="Q56" s="328" t="s">
        <v>477</v>
      </c>
      <c r="R56" s="350" t="s">
        <v>132</v>
      </c>
      <c r="S56" s="350" t="s">
        <v>132</v>
      </c>
      <c r="T56" s="350" t="s">
        <v>132</v>
      </c>
      <c r="U56" s="350" t="s">
        <v>132</v>
      </c>
      <c r="V56" s="350" t="s">
        <v>132</v>
      </c>
      <c r="W56" s="350" t="s">
        <v>132</v>
      </c>
      <c r="X56" s="350" t="s">
        <v>132</v>
      </c>
      <c r="Y56" s="350" t="s">
        <v>132</v>
      </c>
      <c r="Z56" s="350" t="s">
        <v>132</v>
      </c>
      <c r="AA56" s="350" t="s">
        <v>132</v>
      </c>
      <c r="AB56" s="350" t="s">
        <v>132</v>
      </c>
      <c r="AD56" s="328" t="s">
        <v>477</v>
      </c>
      <c r="AE56" s="351" t="s">
        <v>132</v>
      </c>
      <c r="AF56" s="351" t="s">
        <v>132</v>
      </c>
      <c r="AG56" s="351" t="s">
        <v>132</v>
      </c>
      <c r="AH56" s="351" t="s">
        <v>132</v>
      </c>
      <c r="AI56" s="351" t="s">
        <v>132</v>
      </c>
      <c r="AJ56" s="351" t="s">
        <v>132</v>
      </c>
      <c r="AK56" s="351" t="s">
        <v>132</v>
      </c>
      <c r="AL56" s="351" t="s">
        <v>132</v>
      </c>
      <c r="AM56" s="351" t="s">
        <v>132</v>
      </c>
      <c r="AN56" s="351" t="s">
        <v>132</v>
      </c>
      <c r="AO56" s="351" t="s">
        <v>132</v>
      </c>
      <c r="AQ56" s="328" t="s">
        <v>477</v>
      </c>
      <c r="AR56" s="351" t="s">
        <v>132</v>
      </c>
      <c r="AS56" s="351" t="s">
        <v>132</v>
      </c>
      <c r="AT56" s="351" t="s">
        <v>132</v>
      </c>
      <c r="AU56" s="351" t="s">
        <v>132</v>
      </c>
      <c r="AV56" s="351" t="s">
        <v>132</v>
      </c>
      <c r="AW56" s="351" t="s">
        <v>132</v>
      </c>
      <c r="AX56" s="351" t="s">
        <v>132</v>
      </c>
      <c r="AY56" s="351" t="s">
        <v>132</v>
      </c>
      <c r="AZ56" s="351" t="s">
        <v>132</v>
      </c>
      <c r="BA56" s="351" t="s">
        <v>132</v>
      </c>
      <c r="BB56" s="351" t="s">
        <v>132</v>
      </c>
      <c r="BD56" s="328" t="s">
        <v>477</v>
      </c>
      <c r="BE56" s="351" t="s">
        <v>132</v>
      </c>
      <c r="BF56" s="351" t="s">
        <v>132</v>
      </c>
      <c r="BG56" s="351" t="s">
        <v>132</v>
      </c>
      <c r="BH56" s="351" t="s">
        <v>132</v>
      </c>
      <c r="BI56" s="351" t="s">
        <v>132</v>
      </c>
      <c r="BJ56" s="351" t="s">
        <v>132</v>
      </c>
      <c r="BK56" s="351" t="s">
        <v>132</v>
      </c>
      <c r="BL56" s="351" t="s">
        <v>132</v>
      </c>
      <c r="BM56" s="351" t="s">
        <v>132</v>
      </c>
      <c r="BN56" s="351" t="s">
        <v>132</v>
      </c>
      <c r="BO56" s="351" t="s">
        <v>132</v>
      </c>
      <c r="BQ56" s="328" t="s">
        <v>477</v>
      </c>
      <c r="BR56" s="351" t="s">
        <v>132</v>
      </c>
      <c r="BS56" s="351" t="s">
        <v>132</v>
      </c>
      <c r="BT56" s="351" t="s">
        <v>132</v>
      </c>
      <c r="BU56" s="351" t="s">
        <v>132</v>
      </c>
      <c r="BV56" s="351" t="s">
        <v>132</v>
      </c>
      <c r="BW56" s="351" t="s">
        <v>132</v>
      </c>
      <c r="BX56" s="351" t="s">
        <v>132</v>
      </c>
      <c r="BY56" s="351" t="s">
        <v>132</v>
      </c>
      <c r="BZ56" s="351" t="s">
        <v>132</v>
      </c>
      <c r="CA56" s="351" t="s">
        <v>132</v>
      </c>
      <c r="CB56" s="351" t="s">
        <v>132</v>
      </c>
    </row>
    <row r="57" spans="4:80">
      <c r="D57" s="328" t="s">
        <v>478</v>
      </c>
      <c r="E57" s="481">
        <v>613591</v>
      </c>
      <c r="F57" s="481">
        <v>638946</v>
      </c>
      <c r="G57" s="481">
        <v>486816</v>
      </c>
      <c r="H57" s="481">
        <v>415822</v>
      </c>
      <c r="I57" s="481">
        <v>618662</v>
      </c>
      <c r="J57" s="481">
        <v>522313</v>
      </c>
      <c r="K57" s="349"/>
      <c r="L57" s="349"/>
      <c r="M57" s="349"/>
      <c r="N57" s="349"/>
      <c r="O57" s="349"/>
      <c r="Q57" s="328" t="s">
        <v>478</v>
      </c>
      <c r="R57" s="350" t="s">
        <v>132</v>
      </c>
      <c r="S57" s="350" t="s">
        <v>132</v>
      </c>
      <c r="T57" s="350" t="s">
        <v>132</v>
      </c>
      <c r="U57" s="350" t="s">
        <v>132</v>
      </c>
      <c r="V57" s="350" t="s">
        <v>132</v>
      </c>
      <c r="W57" s="350" t="s">
        <v>132</v>
      </c>
      <c r="X57" s="350" t="s">
        <v>132</v>
      </c>
      <c r="Y57" s="350" t="s">
        <v>132</v>
      </c>
      <c r="Z57" s="350" t="s">
        <v>132</v>
      </c>
      <c r="AA57" s="350" t="s">
        <v>132</v>
      </c>
      <c r="AB57" s="350" t="s">
        <v>132</v>
      </c>
      <c r="AD57" s="328" t="s">
        <v>478</v>
      </c>
      <c r="AE57" s="351" t="s">
        <v>132</v>
      </c>
      <c r="AF57" s="351" t="s">
        <v>132</v>
      </c>
      <c r="AG57" s="351" t="s">
        <v>132</v>
      </c>
      <c r="AH57" s="351" t="s">
        <v>132</v>
      </c>
      <c r="AI57" s="351" t="s">
        <v>132</v>
      </c>
      <c r="AJ57" s="351" t="s">
        <v>132</v>
      </c>
      <c r="AK57" s="351" t="s">
        <v>132</v>
      </c>
      <c r="AL57" s="351" t="s">
        <v>132</v>
      </c>
      <c r="AM57" s="351" t="s">
        <v>132</v>
      </c>
      <c r="AN57" s="351" t="s">
        <v>132</v>
      </c>
      <c r="AO57" s="351" t="s">
        <v>132</v>
      </c>
      <c r="AQ57" s="328" t="s">
        <v>478</v>
      </c>
      <c r="AR57" s="351" t="s">
        <v>132</v>
      </c>
      <c r="AS57" s="351" t="s">
        <v>132</v>
      </c>
      <c r="AT57" s="351" t="s">
        <v>132</v>
      </c>
      <c r="AU57" s="351" t="s">
        <v>132</v>
      </c>
      <c r="AV57" s="351" t="s">
        <v>132</v>
      </c>
      <c r="AW57" s="351" t="s">
        <v>132</v>
      </c>
      <c r="AX57" s="351" t="s">
        <v>132</v>
      </c>
      <c r="AY57" s="351" t="s">
        <v>132</v>
      </c>
      <c r="AZ57" s="351" t="s">
        <v>132</v>
      </c>
      <c r="BA57" s="351" t="s">
        <v>132</v>
      </c>
      <c r="BB57" s="351" t="s">
        <v>132</v>
      </c>
      <c r="BD57" s="328" t="s">
        <v>478</v>
      </c>
      <c r="BE57" s="351" t="s">
        <v>132</v>
      </c>
      <c r="BF57" s="351" t="s">
        <v>132</v>
      </c>
      <c r="BG57" s="351" t="s">
        <v>132</v>
      </c>
      <c r="BH57" s="351" t="s">
        <v>132</v>
      </c>
      <c r="BI57" s="351" t="s">
        <v>132</v>
      </c>
      <c r="BJ57" s="351" t="s">
        <v>132</v>
      </c>
      <c r="BK57" s="351" t="s">
        <v>132</v>
      </c>
      <c r="BL57" s="351" t="s">
        <v>132</v>
      </c>
      <c r="BM57" s="351" t="s">
        <v>132</v>
      </c>
      <c r="BN57" s="351" t="s">
        <v>132</v>
      </c>
      <c r="BO57" s="351" t="s">
        <v>132</v>
      </c>
      <c r="BQ57" s="328" t="s">
        <v>478</v>
      </c>
      <c r="BR57" s="351" t="s">
        <v>132</v>
      </c>
      <c r="BS57" s="351" t="s">
        <v>132</v>
      </c>
      <c r="BT57" s="351" t="s">
        <v>132</v>
      </c>
      <c r="BU57" s="351" t="s">
        <v>132</v>
      </c>
      <c r="BV57" s="351" t="s">
        <v>132</v>
      </c>
      <c r="BW57" s="351" t="s">
        <v>132</v>
      </c>
      <c r="BX57" s="351" t="s">
        <v>132</v>
      </c>
      <c r="BY57" s="351" t="s">
        <v>132</v>
      </c>
      <c r="BZ57" s="351" t="s">
        <v>132</v>
      </c>
      <c r="CA57" s="351" t="s">
        <v>132</v>
      </c>
      <c r="CB57" s="351" t="s">
        <v>132</v>
      </c>
    </row>
    <row r="62" spans="4:80" ht="15.75">
      <c r="D62" s="33" t="s">
        <v>621</v>
      </c>
      <c r="Q62" s="33"/>
      <c r="R62" s="33" t="s">
        <v>622</v>
      </c>
      <c r="AF62" s="33" t="s">
        <v>622</v>
      </c>
      <c r="AT62" s="33" t="s">
        <v>622</v>
      </c>
    </row>
    <row r="63" spans="4:80" ht="15.75">
      <c r="D63" s="33" t="s">
        <v>623</v>
      </c>
      <c r="R63" s="33" t="s">
        <v>624</v>
      </c>
      <c r="AF63" s="33" t="s">
        <v>625</v>
      </c>
      <c r="AT63" s="33" t="s">
        <v>626</v>
      </c>
    </row>
    <row r="64" spans="4:80">
      <c r="D64" s="119" t="s">
        <v>186</v>
      </c>
      <c r="R64" s="119" t="s">
        <v>186</v>
      </c>
      <c r="AF64" s="119" t="s">
        <v>186</v>
      </c>
      <c r="AT64" s="119" t="s">
        <v>186</v>
      </c>
    </row>
    <row r="65" spans="4:58">
      <c r="D65" s="565" t="s">
        <v>442</v>
      </c>
      <c r="E65" s="565"/>
      <c r="F65" s="338">
        <v>2009</v>
      </c>
      <c r="G65" s="338">
        <v>2010</v>
      </c>
      <c r="H65" s="338">
        <v>2011</v>
      </c>
      <c r="I65" s="338">
        <v>2012</v>
      </c>
      <c r="J65" s="338">
        <v>2013</v>
      </c>
      <c r="K65" s="338">
        <v>2014</v>
      </c>
      <c r="L65" s="338">
        <v>2015</v>
      </c>
      <c r="M65" s="338">
        <v>2016</v>
      </c>
      <c r="N65" s="338">
        <v>2017</v>
      </c>
      <c r="O65" s="338">
        <v>2018</v>
      </c>
      <c r="P65" s="338">
        <v>2019</v>
      </c>
      <c r="R65" s="565" t="s">
        <v>442</v>
      </c>
      <c r="S65" s="565"/>
      <c r="T65" s="338">
        <v>2009</v>
      </c>
      <c r="U65" s="338">
        <v>2010</v>
      </c>
      <c r="V65" s="338">
        <v>2011</v>
      </c>
      <c r="W65" s="338">
        <v>2012</v>
      </c>
      <c r="X65" s="338">
        <v>2013</v>
      </c>
      <c r="Y65" s="338">
        <v>2014</v>
      </c>
      <c r="Z65" s="338">
        <v>2015</v>
      </c>
      <c r="AA65" s="338">
        <v>2016</v>
      </c>
      <c r="AB65" s="338">
        <v>2017</v>
      </c>
      <c r="AC65" s="338">
        <v>2018</v>
      </c>
      <c r="AD65" s="338">
        <v>2019</v>
      </c>
      <c r="AF65" s="565" t="s">
        <v>442</v>
      </c>
      <c r="AG65" s="565"/>
      <c r="AH65" s="338">
        <v>2009</v>
      </c>
      <c r="AI65" s="338">
        <v>2010</v>
      </c>
      <c r="AJ65" s="338">
        <v>2011</v>
      </c>
      <c r="AK65" s="338">
        <v>2012</v>
      </c>
      <c r="AL65" s="338">
        <v>2013</v>
      </c>
      <c r="AM65" s="338">
        <v>2014</v>
      </c>
      <c r="AN65" s="338">
        <v>2015</v>
      </c>
      <c r="AO65" s="338">
        <v>2016</v>
      </c>
      <c r="AP65" s="338">
        <v>2017</v>
      </c>
      <c r="AQ65" s="338">
        <v>2018</v>
      </c>
      <c r="AR65" s="338">
        <v>2019</v>
      </c>
      <c r="AT65" s="565" t="s">
        <v>442</v>
      </c>
      <c r="AU65" s="565"/>
      <c r="AV65" s="338">
        <v>2009</v>
      </c>
      <c r="AW65" s="338">
        <v>2010</v>
      </c>
      <c r="AX65" s="338">
        <v>2011</v>
      </c>
      <c r="AY65" s="338">
        <v>2012</v>
      </c>
      <c r="AZ65" s="338">
        <v>2013</v>
      </c>
      <c r="BA65" s="338">
        <v>2014</v>
      </c>
      <c r="BB65" s="338">
        <v>2015</v>
      </c>
      <c r="BC65" s="338">
        <v>2016</v>
      </c>
      <c r="BD65" s="338">
        <v>2017</v>
      </c>
      <c r="BE65" s="338">
        <v>2018</v>
      </c>
      <c r="BF65" s="338">
        <v>2019</v>
      </c>
    </row>
    <row r="66" spans="4:58">
      <c r="D66" s="518" t="s">
        <v>443</v>
      </c>
      <c r="E66" s="329" t="s">
        <v>508</v>
      </c>
      <c r="F66" s="483">
        <v>386.54</v>
      </c>
      <c r="G66" s="483">
        <v>476.9</v>
      </c>
      <c r="H66" s="483">
        <v>567.26</v>
      </c>
      <c r="I66" s="483">
        <v>627.5</v>
      </c>
      <c r="J66" s="483">
        <v>456.82</v>
      </c>
      <c r="K66" s="483">
        <v>426.7</v>
      </c>
      <c r="L66" s="349"/>
      <c r="M66" s="349"/>
      <c r="N66" s="349"/>
      <c r="O66" s="349"/>
      <c r="P66" s="349"/>
      <c r="R66" s="518" t="s">
        <v>443</v>
      </c>
      <c r="S66" s="329" t="s">
        <v>508</v>
      </c>
      <c r="T66" s="483">
        <v>1099.3500000000001</v>
      </c>
      <c r="U66" s="483">
        <v>1162.17</v>
      </c>
      <c r="V66" s="483">
        <v>858.54</v>
      </c>
      <c r="W66" s="483">
        <v>848.07</v>
      </c>
      <c r="X66" s="483">
        <v>1109.8200000000002</v>
      </c>
      <c r="Y66" s="483">
        <v>942.30000000000007</v>
      </c>
      <c r="Z66" s="349"/>
      <c r="AA66" s="349"/>
      <c r="AB66" s="349"/>
      <c r="AC66" s="349"/>
      <c r="AD66" s="349"/>
      <c r="AF66" s="518" t="s">
        <v>443</v>
      </c>
      <c r="AG66" s="329" t="s">
        <v>508</v>
      </c>
      <c r="AH66" s="483">
        <v>1486.56</v>
      </c>
      <c r="AI66" s="483">
        <v>1643.04</v>
      </c>
      <c r="AJ66" s="483">
        <v>1995.1200000000001</v>
      </c>
      <c r="AK66" s="483">
        <v>2268.96</v>
      </c>
      <c r="AL66" s="483">
        <v>2308.08</v>
      </c>
      <c r="AM66" s="483">
        <v>2386.3200000000002</v>
      </c>
      <c r="AN66" s="349"/>
      <c r="AO66" s="349"/>
      <c r="AP66" s="349"/>
      <c r="AQ66" s="349"/>
      <c r="AR66" s="349"/>
      <c r="AT66" s="518" t="s">
        <v>443</v>
      </c>
      <c r="AU66" s="329" t="s">
        <v>508</v>
      </c>
      <c r="AV66" s="483">
        <v>1980.72</v>
      </c>
      <c r="AW66" s="483">
        <v>2585.94</v>
      </c>
      <c r="AX66" s="483">
        <v>2943.57</v>
      </c>
      <c r="AY66" s="483">
        <v>3273.69</v>
      </c>
      <c r="AZ66" s="483">
        <v>2035.74</v>
      </c>
      <c r="BA66" s="483">
        <v>3273.69</v>
      </c>
      <c r="BB66" s="349"/>
      <c r="BC66" s="349"/>
      <c r="BD66" s="349"/>
      <c r="BE66" s="349"/>
      <c r="BF66" s="349"/>
    </row>
    <row r="67" spans="4:58">
      <c r="D67" s="519"/>
      <c r="E67" s="329" t="s">
        <v>509</v>
      </c>
      <c r="F67" s="483">
        <v>14.430000000000001</v>
      </c>
      <c r="G67" s="483">
        <v>11.700000000000001</v>
      </c>
      <c r="H67" s="483">
        <v>15.34</v>
      </c>
      <c r="I67" s="483">
        <v>10.530000000000001</v>
      </c>
      <c r="J67" s="483">
        <v>15.99</v>
      </c>
      <c r="K67" s="483">
        <v>11.44</v>
      </c>
      <c r="L67" s="349"/>
      <c r="M67" s="349"/>
      <c r="N67" s="349"/>
      <c r="O67" s="349"/>
      <c r="P67" s="349"/>
      <c r="R67" s="519"/>
      <c r="S67" s="329" t="s">
        <v>509</v>
      </c>
      <c r="T67" s="483">
        <v>6.39</v>
      </c>
      <c r="U67" s="483">
        <v>7.92</v>
      </c>
      <c r="V67" s="483">
        <v>10.35</v>
      </c>
      <c r="W67" s="483">
        <v>10.62</v>
      </c>
      <c r="X67" s="483">
        <v>9.27</v>
      </c>
      <c r="Y67" s="483">
        <v>10.799999999999999</v>
      </c>
      <c r="Z67" s="349"/>
      <c r="AA67" s="349"/>
      <c r="AB67" s="349"/>
      <c r="AC67" s="349"/>
      <c r="AD67" s="349"/>
      <c r="AF67" s="519"/>
      <c r="AG67" s="329" t="s">
        <v>509</v>
      </c>
      <c r="AH67" s="483">
        <v>2.91</v>
      </c>
      <c r="AI67" s="483">
        <v>3.63</v>
      </c>
      <c r="AJ67" s="483">
        <v>2.31</v>
      </c>
      <c r="AK67" s="483">
        <v>2.4300000000000002</v>
      </c>
      <c r="AL67" s="483">
        <v>3.09</v>
      </c>
      <c r="AM67" s="483">
        <v>3.63</v>
      </c>
      <c r="AN67" s="349"/>
      <c r="AO67" s="349"/>
      <c r="AP67" s="349"/>
      <c r="AQ67" s="349"/>
      <c r="AR67" s="349"/>
      <c r="AT67" s="519"/>
      <c r="AU67" s="329" t="s">
        <v>509</v>
      </c>
      <c r="AV67" s="483">
        <v>3.0300000000000002</v>
      </c>
      <c r="AW67" s="483">
        <v>3.54</v>
      </c>
      <c r="AX67" s="483">
        <v>3.69</v>
      </c>
      <c r="AY67" s="483">
        <v>2.88</v>
      </c>
      <c r="AZ67" s="483">
        <v>3.9000000000000004</v>
      </c>
      <c r="BA67" s="483">
        <v>3.18</v>
      </c>
      <c r="BB67" s="349"/>
      <c r="BC67" s="349"/>
      <c r="BD67" s="349"/>
      <c r="BE67" s="349"/>
      <c r="BF67" s="349"/>
    </row>
    <row r="68" spans="4:58">
      <c r="D68" s="520" t="s">
        <v>444</v>
      </c>
      <c r="E68" s="329" t="s">
        <v>508</v>
      </c>
      <c r="F68" s="483">
        <v>1165.0999999999999</v>
      </c>
      <c r="G68" s="483">
        <v>735.35</v>
      </c>
      <c r="H68" s="483">
        <v>668.5</v>
      </c>
      <c r="I68" s="483">
        <v>1060.0500000000002</v>
      </c>
      <c r="J68" s="483">
        <v>1060.0500000000002</v>
      </c>
      <c r="K68" s="483">
        <v>725.8</v>
      </c>
      <c r="L68" s="349"/>
      <c r="M68" s="349"/>
      <c r="N68" s="349"/>
      <c r="O68" s="349"/>
      <c r="P68" s="349"/>
      <c r="R68" s="520" t="s">
        <v>444</v>
      </c>
      <c r="S68" s="329" t="s">
        <v>508</v>
      </c>
      <c r="T68" s="483">
        <v>1611.9</v>
      </c>
      <c r="U68" s="483">
        <v>2388</v>
      </c>
      <c r="V68" s="483">
        <v>2427.7999999999997</v>
      </c>
      <c r="W68" s="483">
        <v>2507.4</v>
      </c>
      <c r="X68" s="483">
        <v>1671.6</v>
      </c>
      <c r="Y68" s="483">
        <v>2467.6</v>
      </c>
      <c r="Z68" s="349"/>
      <c r="AA68" s="349"/>
      <c r="AB68" s="349"/>
      <c r="AC68" s="349"/>
      <c r="AD68" s="349"/>
      <c r="AF68" s="520" t="s">
        <v>444</v>
      </c>
      <c r="AG68" s="329" t="s">
        <v>508</v>
      </c>
      <c r="AH68" s="483">
        <v>3565.44</v>
      </c>
      <c r="AI68" s="483">
        <v>4531.08</v>
      </c>
      <c r="AJ68" s="483">
        <v>3305.46</v>
      </c>
      <c r="AK68" s="483">
        <v>3379.7400000000002</v>
      </c>
      <c r="AL68" s="483">
        <v>3008.34</v>
      </c>
      <c r="AM68" s="483">
        <v>4196.82</v>
      </c>
      <c r="AN68" s="349"/>
      <c r="AO68" s="349"/>
      <c r="AP68" s="349"/>
      <c r="AQ68" s="349"/>
      <c r="AR68" s="349"/>
      <c r="AT68" s="520" t="s">
        <v>444</v>
      </c>
      <c r="AU68" s="329" t="s">
        <v>508</v>
      </c>
      <c r="AV68" s="483">
        <v>4181.6000000000004</v>
      </c>
      <c r="AW68" s="483">
        <v>6011.0499999999993</v>
      </c>
      <c r="AX68" s="483">
        <v>4181.6000000000004</v>
      </c>
      <c r="AY68" s="483">
        <v>3867.98</v>
      </c>
      <c r="AZ68" s="483">
        <v>4442.95</v>
      </c>
      <c r="BA68" s="483">
        <v>5122.46</v>
      </c>
      <c r="BB68" s="349"/>
      <c r="BC68" s="349"/>
      <c r="BD68" s="349"/>
      <c r="BE68" s="349"/>
      <c r="BF68" s="349"/>
    </row>
    <row r="69" spans="4:58">
      <c r="D69" s="521"/>
      <c r="E69" s="329" t="s">
        <v>509</v>
      </c>
      <c r="F69" s="483">
        <v>20.399999999999999</v>
      </c>
      <c r="G69" s="483">
        <v>30.240000000000002</v>
      </c>
      <c r="H69" s="483">
        <v>19.200000000000003</v>
      </c>
      <c r="I69" s="483">
        <v>24.240000000000002</v>
      </c>
      <c r="J69" s="483">
        <v>28.56</v>
      </c>
      <c r="K69" s="483">
        <v>30.96</v>
      </c>
      <c r="L69" s="349"/>
      <c r="M69" s="349"/>
      <c r="N69" s="349"/>
      <c r="O69" s="349"/>
      <c r="P69" s="349"/>
      <c r="R69" s="521"/>
      <c r="S69" s="329" t="s">
        <v>509</v>
      </c>
      <c r="T69" s="483">
        <v>13.26</v>
      </c>
      <c r="U69" s="483">
        <v>19.38</v>
      </c>
      <c r="V69" s="483">
        <v>20.57</v>
      </c>
      <c r="W69" s="483">
        <v>18.700000000000003</v>
      </c>
      <c r="X69" s="483">
        <v>13.09</v>
      </c>
      <c r="Y69" s="483">
        <v>12.58</v>
      </c>
      <c r="Z69" s="349"/>
      <c r="AA69" s="349"/>
      <c r="AB69" s="349"/>
      <c r="AC69" s="349"/>
      <c r="AD69" s="349"/>
      <c r="AF69" s="521"/>
      <c r="AG69" s="329" t="s">
        <v>509</v>
      </c>
      <c r="AH69" s="483">
        <v>5.04</v>
      </c>
      <c r="AI69" s="483">
        <v>6.3</v>
      </c>
      <c r="AJ69" s="483">
        <v>8.89</v>
      </c>
      <c r="AK69" s="483">
        <v>6.23</v>
      </c>
      <c r="AL69" s="483">
        <v>4.8999999999999995</v>
      </c>
      <c r="AM69" s="483">
        <v>8.26</v>
      </c>
      <c r="AN69" s="349"/>
      <c r="AO69" s="349"/>
      <c r="AP69" s="349"/>
      <c r="AQ69" s="349"/>
      <c r="AR69" s="349"/>
      <c r="AT69" s="521"/>
      <c r="AU69" s="329" t="s">
        <v>509</v>
      </c>
      <c r="AV69" s="483">
        <v>6.45</v>
      </c>
      <c r="AW69" s="483">
        <v>5.2</v>
      </c>
      <c r="AX69" s="483">
        <v>4.6999999999999993</v>
      </c>
      <c r="AY69" s="483">
        <v>6.05</v>
      </c>
      <c r="AZ69" s="483">
        <v>3.75</v>
      </c>
      <c r="BA69" s="483">
        <v>6.5</v>
      </c>
      <c r="BB69" s="349"/>
      <c r="BC69" s="349"/>
      <c r="BD69" s="349"/>
      <c r="BE69" s="349"/>
      <c r="BF69" s="349"/>
    </row>
    <row r="70" spans="4:58" outlineLevel="1">
      <c r="D70" s="522" t="s">
        <v>445</v>
      </c>
      <c r="E70" s="329" t="s">
        <v>508</v>
      </c>
      <c r="F70" s="484">
        <v>1382.76</v>
      </c>
      <c r="G70" s="484">
        <v>1247.49</v>
      </c>
      <c r="H70" s="484">
        <v>1292.58</v>
      </c>
      <c r="I70" s="484">
        <v>1067.1299999999999</v>
      </c>
      <c r="J70" s="484">
        <v>1713.4199999999998</v>
      </c>
      <c r="K70" s="484">
        <v>1262.52</v>
      </c>
      <c r="L70" s="349"/>
      <c r="M70" s="349"/>
      <c r="N70" s="349"/>
      <c r="O70" s="349"/>
      <c r="P70" s="349"/>
      <c r="R70" s="522" t="s">
        <v>445</v>
      </c>
      <c r="S70" s="329" t="s">
        <v>508</v>
      </c>
      <c r="T70" s="484">
        <v>2390.1999999999998</v>
      </c>
      <c r="U70" s="484">
        <v>2641.7999999999997</v>
      </c>
      <c r="V70" s="484">
        <v>3553.8499999999995</v>
      </c>
      <c r="W70" s="484">
        <v>2516</v>
      </c>
      <c r="X70" s="484">
        <v>3931.25</v>
      </c>
      <c r="Y70" s="484">
        <v>3113.55</v>
      </c>
      <c r="Z70" s="349"/>
      <c r="AA70" s="349"/>
      <c r="AB70" s="349"/>
      <c r="AC70" s="349"/>
      <c r="AD70" s="349"/>
      <c r="AF70" s="522" t="s">
        <v>445</v>
      </c>
      <c r="AG70" s="329" t="s">
        <v>508</v>
      </c>
      <c r="AH70" s="484">
        <v>5370.96</v>
      </c>
      <c r="AI70" s="484">
        <v>5370.96</v>
      </c>
      <c r="AJ70" s="484">
        <v>7180.74</v>
      </c>
      <c r="AK70" s="484">
        <v>7531.02</v>
      </c>
      <c r="AL70" s="484">
        <v>6363.42</v>
      </c>
      <c r="AM70" s="484">
        <v>5137.4399999999996</v>
      </c>
      <c r="AN70" s="349"/>
      <c r="AO70" s="349"/>
      <c r="AP70" s="349"/>
      <c r="AQ70" s="349"/>
      <c r="AR70" s="349"/>
      <c r="AT70" s="522" t="s">
        <v>445</v>
      </c>
      <c r="AU70" s="329" t="s">
        <v>508</v>
      </c>
      <c r="AV70" s="484">
        <v>5893</v>
      </c>
      <c r="AW70" s="484">
        <v>10458</v>
      </c>
      <c r="AX70" s="484">
        <v>9877</v>
      </c>
      <c r="AY70" s="484">
        <v>10458</v>
      </c>
      <c r="AZ70" s="484">
        <v>7221</v>
      </c>
      <c r="BA70" s="484">
        <v>7138</v>
      </c>
      <c r="BB70" s="349"/>
      <c r="BC70" s="349"/>
      <c r="BD70" s="349"/>
      <c r="BE70" s="349"/>
      <c r="BF70" s="349"/>
    </row>
    <row r="71" spans="4:58" outlineLevel="1">
      <c r="D71" s="523"/>
      <c r="E71" s="329" t="s">
        <v>509</v>
      </c>
      <c r="F71" s="484">
        <v>37.800000000000004</v>
      </c>
      <c r="G71" s="484">
        <v>26.64</v>
      </c>
      <c r="H71" s="484">
        <v>28.44</v>
      </c>
      <c r="I71" s="484">
        <v>45</v>
      </c>
      <c r="J71" s="484">
        <v>42.12</v>
      </c>
      <c r="K71" s="484">
        <v>26.64</v>
      </c>
      <c r="L71" s="349"/>
      <c r="M71" s="349"/>
      <c r="N71" s="349"/>
      <c r="O71" s="349"/>
      <c r="P71" s="349"/>
      <c r="R71" s="523"/>
      <c r="S71" s="329" t="s">
        <v>509</v>
      </c>
      <c r="T71" s="484">
        <v>31.72</v>
      </c>
      <c r="U71" s="484">
        <v>22.099999999999998</v>
      </c>
      <c r="V71" s="484">
        <v>24.18</v>
      </c>
      <c r="W71" s="484">
        <v>24.96</v>
      </c>
      <c r="X71" s="484">
        <v>22.099999999999998</v>
      </c>
      <c r="Y71" s="484">
        <v>25.48</v>
      </c>
      <c r="Z71" s="349"/>
      <c r="AA71" s="349"/>
      <c r="AB71" s="349"/>
      <c r="AC71" s="349"/>
      <c r="AD71" s="349"/>
      <c r="AF71" s="523"/>
      <c r="AG71" s="329" t="s">
        <v>509</v>
      </c>
      <c r="AH71" s="484">
        <v>11</v>
      </c>
      <c r="AI71" s="484">
        <v>11.899999999999999</v>
      </c>
      <c r="AJ71" s="484">
        <v>11.7</v>
      </c>
      <c r="AK71" s="484">
        <v>7.6</v>
      </c>
      <c r="AL71" s="484">
        <v>8</v>
      </c>
      <c r="AM71" s="484">
        <v>9.9</v>
      </c>
      <c r="AN71" s="349"/>
      <c r="AO71" s="349"/>
      <c r="AP71" s="349"/>
      <c r="AQ71" s="349"/>
      <c r="AR71" s="349"/>
      <c r="AT71" s="523"/>
      <c r="AU71" s="329" t="s">
        <v>509</v>
      </c>
      <c r="AV71" s="484">
        <v>5.1099999999999994</v>
      </c>
      <c r="AW71" s="484">
        <v>6.44</v>
      </c>
      <c r="AX71" s="484">
        <v>8.61</v>
      </c>
      <c r="AY71" s="484">
        <v>8.0499999999999989</v>
      </c>
      <c r="AZ71" s="484">
        <v>8.0499999999999989</v>
      </c>
      <c r="BA71" s="484">
        <v>8.1199999999999992</v>
      </c>
      <c r="BB71" s="349"/>
      <c r="BC71" s="349"/>
      <c r="BD71" s="349"/>
      <c r="BE71" s="349"/>
      <c r="BF71" s="349"/>
    </row>
    <row r="72" spans="4:58" outlineLevel="1">
      <c r="D72" s="522" t="s">
        <v>446</v>
      </c>
      <c r="E72" s="329" t="s">
        <v>508</v>
      </c>
      <c r="F72" s="484">
        <v>1687.14</v>
      </c>
      <c r="G72" s="484">
        <v>2336.04</v>
      </c>
      <c r="H72" s="484">
        <v>2444.1899999999996</v>
      </c>
      <c r="I72" s="484">
        <v>2573.9699999999998</v>
      </c>
      <c r="J72" s="484">
        <v>2725.38</v>
      </c>
      <c r="K72" s="484">
        <v>2747.01</v>
      </c>
      <c r="L72" s="349"/>
      <c r="M72" s="349"/>
      <c r="N72" s="349"/>
      <c r="O72" s="349"/>
      <c r="P72" s="349"/>
      <c r="R72" s="522" t="s">
        <v>446</v>
      </c>
      <c r="S72" s="329" t="s">
        <v>508</v>
      </c>
      <c r="T72" s="484">
        <v>4305.3999999999996</v>
      </c>
      <c r="U72" s="484">
        <v>5211.7999999999993</v>
      </c>
      <c r="V72" s="484">
        <v>4667.96</v>
      </c>
      <c r="W72" s="484">
        <v>3670.92</v>
      </c>
      <c r="X72" s="484">
        <v>4577.32</v>
      </c>
      <c r="Y72" s="484">
        <v>3308.36</v>
      </c>
      <c r="Z72" s="349"/>
      <c r="AA72" s="349"/>
      <c r="AB72" s="349"/>
      <c r="AC72" s="349"/>
      <c r="AD72" s="349"/>
      <c r="AF72" s="522" t="s">
        <v>446</v>
      </c>
      <c r="AG72" s="329" t="s">
        <v>508</v>
      </c>
      <c r="AH72" s="484">
        <v>6463.38</v>
      </c>
      <c r="AI72" s="484">
        <v>6547.3200000000006</v>
      </c>
      <c r="AJ72" s="484">
        <v>10408.56</v>
      </c>
      <c r="AK72" s="484">
        <v>6631.26</v>
      </c>
      <c r="AL72" s="484">
        <v>8813.7000000000007</v>
      </c>
      <c r="AM72" s="484">
        <v>8897.6400000000012</v>
      </c>
      <c r="AN72" s="349"/>
      <c r="AO72" s="349"/>
      <c r="AP72" s="349"/>
      <c r="AQ72" s="349"/>
      <c r="AR72" s="349"/>
      <c r="AT72" s="522" t="s">
        <v>446</v>
      </c>
      <c r="AU72" s="329" t="s">
        <v>508</v>
      </c>
      <c r="AV72" s="484">
        <v>13419.840000000002</v>
      </c>
      <c r="AW72" s="484">
        <v>8627.0399999999991</v>
      </c>
      <c r="AX72" s="484">
        <v>15217.14</v>
      </c>
      <c r="AY72" s="484">
        <v>14258.58</v>
      </c>
      <c r="AZ72" s="484">
        <v>13419.840000000002</v>
      </c>
      <c r="BA72" s="484">
        <v>13180.2</v>
      </c>
      <c r="BB72" s="349"/>
      <c r="BC72" s="349"/>
      <c r="BD72" s="349"/>
      <c r="BE72" s="349"/>
      <c r="BF72" s="349"/>
    </row>
    <row r="73" spans="4:58" outlineLevel="1">
      <c r="D73" s="523"/>
      <c r="E73" s="329" t="s">
        <v>509</v>
      </c>
      <c r="F73" s="484">
        <v>37.229999999999997</v>
      </c>
      <c r="G73" s="484">
        <v>43.86</v>
      </c>
      <c r="H73" s="484">
        <v>45.9</v>
      </c>
      <c r="I73" s="484">
        <v>53.550000000000004</v>
      </c>
      <c r="J73" s="484">
        <v>35.699999999999996</v>
      </c>
      <c r="K73" s="484">
        <v>60.18</v>
      </c>
      <c r="L73" s="349"/>
      <c r="M73" s="349"/>
      <c r="N73" s="349"/>
      <c r="O73" s="349"/>
      <c r="P73" s="349"/>
      <c r="R73" s="523"/>
      <c r="S73" s="329" t="s">
        <v>509</v>
      </c>
      <c r="T73" s="484">
        <v>34.78</v>
      </c>
      <c r="U73" s="484">
        <v>34.410000000000004</v>
      </c>
      <c r="V73" s="484">
        <v>47.36</v>
      </c>
      <c r="W73" s="484">
        <v>47.36</v>
      </c>
      <c r="X73" s="484">
        <v>27.75</v>
      </c>
      <c r="Y73" s="484">
        <v>42.18</v>
      </c>
      <c r="Z73" s="349"/>
      <c r="AA73" s="349"/>
      <c r="AB73" s="349"/>
      <c r="AC73" s="349"/>
      <c r="AD73" s="349"/>
      <c r="AF73" s="523"/>
      <c r="AG73" s="329" t="s">
        <v>509</v>
      </c>
      <c r="AH73" s="484">
        <v>10.08</v>
      </c>
      <c r="AI73" s="484">
        <v>14.56</v>
      </c>
      <c r="AJ73" s="484">
        <v>16.52</v>
      </c>
      <c r="AK73" s="484">
        <v>13.020000000000001</v>
      </c>
      <c r="AL73" s="484">
        <v>16.38</v>
      </c>
      <c r="AM73" s="484">
        <v>12.6</v>
      </c>
      <c r="AN73" s="349"/>
      <c r="AO73" s="349"/>
      <c r="AP73" s="349"/>
      <c r="AQ73" s="349"/>
      <c r="AR73" s="349"/>
      <c r="AT73" s="523"/>
      <c r="AU73" s="329" t="s">
        <v>509</v>
      </c>
      <c r="AV73" s="484">
        <v>12.7</v>
      </c>
      <c r="AW73" s="484">
        <v>10.5</v>
      </c>
      <c r="AX73" s="484">
        <v>11.299999999999999</v>
      </c>
      <c r="AY73" s="484">
        <v>8.1000000000000014</v>
      </c>
      <c r="AZ73" s="484">
        <v>12.3</v>
      </c>
      <c r="BA73" s="484">
        <v>11.200000000000001</v>
      </c>
      <c r="BB73" s="349"/>
      <c r="BC73" s="349"/>
      <c r="BD73" s="349"/>
      <c r="BE73" s="349"/>
      <c r="BF73" s="349"/>
    </row>
    <row r="74" spans="4:58" outlineLevel="1">
      <c r="D74" s="522" t="s">
        <v>447</v>
      </c>
      <c r="E74" s="329" t="s">
        <v>508</v>
      </c>
      <c r="F74" s="484">
        <v>2995.38</v>
      </c>
      <c r="G74" s="484">
        <v>3552.66</v>
      </c>
      <c r="H74" s="484">
        <v>3483</v>
      </c>
      <c r="I74" s="484">
        <v>3517.83</v>
      </c>
      <c r="J74" s="484">
        <v>2647.08</v>
      </c>
      <c r="K74" s="484">
        <v>3866.1300000000006</v>
      </c>
      <c r="L74" s="349"/>
      <c r="M74" s="349"/>
      <c r="N74" s="349"/>
      <c r="O74" s="349"/>
      <c r="P74" s="349"/>
      <c r="R74" s="522" t="s">
        <v>447</v>
      </c>
      <c r="S74" s="329" t="s">
        <v>508</v>
      </c>
      <c r="T74" s="484">
        <v>9350.4</v>
      </c>
      <c r="U74" s="484">
        <v>5551.8</v>
      </c>
      <c r="V74" s="484">
        <v>6501.45</v>
      </c>
      <c r="W74" s="484">
        <v>9423.4500000000007</v>
      </c>
      <c r="X74" s="484">
        <v>9496.5</v>
      </c>
      <c r="Y74" s="484">
        <v>5405.7</v>
      </c>
      <c r="Z74" s="349"/>
      <c r="AA74" s="349"/>
      <c r="AB74" s="349"/>
      <c r="AC74" s="349"/>
      <c r="AD74" s="349"/>
      <c r="AF74" s="522" t="s">
        <v>447</v>
      </c>
      <c r="AG74" s="329" t="s">
        <v>508</v>
      </c>
      <c r="AH74" s="484">
        <v>14316.36</v>
      </c>
      <c r="AI74" s="484">
        <v>11209.98</v>
      </c>
      <c r="AJ74" s="484">
        <v>14316.36</v>
      </c>
      <c r="AK74" s="484">
        <v>14451.42</v>
      </c>
      <c r="AL74" s="484">
        <v>12155.4</v>
      </c>
      <c r="AM74" s="484">
        <v>12425.52</v>
      </c>
      <c r="AN74" s="349"/>
      <c r="AO74" s="349"/>
      <c r="AP74" s="349"/>
      <c r="AQ74" s="349"/>
      <c r="AR74" s="349"/>
      <c r="AT74" s="522" t="s">
        <v>447</v>
      </c>
      <c r="AU74" s="329" t="s">
        <v>508</v>
      </c>
      <c r="AV74" s="484">
        <v>21472.95</v>
      </c>
      <c r="AW74" s="484">
        <v>15089.1</v>
      </c>
      <c r="AX74" s="484">
        <v>19925.350000000002</v>
      </c>
      <c r="AY74" s="484">
        <v>15669.45</v>
      </c>
      <c r="AZ74" s="484">
        <v>22246.75</v>
      </c>
      <c r="BA74" s="484">
        <v>22827.1</v>
      </c>
      <c r="BB74" s="349"/>
      <c r="BC74" s="349"/>
      <c r="BD74" s="349"/>
      <c r="BE74" s="349"/>
      <c r="BF74" s="349"/>
    </row>
    <row r="75" spans="4:58" outlineLevel="1">
      <c r="D75" s="523"/>
      <c r="E75" s="329" t="s">
        <v>509</v>
      </c>
      <c r="F75" s="484">
        <v>81.81</v>
      </c>
      <c r="G75" s="484">
        <v>67.22999999999999</v>
      </c>
      <c r="H75" s="484">
        <v>95.58</v>
      </c>
      <c r="I75" s="484">
        <v>95.58</v>
      </c>
      <c r="J75" s="484">
        <v>69.66</v>
      </c>
      <c r="K75" s="484">
        <v>102.06</v>
      </c>
      <c r="L75" s="349"/>
      <c r="M75" s="349"/>
      <c r="N75" s="349"/>
      <c r="O75" s="349"/>
      <c r="P75" s="349"/>
      <c r="R75" s="523"/>
      <c r="S75" s="329" t="s">
        <v>509</v>
      </c>
      <c r="T75" s="484">
        <v>43.8</v>
      </c>
      <c r="U75" s="484">
        <v>73.2</v>
      </c>
      <c r="V75" s="484">
        <v>67.8</v>
      </c>
      <c r="W75" s="484">
        <v>57</v>
      </c>
      <c r="X75" s="484">
        <v>77.400000000000006</v>
      </c>
      <c r="Y75" s="484">
        <v>64.800000000000011</v>
      </c>
      <c r="Z75" s="349"/>
      <c r="AA75" s="349"/>
      <c r="AB75" s="349"/>
      <c r="AC75" s="349"/>
      <c r="AD75" s="349"/>
      <c r="AF75" s="523"/>
      <c r="AG75" s="329" t="s">
        <v>509</v>
      </c>
      <c r="AH75" s="484">
        <v>22.54</v>
      </c>
      <c r="AI75" s="484">
        <v>17.940000000000001</v>
      </c>
      <c r="AJ75" s="484">
        <v>23.46</v>
      </c>
      <c r="AK75" s="484">
        <v>18.170000000000002</v>
      </c>
      <c r="AL75" s="484">
        <v>23.92</v>
      </c>
      <c r="AM75" s="484">
        <v>22.08</v>
      </c>
      <c r="AN75" s="349"/>
      <c r="AO75" s="349"/>
      <c r="AP75" s="349"/>
      <c r="AQ75" s="349"/>
      <c r="AR75" s="349"/>
      <c r="AT75" s="523"/>
      <c r="AU75" s="329" t="s">
        <v>509</v>
      </c>
      <c r="AV75" s="484">
        <v>16.64</v>
      </c>
      <c r="AW75" s="484">
        <v>11.84</v>
      </c>
      <c r="AX75" s="484">
        <v>20.8</v>
      </c>
      <c r="AY75" s="484">
        <v>17.28</v>
      </c>
      <c r="AZ75" s="484">
        <v>11.84</v>
      </c>
      <c r="BA75" s="484">
        <v>13.12</v>
      </c>
      <c r="BB75" s="349"/>
      <c r="BC75" s="349"/>
      <c r="BD75" s="349"/>
      <c r="BE75" s="349"/>
      <c r="BF75" s="349"/>
    </row>
    <row r="76" spans="4:58" outlineLevel="1">
      <c r="D76" s="522" t="s">
        <v>448</v>
      </c>
      <c r="E76" s="329" t="s">
        <v>508</v>
      </c>
      <c r="F76" s="484">
        <v>5042.1000000000004</v>
      </c>
      <c r="G76" s="484">
        <v>4802</v>
      </c>
      <c r="H76" s="484">
        <v>6242.6</v>
      </c>
      <c r="I76" s="484">
        <v>4129.72</v>
      </c>
      <c r="J76" s="484">
        <v>5666.36</v>
      </c>
      <c r="K76" s="484">
        <v>5090.12</v>
      </c>
      <c r="L76" s="349"/>
      <c r="M76" s="349"/>
      <c r="N76" s="349"/>
      <c r="O76" s="349"/>
      <c r="P76" s="349"/>
      <c r="R76" s="522" t="s">
        <v>448</v>
      </c>
      <c r="S76" s="329" t="s">
        <v>508</v>
      </c>
      <c r="T76" s="484">
        <v>7559.25</v>
      </c>
      <c r="U76" s="484">
        <v>10885.320000000002</v>
      </c>
      <c r="V76" s="484">
        <v>11590.849999999999</v>
      </c>
      <c r="W76" s="484">
        <v>8768.73</v>
      </c>
      <c r="X76" s="484">
        <v>12195.59</v>
      </c>
      <c r="Y76" s="484">
        <v>13001.91</v>
      </c>
      <c r="Z76" s="349"/>
      <c r="AA76" s="349"/>
      <c r="AB76" s="349"/>
      <c r="AC76" s="349"/>
      <c r="AD76" s="349"/>
      <c r="AF76" s="522" t="s">
        <v>448</v>
      </c>
      <c r="AG76" s="329" t="s">
        <v>508</v>
      </c>
      <c r="AH76" s="484">
        <v>21409.55</v>
      </c>
      <c r="AI76" s="484">
        <v>23085.079999999998</v>
      </c>
      <c r="AJ76" s="484">
        <v>23829.760000000002</v>
      </c>
      <c r="AK76" s="484">
        <v>17686.149999999998</v>
      </c>
      <c r="AL76" s="484">
        <v>15265.939999999999</v>
      </c>
      <c r="AM76" s="484">
        <v>13031.9</v>
      </c>
      <c r="AN76" s="349"/>
      <c r="AO76" s="349"/>
      <c r="AP76" s="349"/>
      <c r="AQ76" s="349"/>
      <c r="AR76" s="349"/>
      <c r="AT76" s="522" t="s">
        <v>448</v>
      </c>
      <c r="AU76" s="329" t="s">
        <v>508</v>
      </c>
      <c r="AV76" s="484">
        <v>25639.68</v>
      </c>
      <c r="AW76" s="484">
        <v>30714.199999999997</v>
      </c>
      <c r="AX76" s="484">
        <v>33117.919999999998</v>
      </c>
      <c r="AY76" s="484">
        <v>26440.92</v>
      </c>
      <c r="AZ76" s="484">
        <v>26173.84</v>
      </c>
      <c r="BA76" s="484">
        <v>33117.919999999998</v>
      </c>
      <c r="BB76" s="349"/>
      <c r="BC76" s="349"/>
      <c r="BD76" s="349"/>
      <c r="BE76" s="349"/>
      <c r="BF76" s="349"/>
    </row>
    <row r="77" spans="4:58" outlineLevel="1">
      <c r="D77" s="523"/>
      <c r="E77" s="329" t="s">
        <v>509</v>
      </c>
      <c r="F77" s="484">
        <v>97.68</v>
      </c>
      <c r="G77" s="484">
        <v>92.13</v>
      </c>
      <c r="H77" s="484">
        <v>103.23</v>
      </c>
      <c r="I77" s="484">
        <v>84.36</v>
      </c>
      <c r="J77" s="484">
        <v>106.56</v>
      </c>
      <c r="K77" s="484">
        <v>102.12</v>
      </c>
      <c r="L77" s="349"/>
      <c r="M77" s="349"/>
      <c r="N77" s="349"/>
      <c r="O77" s="349"/>
      <c r="P77" s="349"/>
      <c r="R77" s="523"/>
      <c r="S77" s="329" t="s">
        <v>509</v>
      </c>
      <c r="T77" s="484">
        <v>100.86</v>
      </c>
      <c r="U77" s="484">
        <v>71.34</v>
      </c>
      <c r="V77" s="484">
        <v>87.740000000000009</v>
      </c>
      <c r="W77" s="484">
        <v>103.32000000000001</v>
      </c>
      <c r="X77" s="484">
        <v>57.4</v>
      </c>
      <c r="Y77" s="484">
        <v>82</v>
      </c>
      <c r="Z77" s="349"/>
      <c r="AA77" s="349"/>
      <c r="AB77" s="349"/>
      <c r="AC77" s="349"/>
      <c r="AD77" s="349"/>
      <c r="AF77" s="523"/>
      <c r="AG77" s="329" t="s">
        <v>509</v>
      </c>
      <c r="AH77" s="484">
        <v>23.87</v>
      </c>
      <c r="AI77" s="484">
        <v>23.25</v>
      </c>
      <c r="AJ77" s="484">
        <v>25.110000000000003</v>
      </c>
      <c r="AK77" s="484">
        <v>26.349999999999998</v>
      </c>
      <c r="AL77" s="484">
        <v>23.56</v>
      </c>
      <c r="AM77" s="484">
        <v>38.130000000000003</v>
      </c>
      <c r="AN77" s="349"/>
      <c r="AO77" s="349"/>
      <c r="AP77" s="349"/>
      <c r="AQ77" s="349"/>
      <c r="AR77" s="349"/>
      <c r="AT77" s="523"/>
      <c r="AU77" s="329" t="s">
        <v>509</v>
      </c>
      <c r="AV77" s="484">
        <v>26.84</v>
      </c>
      <c r="AW77" s="484">
        <v>28.380000000000003</v>
      </c>
      <c r="AX77" s="484">
        <v>21.119999999999997</v>
      </c>
      <c r="AY77" s="484">
        <v>19.580000000000002</v>
      </c>
      <c r="AZ77" s="484">
        <v>15.399999999999999</v>
      </c>
      <c r="BA77" s="484">
        <v>24.86</v>
      </c>
      <c r="BB77" s="349"/>
      <c r="BC77" s="349"/>
      <c r="BD77" s="349"/>
      <c r="BE77" s="349"/>
      <c r="BF77" s="349"/>
    </row>
    <row r="78" spans="4:58" outlineLevel="1">
      <c r="D78" s="522" t="s">
        <v>449</v>
      </c>
      <c r="E78" s="329" t="s">
        <v>508</v>
      </c>
      <c r="F78" s="484">
        <v>6183.22</v>
      </c>
      <c r="G78" s="484">
        <v>7346.4</v>
      </c>
      <c r="H78" s="484">
        <v>6550.54</v>
      </c>
      <c r="I78" s="484">
        <v>7285.1799999999994</v>
      </c>
      <c r="J78" s="484">
        <v>5754.6799999999994</v>
      </c>
      <c r="K78" s="484">
        <v>5877.12</v>
      </c>
      <c r="L78" s="349"/>
      <c r="M78" s="349"/>
      <c r="N78" s="349"/>
      <c r="O78" s="349"/>
      <c r="P78" s="349"/>
      <c r="R78" s="522" t="s">
        <v>449</v>
      </c>
      <c r="S78" s="329" t="s">
        <v>508</v>
      </c>
      <c r="T78" s="484">
        <v>13751.640000000001</v>
      </c>
      <c r="U78" s="484">
        <v>14137.2</v>
      </c>
      <c r="V78" s="484">
        <v>14008.68</v>
      </c>
      <c r="W78" s="484">
        <v>9510.48</v>
      </c>
      <c r="X78" s="484">
        <v>15293.88</v>
      </c>
      <c r="Y78" s="484">
        <v>12980.52</v>
      </c>
      <c r="Z78" s="349"/>
      <c r="AA78" s="349"/>
      <c r="AB78" s="349"/>
      <c r="AC78" s="349"/>
      <c r="AD78" s="349"/>
      <c r="AF78" s="522" t="s">
        <v>449</v>
      </c>
      <c r="AG78" s="329" t="s">
        <v>508</v>
      </c>
      <c r="AH78" s="484">
        <v>26101.9</v>
      </c>
      <c r="AI78" s="484">
        <v>18508.62</v>
      </c>
      <c r="AJ78" s="484">
        <v>27525.64</v>
      </c>
      <c r="AK78" s="484">
        <v>23017.13</v>
      </c>
      <c r="AL78" s="484">
        <v>19220.490000000002</v>
      </c>
      <c r="AM78" s="484">
        <v>30847.7</v>
      </c>
      <c r="AN78" s="349"/>
      <c r="AO78" s="349"/>
      <c r="AP78" s="349"/>
      <c r="AQ78" s="349"/>
      <c r="AR78" s="349"/>
      <c r="AT78" s="522" t="s">
        <v>449</v>
      </c>
      <c r="AU78" s="329" t="s">
        <v>508</v>
      </c>
      <c r="AV78" s="484">
        <v>37818.810000000005</v>
      </c>
      <c r="AW78" s="484">
        <v>43270.17</v>
      </c>
      <c r="AX78" s="484">
        <v>42588.75</v>
      </c>
      <c r="AY78" s="484">
        <v>30323.19</v>
      </c>
      <c r="AZ78" s="484">
        <v>38840.939999999995</v>
      </c>
      <c r="BA78" s="484">
        <v>27256.800000000003</v>
      </c>
      <c r="BB78" s="349"/>
      <c r="BC78" s="349"/>
      <c r="BD78" s="349"/>
      <c r="BE78" s="349"/>
      <c r="BF78" s="349"/>
    </row>
    <row r="79" spans="4:58" outlineLevel="1">
      <c r="D79" s="523"/>
      <c r="E79" s="329" t="s">
        <v>509</v>
      </c>
      <c r="F79" s="484">
        <v>133</v>
      </c>
      <c r="G79" s="484">
        <v>109.2</v>
      </c>
      <c r="H79" s="484">
        <v>147</v>
      </c>
      <c r="I79" s="484">
        <v>175</v>
      </c>
      <c r="J79" s="484">
        <v>126</v>
      </c>
      <c r="K79" s="484">
        <v>103.6</v>
      </c>
      <c r="L79" s="349"/>
      <c r="M79" s="349"/>
      <c r="N79" s="349"/>
      <c r="O79" s="349"/>
      <c r="P79" s="349"/>
      <c r="R79" s="523"/>
      <c r="S79" s="329" t="s">
        <v>509</v>
      </c>
      <c r="T79" s="484">
        <v>97.759999999999991</v>
      </c>
      <c r="U79" s="484">
        <v>132.08000000000001</v>
      </c>
      <c r="V79" s="484">
        <v>128.96</v>
      </c>
      <c r="W79" s="484">
        <v>117.51999999999998</v>
      </c>
      <c r="X79" s="484">
        <v>107.12</v>
      </c>
      <c r="Y79" s="484">
        <v>104</v>
      </c>
      <c r="Z79" s="349"/>
      <c r="AA79" s="349"/>
      <c r="AB79" s="349"/>
      <c r="AC79" s="349"/>
      <c r="AD79" s="349"/>
      <c r="AF79" s="523"/>
      <c r="AG79" s="329" t="s">
        <v>509</v>
      </c>
      <c r="AH79" s="484">
        <v>47.199999999999996</v>
      </c>
      <c r="AI79" s="484">
        <v>28.4</v>
      </c>
      <c r="AJ79" s="484">
        <v>29.6</v>
      </c>
      <c r="AK79" s="484">
        <v>32</v>
      </c>
      <c r="AL79" s="484">
        <v>49.2</v>
      </c>
      <c r="AM79" s="484">
        <v>50.8</v>
      </c>
      <c r="AN79" s="349"/>
      <c r="AO79" s="349"/>
      <c r="AP79" s="349"/>
      <c r="AQ79" s="349"/>
      <c r="AR79" s="349"/>
      <c r="AT79" s="523"/>
      <c r="AU79" s="329" t="s">
        <v>509</v>
      </c>
      <c r="AV79" s="484">
        <v>26.39</v>
      </c>
      <c r="AW79" s="484">
        <v>22.62</v>
      </c>
      <c r="AX79" s="484">
        <v>27.549999999999997</v>
      </c>
      <c r="AY79" s="484">
        <v>28.13</v>
      </c>
      <c r="AZ79" s="484">
        <v>32.769999999999996</v>
      </c>
      <c r="BA79" s="484">
        <v>34.51</v>
      </c>
      <c r="BB79" s="349"/>
      <c r="BC79" s="349"/>
      <c r="BD79" s="349"/>
      <c r="BE79" s="349"/>
      <c r="BF79" s="349"/>
    </row>
    <row r="80" spans="4:58" outlineLevel="1">
      <c r="D80" s="522" t="s">
        <v>450</v>
      </c>
      <c r="E80" s="329" t="s">
        <v>508</v>
      </c>
      <c r="F80" s="484">
        <v>6995.48</v>
      </c>
      <c r="G80" s="484">
        <v>8781.56</v>
      </c>
      <c r="H80" s="484">
        <v>7516.42</v>
      </c>
      <c r="I80" s="484">
        <v>9079.24</v>
      </c>
      <c r="J80" s="484">
        <v>5581.5</v>
      </c>
      <c r="K80" s="484">
        <v>8483.8799999999992</v>
      </c>
      <c r="L80" s="349"/>
      <c r="M80" s="349"/>
      <c r="N80" s="349"/>
      <c r="O80" s="349"/>
      <c r="P80" s="349"/>
      <c r="R80" s="522" t="s">
        <v>450</v>
      </c>
      <c r="S80" s="329" t="s">
        <v>508</v>
      </c>
      <c r="T80" s="484">
        <v>16563.560000000001</v>
      </c>
      <c r="U80" s="484">
        <v>17657.379999999997</v>
      </c>
      <c r="V80" s="484">
        <v>17969.899999999998</v>
      </c>
      <c r="W80" s="484">
        <v>15938.52</v>
      </c>
      <c r="X80" s="484">
        <v>12188.28</v>
      </c>
      <c r="Y80" s="484">
        <v>13282.1</v>
      </c>
      <c r="Z80" s="349"/>
      <c r="AA80" s="349"/>
      <c r="AB80" s="349"/>
      <c r="AC80" s="349"/>
      <c r="AD80" s="349"/>
      <c r="AF80" s="522" t="s">
        <v>450</v>
      </c>
      <c r="AG80" s="329" t="s">
        <v>508</v>
      </c>
      <c r="AH80" s="484">
        <v>37493.300000000003</v>
      </c>
      <c r="AI80" s="484">
        <v>24514.85</v>
      </c>
      <c r="AJ80" s="484">
        <v>30859.870000000003</v>
      </c>
      <c r="AK80" s="484">
        <v>27687.360000000001</v>
      </c>
      <c r="AL80" s="484">
        <v>21630.75</v>
      </c>
      <c r="AM80" s="484">
        <v>36339.660000000003</v>
      </c>
      <c r="AN80" s="349"/>
      <c r="AO80" s="349"/>
      <c r="AP80" s="349"/>
      <c r="AQ80" s="349"/>
      <c r="AR80" s="349"/>
      <c r="AT80" s="522" t="s">
        <v>450</v>
      </c>
      <c r="AU80" s="329" t="s">
        <v>508</v>
      </c>
      <c r="AV80" s="484">
        <v>50549.479999999996</v>
      </c>
      <c r="AW80" s="484">
        <v>41019.659999999996</v>
      </c>
      <c r="AX80" s="484">
        <v>53035.520000000004</v>
      </c>
      <c r="AY80" s="484">
        <v>30246.82</v>
      </c>
      <c r="AZ80" s="484">
        <v>48063.439999999995</v>
      </c>
      <c r="BA80" s="484">
        <v>39776.639999999999</v>
      </c>
      <c r="BB80" s="349"/>
      <c r="BC80" s="349"/>
      <c r="BD80" s="349"/>
      <c r="BE80" s="349"/>
      <c r="BF80" s="349"/>
    </row>
    <row r="81" spans="4:58" outlineLevel="1">
      <c r="D81" s="523"/>
      <c r="E81" s="329" t="s">
        <v>509</v>
      </c>
      <c r="F81" s="484">
        <v>190.4</v>
      </c>
      <c r="G81" s="484">
        <v>120.69999999999999</v>
      </c>
      <c r="H81" s="484">
        <v>122.39999999999999</v>
      </c>
      <c r="I81" s="484">
        <v>217.6</v>
      </c>
      <c r="J81" s="484">
        <v>149.6</v>
      </c>
      <c r="K81" s="484">
        <v>130.9</v>
      </c>
      <c r="L81" s="349"/>
      <c r="M81" s="349"/>
      <c r="N81" s="349"/>
      <c r="O81" s="349"/>
      <c r="P81" s="349"/>
      <c r="R81" s="523"/>
      <c r="S81" s="329" t="s">
        <v>509</v>
      </c>
      <c r="T81" s="484">
        <v>91.98</v>
      </c>
      <c r="U81" s="484">
        <v>157.5</v>
      </c>
      <c r="V81" s="484">
        <v>143.63999999999999</v>
      </c>
      <c r="W81" s="484">
        <v>123.48</v>
      </c>
      <c r="X81" s="484">
        <v>147.41999999999999</v>
      </c>
      <c r="Y81" s="484">
        <v>163.80000000000001</v>
      </c>
      <c r="Z81" s="349"/>
      <c r="AA81" s="349"/>
      <c r="AB81" s="349"/>
      <c r="AC81" s="349"/>
      <c r="AD81" s="349"/>
      <c r="AF81" s="523"/>
      <c r="AG81" s="329" t="s">
        <v>509</v>
      </c>
      <c r="AH81" s="484">
        <v>48.480000000000004</v>
      </c>
      <c r="AI81" s="484">
        <v>56.16</v>
      </c>
      <c r="AJ81" s="484">
        <v>43.2</v>
      </c>
      <c r="AK81" s="484">
        <v>58.08</v>
      </c>
      <c r="AL81" s="484">
        <v>56.16</v>
      </c>
      <c r="AM81" s="484">
        <v>36.96</v>
      </c>
      <c r="AN81" s="349"/>
      <c r="AO81" s="349"/>
      <c r="AP81" s="349"/>
      <c r="AQ81" s="349"/>
      <c r="AR81" s="349"/>
      <c r="AT81" s="523"/>
      <c r="AU81" s="329" t="s">
        <v>509</v>
      </c>
      <c r="AV81" s="484">
        <v>44.1</v>
      </c>
      <c r="AW81" s="484">
        <v>40.949999999999996</v>
      </c>
      <c r="AX81" s="484">
        <v>36.4</v>
      </c>
      <c r="AY81" s="484">
        <v>32.200000000000003</v>
      </c>
      <c r="AZ81" s="484">
        <v>30.099999999999998</v>
      </c>
      <c r="BA81" s="484">
        <v>31.150000000000002</v>
      </c>
      <c r="BB81" s="349"/>
      <c r="BC81" s="349"/>
      <c r="BD81" s="349"/>
      <c r="BE81" s="349"/>
      <c r="BF81" s="349"/>
    </row>
    <row r="82" spans="4:58" outlineLevel="1">
      <c r="D82" s="524" t="s">
        <v>451</v>
      </c>
      <c r="E82" s="329" t="s">
        <v>508</v>
      </c>
      <c r="F82" s="484">
        <v>7139.5199999999995</v>
      </c>
      <c r="G82" s="484">
        <v>9717.68</v>
      </c>
      <c r="H82" s="484">
        <v>9519.3599999999988</v>
      </c>
      <c r="I82" s="484">
        <v>8031.9600000000009</v>
      </c>
      <c r="J82" s="484">
        <v>10411.800000000001</v>
      </c>
      <c r="K82" s="484">
        <v>11899.199999999999</v>
      </c>
      <c r="L82" s="349"/>
      <c r="M82" s="349"/>
      <c r="N82" s="349"/>
      <c r="O82" s="349"/>
      <c r="P82" s="349"/>
      <c r="R82" s="524" t="s">
        <v>451</v>
      </c>
      <c r="S82" s="329" t="s">
        <v>508</v>
      </c>
      <c r="T82" s="484">
        <v>14580.999999999998</v>
      </c>
      <c r="U82" s="484">
        <v>15622.5</v>
      </c>
      <c r="V82" s="484">
        <v>26662.400000000001</v>
      </c>
      <c r="W82" s="484">
        <v>14580.999999999998</v>
      </c>
      <c r="X82" s="484">
        <v>20205.099999999999</v>
      </c>
      <c r="Y82" s="484">
        <v>26245.8</v>
      </c>
      <c r="Z82" s="349"/>
      <c r="AA82" s="349"/>
      <c r="AB82" s="349"/>
      <c r="AC82" s="349"/>
      <c r="AD82" s="349"/>
      <c r="AF82" s="524" t="s">
        <v>451</v>
      </c>
      <c r="AG82" s="329" t="s">
        <v>508</v>
      </c>
      <c r="AH82" s="484">
        <v>43459.83</v>
      </c>
      <c r="AI82" s="484">
        <v>48549.72</v>
      </c>
      <c r="AJ82" s="484">
        <v>42285.240000000005</v>
      </c>
      <c r="AK82" s="484">
        <v>30930.870000000003</v>
      </c>
      <c r="AL82" s="484">
        <v>48158.19</v>
      </c>
      <c r="AM82" s="484">
        <v>50898.9</v>
      </c>
      <c r="AN82" s="349"/>
      <c r="AO82" s="349"/>
      <c r="AP82" s="349"/>
      <c r="AQ82" s="349"/>
      <c r="AR82" s="349"/>
      <c r="AT82" s="524" t="s">
        <v>451</v>
      </c>
      <c r="AU82" s="329" t="s">
        <v>508</v>
      </c>
      <c r="AV82" s="484">
        <v>66825.88</v>
      </c>
      <c r="AW82" s="484">
        <v>57989.4</v>
      </c>
      <c r="AX82" s="484">
        <v>44182.400000000001</v>
      </c>
      <c r="AY82" s="484">
        <v>50257.48</v>
      </c>
      <c r="AZ82" s="484">
        <v>53018.879999999997</v>
      </c>
      <c r="BA82" s="484">
        <v>59646.240000000005</v>
      </c>
      <c r="BB82" s="349"/>
      <c r="BC82" s="349"/>
      <c r="BD82" s="349"/>
      <c r="BE82" s="349"/>
      <c r="BF82" s="349"/>
    </row>
    <row r="83" spans="4:58" outlineLevel="1">
      <c r="D83" s="525"/>
      <c r="E83" s="329" t="s">
        <v>509</v>
      </c>
      <c r="F83" s="484">
        <v>198.88</v>
      </c>
      <c r="G83" s="484">
        <v>280.24</v>
      </c>
      <c r="H83" s="484">
        <v>262.15999999999997</v>
      </c>
      <c r="I83" s="484">
        <v>237.3</v>
      </c>
      <c r="J83" s="484">
        <v>235.04000000000002</v>
      </c>
      <c r="K83" s="484">
        <v>264.41999999999996</v>
      </c>
      <c r="L83" s="349"/>
      <c r="M83" s="349"/>
      <c r="N83" s="349"/>
      <c r="O83" s="349"/>
      <c r="P83" s="349"/>
      <c r="R83" s="525"/>
      <c r="S83" s="329" t="s">
        <v>509</v>
      </c>
      <c r="T83" s="484">
        <v>216.72</v>
      </c>
      <c r="U83" s="484">
        <v>139.44</v>
      </c>
      <c r="V83" s="484">
        <v>137.76</v>
      </c>
      <c r="W83" s="484">
        <v>169.68</v>
      </c>
      <c r="X83" s="484">
        <v>171.36</v>
      </c>
      <c r="Y83" s="484">
        <v>211.68</v>
      </c>
      <c r="Z83" s="349"/>
      <c r="AA83" s="349"/>
      <c r="AB83" s="349"/>
      <c r="AC83" s="349"/>
      <c r="AD83" s="349"/>
      <c r="AF83" s="525"/>
      <c r="AG83" s="329" t="s">
        <v>509</v>
      </c>
      <c r="AH83" s="484">
        <v>61.44</v>
      </c>
      <c r="AI83" s="484">
        <v>47.36</v>
      </c>
      <c r="AJ83" s="484">
        <v>55.68</v>
      </c>
      <c r="AK83" s="484">
        <v>73.599999999999994</v>
      </c>
      <c r="AL83" s="484">
        <v>60.8</v>
      </c>
      <c r="AM83" s="484">
        <v>48.64</v>
      </c>
      <c r="AN83" s="349"/>
      <c r="AO83" s="349"/>
      <c r="AP83" s="349"/>
      <c r="AQ83" s="349"/>
      <c r="AR83" s="349"/>
      <c r="AT83" s="525"/>
      <c r="AU83" s="329" t="s">
        <v>509</v>
      </c>
      <c r="AV83" s="484">
        <v>33.58</v>
      </c>
      <c r="AW83" s="484">
        <v>51.06</v>
      </c>
      <c r="AX83" s="484">
        <v>43.699999999999996</v>
      </c>
      <c r="AY83" s="484">
        <v>36.800000000000004</v>
      </c>
      <c r="AZ83" s="484">
        <v>41.4</v>
      </c>
      <c r="BA83" s="484">
        <v>47.84</v>
      </c>
      <c r="BB83" s="349"/>
      <c r="BC83" s="349"/>
      <c r="BD83" s="349"/>
      <c r="BE83" s="349"/>
      <c r="BF83" s="349"/>
    </row>
    <row r="84" spans="4:58" outlineLevel="1">
      <c r="D84" s="524" t="s">
        <v>510</v>
      </c>
      <c r="E84" s="329" t="s">
        <v>508</v>
      </c>
      <c r="F84" s="484">
        <v>39664</v>
      </c>
      <c r="G84" s="484">
        <v>40457.279999999999</v>
      </c>
      <c r="H84" s="484">
        <v>44423.680000000008</v>
      </c>
      <c r="I84" s="484">
        <v>32921.119999999995</v>
      </c>
      <c r="J84" s="484">
        <v>33317.760000000002</v>
      </c>
      <c r="K84" s="484">
        <v>32921.119999999995</v>
      </c>
      <c r="L84" s="349"/>
      <c r="M84" s="349"/>
      <c r="N84" s="349"/>
      <c r="O84" s="349"/>
      <c r="P84" s="349"/>
      <c r="R84" s="524" t="s">
        <v>510</v>
      </c>
      <c r="S84" s="329" t="s">
        <v>508</v>
      </c>
      <c r="T84" s="484">
        <v>106649.60000000001</v>
      </c>
      <c r="U84" s="484">
        <v>79154</v>
      </c>
      <c r="V84" s="484">
        <v>85819.6</v>
      </c>
      <c r="W84" s="484">
        <v>80820.399999999994</v>
      </c>
      <c r="X84" s="484">
        <v>68322.399999999994</v>
      </c>
      <c r="Y84" s="484">
        <v>82486.8</v>
      </c>
      <c r="Z84" s="349"/>
      <c r="AA84" s="349"/>
      <c r="AB84" s="349"/>
      <c r="AC84" s="349"/>
      <c r="AD84" s="349"/>
      <c r="AF84" s="524" t="s">
        <v>510</v>
      </c>
      <c r="AG84" s="329" t="s">
        <v>508</v>
      </c>
      <c r="AH84" s="484">
        <v>198897.24</v>
      </c>
      <c r="AI84" s="484">
        <v>151913.63999999998</v>
      </c>
      <c r="AJ84" s="484">
        <v>126855.72</v>
      </c>
      <c r="AK84" s="484">
        <v>200463.36000000002</v>
      </c>
      <c r="AL84" s="484">
        <v>192632.76</v>
      </c>
      <c r="AM84" s="484">
        <v>191066.63999999998</v>
      </c>
      <c r="AN84" s="349"/>
      <c r="AO84" s="349"/>
      <c r="AP84" s="349"/>
      <c r="AQ84" s="349"/>
      <c r="AR84" s="349"/>
      <c r="AT84" s="524" t="s">
        <v>510</v>
      </c>
      <c r="AU84" s="329" t="s">
        <v>508</v>
      </c>
      <c r="AV84" s="484">
        <v>231957.6</v>
      </c>
      <c r="AW84" s="484">
        <v>181147.84</v>
      </c>
      <c r="AX84" s="484">
        <v>225330.24</v>
      </c>
      <c r="AY84" s="484">
        <v>214284.63999999998</v>
      </c>
      <c r="AZ84" s="484">
        <v>189984.32</v>
      </c>
      <c r="BA84" s="484">
        <v>271721.76</v>
      </c>
      <c r="BB84" s="349"/>
      <c r="BC84" s="349"/>
      <c r="BD84" s="349"/>
      <c r="BE84" s="349"/>
      <c r="BF84" s="349"/>
    </row>
    <row r="85" spans="4:58" outlineLevel="1">
      <c r="D85" s="525"/>
      <c r="E85" s="329" t="s">
        <v>509</v>
      </c>
      <c r="F85" s="484">
        <v>659.92</v>
      </c>
      <c r="G85" s="484">
        <v>931.12</v>
      </c>
      <c r="H85" s="484">
        <v>849.76</v>
      </c>
      <c r="I85" s="484">
        <v>1102.8799999999999</v>
      </c>
      <c r="J85" s="484">
        <v>723.2</v>
      </c>
      <c r="K85" s="484">
        <v>786.48</v>
      </c>
      <c r="L85" s="349"/>
      <c r="M85" s="349"/>
      <c r="N85" s="349"/>
      <c r="O85" s="349"/>
      <c r="P85" s="349"/>
      <c r="R85" s="525"/>
      <c r="S85" s="329" t="s">
        <v>509</v>
      </c>
      <c r="T85" s="484">
        <v>658.56</v>
      </c>
      <c r="U85" s="484">
        <v>745.92000000000007</v>
      </c>
      <c r="V85" s="484">
        <v>806.4</v>
      </c>
      <c r="W85" s="484">
        <v>564.48</v>
      </c>
      <c r="X85" s="484">
        <v>577.91999999999996</v>
      </c>
      <c r="Y85" s="484">
        <v>551.04</v>
      </c>
      <c r="Z85" s="349"/>
      <c r="AA85" s="349"/>
      <c r="AB85" s="349"/>
      <c r="AC85" s="349"/>
      <c r="AD85" s="349"/>
      <c r="AF85" s="525"/>
      <c r="AG85" s="329" t="s">
        <v>509</v>
      </c>
      <c r="AH85" s="484">
        <v>307.2</v>
      </c>
      <c r="AI85" s="484">
        <v>222.72</v>
      </c>
      <c r="AJ85" s="484">
        <v>276.48</v>
      </c>
      <c r="AK85" s="484">
        <v>322.56</v>
      </c>
      <c r="AL85" s="484">
        <v>238.08</v>
      </c>
      <c r="AM85" s="484">
        <v>291.83999999999997</v>
      </c>
      <c r="AN85" s="349"/>
      <c r="AO85" s="349"/>
      <c r="AP85" s="349"/>
      <c r="AQ85" s="349"/>
      <c r="AR85" s="349"/>
      <c r="AT85" s="525"/>
      <c r="AU85" s="329" t="s">
        <v>509</v>
      </c>
      <c r="AV85" s="484">
        <v>161.91999999999999</v>
      </c>
      <c r="AW85" s="484">
        <v>184</v>
      </c>
      <c r="AX85" s="484">
        <v>156.4</v>
      </c>
      <c r="AY85" s="484">
        <v>228.16</v>
      </c>
      <c r="AZ85" s="484">
        <v>215.27999999999997</v>
      </c>
      <c r="BA85" s="484">
        <v>163.76</v>
      </c>
      <c r="BB85" s="349"/>
      <c r="BC85" s="349"/>
      <c r="BD85" s="349"/>
      <c r="BE85" s="349"/>
      <c r="BF85" s="349"/>
    </row>
    <row r="86" spans="4:58" outlineLevel="1">
      <c r="D86" s="524" t="s">
        <v>27</v>
      </c>
      <c r="E86" s="329" t="s">
        <v>508</v>
      </c>
      <c r="F86" s="484">
        <v>156194.16</v>
      </c>
      <c r="G86" s="484">
        <v>181118.76</v>
      </c>
      <c r="H86" s="484">
        <v>171148.92</v>
      </c>
      <c r="I86" s="484">
        <v>126284.64</v>
      </c>
      <c r="J86" s="484">
        <v>192750.24</v>
      </c>
      <c r="K86" s="484">
        <v>137916.12</v>
      </c>
      <c r="L86" s="349"/>
      <c r="M86" s="349"/>
      <c r="N86" s="349"/>
      <c r="O86" s="349"/>
      <c r="P86" s="349"/>
      <c r="R86" s="524" t="s">
        <v>27</v>
      </c>
      <c r="S86" s="329" t="s">
        <v>508</v>
      </c>
      <c r="T86" s="484">
        <v>164502.35999999999</v>
      </c>
      <c r="U86" s="484">
        <v>201058.44</v>
      </c>
      <c r="V86" s="484">
        <v>134592.84</v>
      </c>
      <c r="W86" s="484">
        <v>181118.76</v>
      </c>
      <c r="X86" s="484">
        <v>122961.36</v>
      </c>
      <c r="Y86" s="484">
        <v>169487.28</v>
      </c>
      <c r="Z86" s="349"/>
      <c r="AA86" s="349"/>
      <c r="AB86" s="349"/>
      <c r="AC86" s="349"/>
      <c r="AD86" s="349"/>
      <c r="AF86" s="524" t="s">
        <v>27</v>
      </c>
      <c r="AG86" s="329" t="s">
        <v>508</v>
      </c>
      <c r="AH86" s="484">
        <v>116314.79999999999</v>
      </c>
      <c r="AI86" s="484">
        <v>186103.68000000002</v>
      </c>
      <c r="AJ86" s="484">
        <v>177795.48</v>
      </c>
      <c r="AK86" s="484">
        <v>216013.2</v>
      </c>
      <c r="AL86" s="484">
        <v>131269.56</v>
      </c>
      <c r="AM86" s="484">
        <v>177795.48</v>
      </c>
      <c r="AN86" s="349"/>
      <c r="AO86" s="349"/>
      <c r="AP86" s="349"/>
      <c r="AQ86" s="349"/>
      <c r="AR86" s="349"/>
      <c r="AT86" s="524" t="s">
        <v>27</v>
      </c>
      <c r="AU86" s="329" t="s">
        <v>508</v>
      </c>
      <c r="AV86" s="484">
        <v>201058.44</v>
      </c>
      <c r="AW86" s="484">
        <v>156194.16</v>
      </c>
      <c r="AX86" s="484">
        <v>212689.92000000001</v>
      </c>
      <c r="AY86" s="484">
        <v>131269.56</v>
      </c>
      <c r="AZ86" s="484">
        <v>117976.43999999999</v>
      </c>
      <c r="BA86" s="484">
        <v>202720.08</v>
      </c>
      <c r="BB86" s="349"/>
      <c r="BC86" s="349"/>
      <c r="BD86" s="349"/>
      <c r="BE86" s="349"/>
      <c r="BF86" s="349"/>
    </row>
    <row r="87" spans="4:58" outlineLevel="1">
      <c r="D87" s="525"/>
      <c r="E87" s="329" t="s">
        <v>509</v>
      </c>
      <c r="F87" s="484">
        <v>253.73009999999999</v>
      </c>
      <c r="G87" s="484">
        <v>200.62379999999999</v>
      </c>
      <c r="H87" s="484">
        <v>255.697</v>
      </c>
      <c r="I87" s="484">
        <v>147.51749999999998</v>
      </c>
      <c r="J87" s="484">
        <v>247.82939999999999</v>
      </c>
      <c r="K87" s="484">
        <v>243.8956</v>
      </c>
      <c r="L87" s="349"/>
      <c r="M87" s="349"/>
      <c r="N87" s="349"/>
      <c r="O87" s="349"/>
      <c r="P87" s="349"/>
      <c r="R87" s="525"/>
      <c r="S87" s="329" t="s">
        <v>509</v>
      </c>
      <c r="T87" s="484">
        <v>167.1865</v>
      </c>
      <c r="U87" s="484">
        <v>184.8886</v>
      </c>
      <c r="V87" s="484">
        <v>245.86250000000001</v>
      </c>
      <c r="W87" s="484">
        <v>163.2527</v>
      </c>
      <c r="X87" s="484">
        <v>155.38509999999999</v>
      </c>
      <c r="Y87" s="484">
        <v>165.21959999999999</v>
      </c>
      <c r="Z87" s="349"/>
      <c r="AA87" s="349"/>
      <c r="AB87" s="349"/>
      <c r="AC87" s="349"/>
      <c r="AD87" s="349"/>
      <c r="AF87" s="525"/>
      <c r="AG87" s="329" t="s">
        <v>509</v>
      </c>
      <c r="AH87" s="484">
        <v>184.8886</v>
      </c>
      <c r="AI87" s="484">
        <v>157.352</v>
      </c>
      <c r="AJ87" s="484">
        <v>214.3921</v>
      </c>
      <c r="AK87" s="484">
        <v>167.1865</v>
      </c>
      <c r="AL87" s="484">
        <v>190.7893</v>
      </c>
      <c r="AM87" s="484">
        <v>178.9879</v>
      </c>
      <c r="AN87" s="349"/>
      <c r="AO87" s="349"/>
      <c r="AP87" s="349"/>
      <c r="AQ87" s="349"/>
      <c r="AR87" s="349"/>
      <c r="AT87" s="525"/>
      <c r="AU87" s="329" t="s">
        <v>509</v>
      </c>
      <c r="AV87" s="484">
        <v>243.8956</v>
      </c>
      <c r="AW87" s="484">
        <v>214.3921</v>
      </c>
      <c r="AX87" s="484">
        <v>247.82939999999999</v>
      </c>
      <c r="AY87" s="484">
        <v>243.8956</v>
      </c>
      <c r="AZ87" s="484">
        <v>255.697</v>
      </c>
      <c r="BA87" s="484">
        <v>236.02799999999999</v>
      </c>
      <c r="BB87" s="349"/>
      <c r="BC87" s="349"/>
      <c r="BD87" s="349"/>
      <c r="BE87" s="349"/>
      <c r="BF87" s="349"/>
    </row>
    <row r="88" spans="4:58" outlineLevel="1">
      <c r="D88" s="524" t="s">
        <v>28</v>
      </c>
      <c r="E88" s="329" t="s">
        <v>508</v>
      </c>
      <c r="F88" s="484">
        <v>343033.44</v>
      </c>
      <c r="G88" s="484">
        <v>355857.12000000005</v>
      </c>
      <c r="H88" s="484">
        <v>282120.96000000002</v>
      </c>
      <c r="I88" s="484">
        <v>275709.12</v>
      </c>
      <c r="J88" s="484">
        <v>327003.84000000003</v>
      </c>
      <c r="K88" s="484">
        <v>336621.60000000003</v>
      </c>
      <c r="L88" s="349"/>
      <c r="M88" s="349"/>
      <c r="N88" s="349"/>
      <c r="O88" s="349"/>
      <c r="P88" s="349"/>
      <c r="R88" s="524" t="s">
        <v>28</v>
      </c>
      <c r="S88" s="329" t="s">
        <v>508</v>
      </c>
      <c r="T88" s="484">
        <v>285326.88</v>
      </c>
      <c r="U88" s="484">
        <v>298150.56</v>
      </c>
      <c r="V88" s="484">
        <v>282120.96000000002</v>
      </c>
      <c r="W88" s="484">
        <v>397534.08</v>
      </c>
      <c r="X88" s="484">
        <v>237238.08</v>
      </c>
      <c r="Y88" s="484">
        <v>304562.39999999997</v>
      </c>
      <c r="Z88" s="349"/>
      <c r="AA88" s="349"/>
      <c r="AB88" s="349"/>
      <c r="AC88" s="349"/>
      <c r="AD88" s="349"/>
      <c r="AF88" s="524" t="s">
        <v>28</v>
      </c>
      <c r="AG88" s="329" t="s">
        <v>508</v>
      </c>
      <c r="AH88" s="484">
        <v>381504.48</v>
      </c>
      <c r="AI88" s="484">
        <v>275709.12</v>
      </c>
      <c r="AJ88" s="484">
        <v>336621.60000000003</v>
      </c>
      <c r="AK88" s="484">
        <v>416769.60000000003</v>
      </c>
      <c r="AL88" s="484">
        <v>384710.39999999997</v>
      </c>
      <c r="AM88" s="484">
        <v>310974.24</v>
      </c>
      <c r="AN88" s="349"/>
      <c r="AO88" s="349"/>
      <c r="AP88" s="349"/>
      <c r="AQ88" s="349"/>
      <c r="AR88" s="349"/>
      <c r="AT88" s="524" t="s">
        <v>28</v>
      </c>
      <c r="AU88" s="329" t="s">
        <v>508</v>
      </c>
      <c r="AV88" s="484">
        <v>397534.08</v>
      </c>
      <c r="AW88" s="484">
        <v>250061.76</v>
      </c>
      <c r="AX88" s="484">
        <v>230826.23999999999</v>
      </c>
      <c r="AY88" s="484">
        <v>359063.04000000004</v>
      </c>
      <c r="AZ88" s="484">
        <v>230826.23999999999</v>
      </c>
      <c r="BA88" s="484">
        <v>323797.92</v>
      </c>
      <c r="BB88" s="349"/>
      <c r="BC88" s="349"/>
      <c r="BD88" s="349"/>
      <c r="BE88" s="349"/>
      <c r="BF88" s="349"/>
    </row>
    <row r="89" spans="4:58" outlineLevel="1">
      <c r="D89" s="525"/>
      <c r="E89" s="329" t="s">
        <v>509</v>
      </c>
      <c r="F89" s="484">
        <v>462.9778</v>
      </c>
      <c r="G89" s="484">
        <v>307.38690000000003</v>
      </c>
      <c r="H89" s="484">
        <v>478.1574</v>
      </c>
      <c r="I89" s="484">
        <v>345.33590000000004</v>
      </c>
      <c r="J89" s="484">
        <v>322.56650000000002</v>
      </c>
      <c r="K89" s="484">
        <v>352.92570000000001</v>
      </c>
      <c r="L89" s="349"/>
      <c r="M89" s="349"/>
      <c r="N89" s="349"/>
      <c r="O89" s="349"/>
      <c r="P89" s="349"/>
      <c r="R89" s="525"/>
      <c r="S89" s="329" t="s">
        <v>509</v>
      </c>
      <c r="T89" s="484">
        <v>428.82369999999997</v>
      </c>
      <c r="U89" s="484">
        <v>478.1574</v>
      </c>
      <c r="V89" s="484">
        <v>371.90019999999998</v>
      </c>
      <c r="W89" s="484">
        <v>307.38690000000003</v>
      </c>
      <c r="X89" s="484">
        <v>371.90019999999998</v>
      </c>
      <c r="Y89" s="484">
        <v>330.15629999999999</v>
      </c>
      <c r="Z89" s="349"/>
      <c r="AA89" s="349"/>
      <c r="AB89" s="349"/>
      <c r="AC89" s="349"/>
      <c r="AD89" s="349"/>
      <c r="AF89" s="525"/>
      <c r="AG89" s="329" t="s">
        <v>509</v>
      </c>
      <c r="AH89" s="484">
        <v>292.20730000000003</v>
      </c>
      <c r="AI89" s="484">
        <v>352.92570000000001</v>
      </c>
      <c r="AJ89" s="484">
        <v>292.20730000000003</v>
      </c>
      <c r="AK89" s="484">
        <v>326.3614</v>
      </c>
      <c r="AL89" s="484">
        <v>337.74610000000001</v>
      </c>
      <c r="AM89" s="484">
        <v>288.41239999999999</v>
      </c>
      <c r="AN89" s="349"/>
      <c r="AO89" s="349"/>
      <c r="AP89" s="349"/>
      <c r="AQ89" s="349"/>
      <c r="AR89" s="349"/>
      <c r="AT89" s="525"/>
      <c r="AU89" s="329" t="s">
        <v>509</v>
      </c>
      <c r="AV89" s="484">
        <v>474.36250000000001</v>
      </c>
      <c r="AW89" s="484">
        <v>440.20839999999998</v>
      </c>
      <c r="AX89" s="484">
        <v>447.79820000000001</v>
      </c>
      <c r="AY89" s="484">
        <v>425.02880000000005</v>
      </c>
      <c r="AZ89" s="484">
        <v>330.15629999999999</v>
      </c>
      <c r="BA89" s="484">
        <v>402.25940000000003</v>
      </c>
      <c r="BB89" s="349"/>
      <c r="BC89" s="349"/>
      <c r="BD89" s="349"/>
      <c r="BE89" s="349"/>
      <c r="BF89" s="349"/>
    </row>
    <row r="90" spans="4:58" outlineLevel="1">
      <c r="D90" s="526" t="s">
        <v>453</v>
      </c>
      <c r="E90" s="329" t="s">
        <v>508</v>
      </c>
      <c r="F90" s="484">
        <v>622076.4</v>
      </c>
      <c r="G90" s="484">
        <v>584374.80000000005</v>
      </c>
      <c r="H90" s="484">
        <v>710046.79999999993</v>
      </c>
      <c r="I90" s="484">
        <v>653494.4</v>
      </c>
      <c r="J90" s="484">
        <v>609509.19999999995</v>
      </c>
      <c r="K90" s="484">
        <v>703763.20000000007</v>
      </c>
      <c r="L90" s="349"/>
      <c r="M90" s="349"/>
      <c r="N90" s="349"/>
      <c r="O90" s="349"/>
      <c r="P90" s="349"/>
      <c r="R90" s="526" t="s">
        <v>453</v>
      </c>
      <c r="S90" s="329" t="s">
        <v>508</v>
      </c>
      <c r="T90" s="484">
        <v>735181.2</v>
      </c>
      <c r="U90" s="484">
        <v>628360</v>
      </c>
      <c r="V90" s="484">
        <v>527822.4</v>
      </c>
      <c r="W90" s="484">
        <v>446135.6</v>
      </c>
      <c r="X90" s="484">
        <v>483837.2</v>
      </c>
      <c r="Y90" s="484">
        <v>785450</v>
      </c>
      <c r="Z90" s="349"/>
      <c r="AA90" s="349"/>
      <c r="AB90" s="349"/>
      <c r="AC90" s="349"/>
      <c r="AD90" s="349"/>
      <c r="AF90" s="526" t="s">
        <v>453</v>
      </c>
      <c r="AG90" s="329" t="s">
        <v>508</v>
      </c>
      <c r="AH90" s="484">
        <v>716330.39999999991</v>
      </c>
      <c r="AI90" s="484">
        <v>804300.80000000005</v>
      </c>
      <c r="AJ90" s="484">
        <v>672345.20000000007</v>
      </c>
      <c r="AK90" s="484">
        <v>446135.6</v>
      </c>
      <c r="AL90" s="484">
        <v>521538.8</v>
      </c>
      <c r="AM90" s="484">
        <v>785450</v>
      </c>
      <c r="AN90" s="349"/>
      <c r="AO90" s="349"/>
      <c r="AP90" s="349"/>
      <c r="AQ90" s="349"/>
      <c r="AR90" s="349"/>
      <c r="AT90" s="526" t="s">
        <v>453</v>
      </c>
      <c r="AU90" s="329" t="s">
        <v>508</v>
      </c>
      <c r="AV90" s="484">
        <v>596942</v>
      </c>
      <c r="AW90" s="484">
        <v>534106</v>
      </c>
      <c r="AX90" s="484">
        <v>766599.2</v>
      </c>
      <c r="AY90" s="484">
        <v>458702.8</v>
      </c>
      <c r="AZ90" s="484">
        <v>490120.8</v>
      </c>
      <c r="BA90" s="484">
        <v>534106</v>
      </c>
      <c r="BB90" s="349"/>
      <c r="BC90" s="349"/>
      <c r="BD90" s="349"/>
      <c r="BE90" s="349"/>
      <c r="BF90" s="349"/>
    </row>
    <row r="91" spans="4:58" outlineLevel="1">
      <c r="D91" s="527"/>
      <c r="E91" s="329" t="s">
        <v>509</v>
      </c>
      <c r="F91" s="484">
        <v>788.428</v>
      </c>
      <c r="G91" s="484">
        <v>647.10599999999999</v>
      </c>
      <c r="H91" s="484">
        <v>833.05600000000004</v>
      </c>
      <c r="I91" s="484">
        <v>587.60199999999998</v>
      </c>
      <c r="J91" s="484">
        <v>572.726</v>
      </c>
      <c r="K91" s="484">
        <v>669.42</v>
      </c>
      <c r="L91" s="349"/>
      <c r="M91" s="349"/>
      <c r="N91" s="349"/>
      <c r="O91" s="349"/>
      <c r="P91" s="349"/>
      <c r="R91" s="527"/>
      <c r="S91" s="329" t="s">
        <v>509</v>
      </c>
      <c r="T91" s="484">
        <v>550.41199999999992</v>
      </c>
      <c r="U91" s="484">
        <v>877.68399999999986</v>
      </c>
      <c r="V91" s="484">
        <v>520.66</v>
      </c>
      <c r="W91" s="484">
        <v>803.30399999999997</v>
      </c>
      <c r="X91" s="484">
        <v>528.09799999999996</v>
      </c>
      <c r="Y91" s="484">
        <v>825.61800000000005</v>
      </c>
      <c r="Z91" s="349"/>
      <c r="AA91" s="349"/>
      <c r="AB91" s="349"/>
      <c r="AC91" s="349"/>
      <c r="AD91" s="349"/>
      <c r="AF91" s="527"/>
      <c r="AG91" s="329" t="s">
        <v>509</v>
      </c>
      <c r="AH91" s="484">
        <v>862.80799999999988</v>
      </c>
      <c r="AI91" s="484">
        <v>535.53599999999994</v>
      </c>
      <c r="AJ91" s="484">
        <v>892.56</v>
      </c>
      <c r="AK91" s="484">
        <v>751.23799999999994</v>
      </c>
      <c r="AL91" s="484">
        <v>788.428</v>
      </c>
      <c r="AM91" s="484">
        <v>557.84999999999991</v>
      </c>
      <c r="AN91" s="349"/>
      <c r="AO91" s="349"/>
      <c r="AP91" s="349"/>
      <c r="AQ91" s="349"/>
      <c r="AR91" s="349"/>
      <c r="AT91" s="527"/>
      <c r="AU91" s="329" t="s">
        <v>509</v>
      </c>
      <c r="AV91" s="484">
        <v>587.60199999999998</v>
      </c>
      <c r="AW91" s="484">
        <v>580.16399999999999</v>
      </c>
      <c r="AX91" s="484">
        <v>676.85799999999995</v>
      </c>
      <c r="AY91" s="484">
        <v>654.54399999999998</v>
      </c>
      <c r="AZ91" s="484">
        <v>684.29599999999994</v>
      </c>
      <c r="BA91" s="484">
        <v>565.28800000000001</v>
      </c>
      <c r="BB91" s="349"/>
      <c r="BC91" s="349"/>
      <c r="BD91" s="349"/>
      <c r="BE91" s="349"/>
      <c r="BF91" s="349"/>
    </row>
    <row r="92" spans="4:58" outlineLevel="1">
      <c r="D92" s="526" t="s">
        <v>454</v>
      </c>
      <c r="E92" s="329" t="s">
        <v>508</v>
      </c>
      <c r="F92" s="484">
        <v>1775116.9999999998</v>
      </c>
      <c r="G92" s="484">
        <v>1241011</v>
      </c>
      <c r="H92" s="484">
        <v>1523773</v>
      </c>
      <c r="I92" s="484">
        <v>2026461</v>
      </c>
      <c r="J92" s="484">
        <v>1146757</v>
      </c>
      <c r="K92" s="484">
        <v>1193884</v>
      </c>
      <c r="L92" s="349"/>
      <c r="M92" s="349"/>
      <c r="N92" s="349"/>
      <c r="O92" s="349"/>
      <c r="P92" s="349"/>
      <c r="R92" s="526" t="s">
        <v>454</v>
      </c>
      <c r="S92" s="329" t="s">
        <v>508</v>
      </c>
      <c r="T92" s="484">
        <v>2026461</v>
      </c>
      <c r="U92" s="484">
        <v>1696572</v>
      </c>
      <c r="V92" s="484">
        <v>1256720</v>
      </c>
      <c r="W92" s="484">
        <v>1727990.0000000002</v>
      </c>
      <c r="X92" s="484">
        <v>2042170</v>
      </c>
      <c r="Y92" s="484">
        <v>1712281.0000000002</v>
      </c>
      <c r="Z92" s="349"/>
      <c r="AA92" s="349"/>
      <c r="AB92" s="349"/>
      <c r="AC92" s="349"/>
      <c r="AD92" s="349"/>
      <c r="AF92" s="526" t="s">
        <v>454</v>
      </c>
      <c r="AG92" s="329" t="s">
        <v>508</v>
      </c>
      <c r="AH92" s="484">
        <v>1602318</v>
      </c>
      <c r="AI92" s="484">
        <v>1272429</v>
      </c>
      <c r="AJ92" s="484">
        <v>1618027</v>
      </c>
      <c r="AK92" s="484">
        <v>1241011</v>
      </c>
      <c r="AL92" s="484">
        <v>1696572</v>
      </c>
      <c r="AM92" s="484">
        <v>1115339</v>
      </c>
      <c r="AN92" s="349"/>
      <c r="AO92" s="349"/>
      <c r="AP92" s="349"/>
      <c r="AQ92" s="349"/>
      <c r="AR92" s="349"/>
      <c r="AT92" s="526" t="s">
        <v>454</v>
      </c>
      <c r="AU92" s="329" t="s">
        <v>508</v>
      </c>
      <c r="AV92" s="484">
        <v>1586609</v>
      </c>
      <c r="AW92" s="484">
        <v>1555191</v>
      </c>
      <c r="AX92" s="484">
        <v>1225302</v>
      </c>
      <c r="AY92" s="484">
        <v>1146757</v>
      </c>
      <c r="AZ92" s="484">
        <v>1225302</v>
      </c>
      <c r="BA92" s="484">
        <v>1932207</v>
      </c>
      <c r="BB92" s="349"/>
      <c r="BC92" s="349"/>
      <c r="BD92" s="349"/>
      <c r="BE92" s="349"/>
      <c r="BF92" s="349"/>
    </row>
    <row r="93" spans="4:58" outlineLevel="1">
      <c r="D93" s="527"/>
      <c r="E93" s="329" t="s">
        <v>509</v>
      </c>
      <c r="F93" s="484">
        <v>1543.385</v>
      </c>
      <c r="G93" s="484">
        <v>1766.5249999999999</v>
      </c>
      <c r="H93" s="484">
        <v>1450.41</v>
      </c>
      <c r="I93" s="484">
        <v>2064.0450000000001</v>
      </c>
      <c r="J93" s="484">
        <v>2064.0450000000001</v>
      </c>
      <c r="K93" s="484">
        <v>1376.03</v>
      </c>
      <c r="L93" s="349"/>
      <c r="M93" s="349"/>
      <c r="N93" s="349"/>
      <c r="O93" s="349"/>
      <c r="P93" s="349"/>
      <c r="R93" s="527"/>
      <c r="S93" s="329" t="s">
        <v>509</v>
      </c>
      <c r="T93" s="484">
        <v>1766.5249999999999</v>
      </c>
      <c r="U93" s="484">
        <v>1952.4750000000001</v>
      </c>
      <c r="V93" s="484">
        <v>1450.41</v>
      </c>
      <c r="W93" s="484">
        <v>1320.2449999999999</v>
      </c>
      <c r="X93" s="484">
        <v>1357.4349999999999</v>
      </c>
      <c r="Y93" s="484">
        <v>2101.2349999999997</v>
      </c>
      <c r="Z93" s="349"/>
      <c r="AA93" s="349"/>
      <c r="AB93" s="349"/>
      <c r="AC93" s="349"/>
      <c r="AD93" s="349"/>
      <c r="AF93" s="527"/>
      <c r="AG93" s="329" t="s">
        <v>509</v>
      </c>
      <c r="AH93" s="484">
        <v>1785.12</v>
      </c>
      <c r="AI93" s="484">
        <v>1431.8150000000001</v>
      </c>
      <c r="AJ93" s="484">
        <v>1896.69</v>
      </c>
      <c r="AK93" s="484">
        <v>1561.98</v>
      </c>
      <c r="AL93" s="484">
        <v>2008.2600000000002</v>
      </c>
      <c r="AM93" s="484">
        <v>2268.59</v>
      </c>
      <c r="AN93" s="349"/>
      <c r="AO93" s="349"/>
      <c r="AP93" s="349"/>
      <c r="AQ93" s="349"/>
      <c r="AR93" s="349"/>
      <c r="AT93" s="527"/>
      <c r="AU93" s="329" t="s">
        <v>509</v>
      </c>
      <c r="AV93" s="484">
        <v>1580.575</v>
      </c>
      <c r="AW93" s="484">
        <v>1338.84</v>
      </c>
      <c r="AX93" s="484">
        <v>1320.2449999999999</v>
      </c>
      <c r="AY93" s="484">
        <v>2268.59</v>
      </c>
      <c r="AZ93" s="484">
        <v>2287.1849999999999</v>
      </c>
      <c r="BA93" s="484">
        <v>1506.1950000000002</v>
      </c>
      <c r="BB93" s="349"/>
      <c r="BC93" s="349"/>
      <c r="BD93" s="349"/>
      <c r="BE93" s="349"/>
      <c r="BF93" s="349"/>
    </row>
    <row r="94" spans="4:58" outlineLevel="1">
      <c r="D94" s="526" t="s">
        <v>455</v>
      </c>
      <c r="E94" s="329" t="s">
        <v>508</v>
      </c>
      <c r="F94" s="484">
        <v>4433079.8</v>
      </c>
      <c r="G94" s="484">
        <v>4326258.6000000006</v>
      </c>
      <c r="H94" s="484">
        <v>4112616.2</v>
      </c>
      <c r="I94" s="484">
        <v>6142218.9999999991</v>
      </c>
      <c r="J94" s="484">
        <v>3738741.9999999995</v>
      </c>
      <c r="K94" s="484">
        <v>4646722.2</v>
      </c>
      <c r="L94" s="349"/>
      <c r="M94" s="349"/>
      <c r="N94" s="349"/>
      <c r="O94" s="349"/>
      <c r="P94" s="349"/>
      <c r="R94" s="526" t="s">
        <v>455</v>
      </c>
      <c r="S94" s="329" t="s">
        <v>508</v>
      </c>
      <c r="T94" s="484">
        <v>4166026.8000000003</v>
      </c>
      <c r="U94" s="484">
        <v>4967185.8</v>
      </c>
      <c r="V94" s="484">
        <v>5928576.6000000006</v>
      </c>
      <c r="W94" s="484">
        <v>6889967.4000000004</v>
      </c>
      <c r="X94" s="484">
        <v>5501291.7999999998</v>
      </c>
      <c r="Y94" s="484">
        <v>4005795</v>
      </c>
      <c r="Z94" s="349"/>
      <c r="AA94" s="349"/>
      <c r="AB94" s="349"/>
      <c r="AC94" s="349"/>
      <c r="AD94" s="349"/>
      <c r="AF94" s="526" t="s">
        <v>455</v>
      </c>
      <c r="AG94" s="329" t="s">
        <v>508</v>
      </c>
      <c r="AH94" s="484">
        <v>3845563.1999999997</v>
      </c>
      <c r="AI94" s="484">
        <v>6088808.3999999994</v>
      </c>
      <c r="AJ94" s="484">
        <v>6783146.2000000002</v>
      </c>
      <c r="AK94" s="484">
        <v>4272848</v>
      </c>
      <c r="AL94" s="484">
        <v>5234238.8</v>
      </c>
      <c r="AM94" s="484">
        <v>4593311.5999999996</v>
      </c>
      <c r="AN94" s="349"/>
      <c r="AO94" s="349"/>
      <c r="AP94" s="349"/>
      <c r="AQ94" s="349"/>
      <c r="AR94" s="349"/>
      <c r="AT94" s="526" t="s">
        <v>455</v>
      </c>
      <c r="AU94" s="329" t="s">
        <v>508</v>
      </c>
      <c r="AV94" s="484">
        <v>4913775.2</v>
      </c>
      <c r="AW94" s="484">
        <v>5608113</v>
      </c>
      <c r="AX94" s="484">
        <v>6249040.1999999993</v>
      </c>
      <c r="AY94" s="484">
        <v>4059205.6</v>
      </c>
      <c r="AZ94" s="484">
        <v>6516093.2000000002</v>
      </c>
      <c r="BA94" s="484">
        <v>5608113</v>
      </c>
      <c r="BB94" s="349"/>
      <c r="BC94" s="349"/>
      <c r="BD94" s="349"/>
      <c r="BE94" s="349"/>
      <c r="BF94" s="349"/>
    </row>
    <row r="95" spans="4:58" outlineLevel="1">
      <c r="D95" s="527"/>
      <c r="E95" s="329" t="s">
        <v>509</v>
      </c>
      <c r="F95" s="484">
        <v>6132.34</v>
      </c>
      <c r="G95" s="484">
        <v>5310.48</v>
      </c>
      <c r="H95" s="484">
        <v>7080.64</v>
      </c>
      <c r="I95" s="484">
        <v>4994.38</v>
      </c>
      <c r="J95" s="484">
        <v>4994.38</v>
      </c>
      <c r="K95" s="484">
        <v>8218.6</v>
      </c>
      <c r="L95" s="349"/>
      <c r="M95" s="349"/>
      <c r="N95" s="349"/>
      <c r="O95" s="349"/>
      <c r="P95" s="349"/>
      <c r="R95" s="527"/>
      <c r="S95" s="329" t="s">
        <v>509</v>
      </c>
      <c r="T95" s="484">
        <v>5057.6000000000004</v>
      </c>
      <c r="U95" s="484">
        <v>4488.62</v>
      </c>
      <c r="V95" s="484">
        <v>4488.62</v>
      </c>
      <c r="W95" s="484">
        <v>4804.72</v>
      </c>
      <c r="X95" s="484">
        <v>6385.22</v>
      </c>
      <c r="Y95" s="484">
        <v>4551.84</v>
      </c>
      <c r="Z95" s="349"/>
      <c r="AA95" s="349"/>
      <c r="AB95" s="349"/>
      <c r="AC95" s="349"/>
      <c r="AD95" s="349"/>
      <c r="AF95" s="527"/>
      <c r="AG95" s="329" t="s">
        <v>509</v>
      </c>
      <c r="AH95" s="484">
        <v>7017.420000000001</v>
      </c>
      <c r="AI95" s="484">
        <v>5184.04</v>
      </c>
      <c r="AJ95" s="484">
        <v>5753.02</v>
      </c>
      <c r="AK95" s="484">
        <v>6764.54</v>
      </c>
      <c r="AL95" s="484">
        <v>6448.4400000000005</v>
      </c>
      <c r="AM95" s="484">
        <v>7396.74</v>
      </c>
      <c r="AN95" s="349"/>
      <c r="AO95" s="349"/>
      <c r="AP95" s="349"/>
      <c r="AQ95" s="349"/>
      <c r="AR95" s="349"/>
      <c r="AT95" s="527"/>
      <c r="AU95" s="329" t="s">
        <v>509</v>
      </c>
      <c r="AV95" s="484">
        <v>5310.48</v>
      </c>
      <c r="AW95" s="484">
        <v>7143.86</v>
      </c>
      <c r="AX95" s="484">
        <v>8155.38</v>
      </c>
      <c r="AY95" s="484">
        <v>8092.16</v>
      </c>
      <c r="AZ95" s="484">
        <v>6701.3200000000006</v>
      </c>
      <c r="BA95" s="484">
        <v>8092.16</v>
      </c>
      <c r="BB95" s="349"/>
      <c r="BC95" s="349"/>
      <c r="BD95" s="349"/>
      <c r="BE95" s="349"/>
      <c r="BF95" s="349"/>
    </row>
    <row r="96" spans="4:58" outlineLevel="1">
      <c r="D96" s="526" t="s">
        <v>456</v>
      </c>
      <c r="E96" s="329" t="s">
        <v>508</v>
      </c>
      <c r="F96" s="484">
        <v>16023180</v>
      </c>
      <c r="G96" s="484">
        <v>21150597.600000001</v>
      </c>
      <c r="H96" s="484">
        <v>21791524.800000001</v>
      </c>
      <c r="I96" s="484">
        <v>16877749.600000001</v>
      </c>
      <c r="J96" s="484">
        <v>23500664.000000004</v>
      </c>
      <c r="K96" s="484">
        <v>17305034.400000002</v>
      </c>
      <c r="L96" s="349"/>
      <c r="M96" s="349"/>
      <c r="N96" s="349"/>
      <c r="O96" s="349"/>
      <c r="P96" s="349"/>
      <c r="R96" s="526" t="s">
        <v>456</v>
      </c>
      <c r="S96" s="329" t="s">
        <v>508</v>
      </c>
      <c r="T96" s="484">
        <v>19868743.199999999</v>
      </c>
      <c r="U96" s="484">
        <v>18586888.800000001</v>
      </c>
      <c r="V96" s="484">
        <v>18373246.399999999</v>
      </c>
      <c r="W96" s="484">
        <v>21577882.399999999</v>
      </c>
      <c r="X96" s="484">
        <v>22432452</v>
      </c>
      <c r="Y96" s="484">
        <v>21364240</v>
      </c>
      <c r="Z96" s="349"/>
      <c r="AA96" s="349"/>
      <c r="AB96" s="349"/>
      <c r="AC96" s="349"/>
      <c r="AD96" s="349"/>
      <c r="AF96" s="526" t="s">
        <v>456</v>
      </c>
      <c r="AG96" s="329" t="s">
        <v>508</v>
      </c>
      <c r="AH96" s="484">
        <v>16450464.800000001</v>
      </c>
      <c r="AI96" s="484">
        <v>21150597.600000001</v>
      </c>
      <c r="AJ96" s="484">
        <v>24355233.599999998</v>
      </c>
      <c r="AK96" s="484">
        <v>22859736.800000001</v>
      </c>
      <c r="AL96" s="484">
        <v>15168610.399999999</v>
      </c>
      <c r="AM96" s="484">
        <v>27346227.199999999</v>
      </c>
      <c r="AN96" s="349"/>
      <c r="AO96" s="349"/>
      <c r="AP96" s="349"/>
      <c r="AQ96" s="349"/>
      <c r="AR96" s="349"/>
      <c r="AT96" s="526" t="s">
        <v>456</v>
      </c>
      <c r="AU96" s="329" t="s">
        <v>508</v>
      </c>
      <c r="AV96" s="484">
        <v>19655100.800000001</v>
      </c>
      <c r="AW96" s="484">
        <v>26064372.800000001</v>
      </c>
      <c r="AX96" s="484">
        <v>15382252.799999999</v>
      </c>
      <c r="AY96" s="484">
        <v>19014173.600000001</v>
      </c>
      <c r="AZ96" s="484">
        <v>17945961.599999998</v>
      </c>
      <c r="BA96" s="484">
        <v>20082385.599999998</v>
      </c>
      <c r="BB96" s="349"/>
      <c r="BC96" s="349"/>
      <c r="BD96" s="349"/>
      <c r="BE96" s="349"/>
      <c r="BF96" s="349"/>
    </row>
    <row r="97" spans="4:58" outlineLevel="1">
      <c r="D97" s="527"/>
      <c r="E97" s="329" t="s">
        <v>509</v>
      </c>
      <c r="F97" s="484">
        <v>19471.760000000002</v>
      </c>
      <c r="G97" s="484">
        <v>22506.32</v>
      </c>
      <c r="H97" s="484">
        <v>31862.880000000001</v>
      </c>
      <c r="I97" s="484">
        <v>29586.959999999999</v>
      </c>
      <c r="J97" s="484">
        <v>28575.439999999999</v>
      </c>
      <c r="K97" s="484">
        <v>19977.52</v>
      </c>
      <c r="L97" s="349"/>
      <c r="M97" s="349"/>
      <c r="N97" s="349"/>
      <c r="O97" s="349"/>
      <c r="P97" s="349"/>
      <c r="R97" s="527"/>
      <c r="S97" s="329" t="s">
        <v>509</v>
      </c>
      <c r="T97" s="484">
        <v>27311.040000000001</v>
      </c>
      <c r="U97" s="484">
        <v>31862.880000000001</v>
      </c>
      <c r="V97" s="484">
        <v>32874.400000000001</v>
      </c>
      <c r="W97" s="484">
        <v>22506.32</v>
      </c>
      <c r="X97" s="484">
        <v>18460.239999999998</v>
      </c>
      <c r="Y97" s="484">
        <v>22000.560000000001</v>
      </c>
      <c r="Z97" s="349"/>
      <c r="AA97" s="349"/>
      <c r="AB97" s="349"/>
      <c r="AC97" s="349"/>
      <c r="AD97" s="349"/>
      <c r="AF97" s="527"/>
      <c r="AG97" s="329" t="s">
        <v>509</v>
      </c>
      <c r="AH97" s="484">
        <v>25035.119999999999</v>
      </c>
      <c r="AI97" s="484">
        <v>26046.639999999999</v>
      </c>
      <c r="AJ97" s="484">
        <v>30345.599999999999</v>
      </c>
      <c r="AK97" s="484">
        <v>27563.920000000002</v>
      </c>
      <c r="AL97" s="484">
        <v>20736.16</v>
      </c>
      <c r="AM97" s="484">
        <v>19471.760000000002</v>
      </c>
      <c r="AN97" s="349"/>
      <c r="AO97" s="349"/>
      <c r="AP97" s="349"/>
      <c r="AQ97" s="349"/>
      <c r="AR97" s="349"/>
      <c r="AT97" s="527"/>
      <c r="AU97" s="329" t="s">
        <v>509</v>
      </c>
      <c r="AV97" s="484">
        <v>18207.36</v>
      </c>
      <c r="AW97" s="484">
        <v>26552.400000000001</v>
      </c>
      <c r="AX97" s="484">
        <v>19724.64</v>
      </c>
      <c r="AY97" s="484">
        <v>25540.880000000001</v>
      </c>
      <c r="AZ97" s="484">
        <v>29334.079999999998</v>
      </c>
      <c r="BA97" s="484">
        <v>22000.560000000001</v>
      </c>
      <c r="BB97" s="349"/>
      <c r="BC97" s="349"/>
      <c r="BD97" s="349"/>
      <c r="BE97" s="349"/>
      <c r="BF97" s="349"/>
    </row>
    <row r="98" spans="4:58" ht="24" outlineLevel="1">
      <c r="D98" s="520" t="s">
        <v>457</v>
      </c>
      <c r="E98" s="329" t="s">
        <v>508</v>
      </c>
      <c r="F98" s="484" t="s">
        <v>627</v>
      </c>
      <c r="G98" s="484" t="s">
        <v>627</v>
      </c>
      <c r="H98" s="484" t="s">
        <v>627</v>
      </c>
      <c r="I98" s="484" t="s">
        <v>627</v>
      </c>
      <c r="J98" s="484" t="s">
        <v>627</v>
      </c>
      <c r="K98" s="484" t="s">
        <v>627</v>
      </c>
      <c r="L98" s="349"/>
      <c r="M98" s="349"/>
      <c r="N98" s="349"/>
      <c r="O98" s="349"/>
      <c r="P98" s="349"/>
      <c r="R98" s="520" t="s">
        <v>457</v>
      </c>
      <c r="S98" s="329" t="s">
        <v>508</v>
      </c>
      <c r="T98" s="484" t="s">
        <v>627</v>
      </c>
      <c r="U98" s="484" t="s">
        <v>627</v>
      </c>
      <c r="V98" s="484" t="s">
        <v>627</v>
      </c>
      <c r="W98" s="484" t="s">
        <v>627</v>
      </c>
      <c r="X98" s="484" t="s">
        <v>627</v>
      </c>
      <c r="Y98" s="484" t="s">
        <v>627</v>
      </c>
      <c r="Z98" s="349"/>
      <c r="AA98" s="349"/>
      <c r="AB98" s="349"/>
      <c r="AC98" s="349"/>
      <c r="AD98" s="349"/>
      <c r="AF98" s="520" t="s">
        <v>457</v>
      </c>
      <c r="AG98" s="329" t="s">
        <v>508</v>
      </c>
      <c r="AH98" s="484" t="s">
        <v>627</v>
      </c>
      <c r="AI98" s="484" t="s">
        <v>627</v>
      </c>
      <c r="AJ98" s="484" t="s">
        <v>627</v>
      </c>
      <c r="AK98" s="484" t="s">
        <v>627</v>
      </c>
      <c r="AL98" s="484" t="s">
        <v>627</v>
      </c>
      <c r="AM98" s="484" t="s">
        <v>627</v>
      </c>
      <c r="AN98" s="349"/>
      <c r="AO98" s="349"/>
      <c r="AP98" s="349"/>
      <c r="AQ98" s="349"/>
      <c r="AR98" s="349"/>
      <c r="AT98" s="520" t="s">
        <v>457</v>
      </c>
      <c r="AU98" s="329" t="s">
        <v>508</v>
      </c>
      <c r="AV98" s="484" t="s">
        <v>627</v>
      </c>
      <c r="AW98" s="484" t="s">
        <v>627</v>
      </c>
      <c r="AX98" s="484" t="s">
        <v>627</v>
      </c>
      <c r="AY98" s="484" t="s">
        <v>627</v>
      </c>
      <c r="AZ98" s="484" t="s">
        <v>627</v>
      </c>
      <c r="BA98" s="484" t="s">
        <v>627</v>
      </c>
      <c r="BB98" s="349"/>
      <c r="BC98" s="349"/>
      <c r="BD98" s="349"/>
      <c r="BE98" s="349"/>
      <c r="BF98" s="349"/>
    </row>
    <row r="99" spans="4:58" outlineLevel="1">
      <c r="D99" s="521"/>
      <c r="E99" s="329" t="s">
        <v>511</v>
      </c>
      <c r="F99" s="483">
        <v>128.82</v>
      </c>
      <c r="G99" s="483">
        <v>107.16</v>
      </c>
      <c r="H99" s="483">
        <v>100.32000000000001</v>
      </c>
      <c r="I99" s="483">
        <v>112.86</v>
      </c>
      <c r="J99" s="483">
        <v>147.06</v>
      </c>
      <c r="K99" s="483">
        <v>129.95999999999998</v>
      </c>
      <c r="L99" s="349"/>
      <c r="M99" s="349"/>
      <c r="N99" s="349"/>
      <c r="O99" s="349"/>
      <c r="P99" s="349"/>
      <c r="R99" s="521"/>
      <c r="S99" s="329" t="s">
        <v>509</v>
      </c>
      <c r="T99" s="483">
        <v>128.82</v>
      </c>
      <c r="U99" s="483">
        <v>127.68</v>
      </c>
      <c r="V99" s="483">
        <v>107.16</v>
      </c>
      <c r="W99" s="483">
        <v>111.72</v>
      </c>
      <c r="X99" s="483">
        <v>137.94</v>
      </c>
      <c r="Y99" s="483">
        <v>102.60000000000001</v>
      </c>
      <c r="Z99" s="349"/>
      <c r="AA99" s="349"/>
      <c r="AB99" s="349"/>
      <c r="AC99" s="349"/>
      <c r="AD99" s="349"/>
      <c r="AF99" s="521"/>
      <c r="AG99" s="329" t="s">
        <v>509</v>
      </c>
      <c r="AH99" s="483">
        <v>142.5</v>
      </c>
      <c r="AI99" s="483">
        <v>148.20000000000002</v>
      </c>
      <c r="AJ99" s="483">
        <v>127.68</v>
      </c>
      <c r="AK99" s="483">
        <v>82.08</v>
      </c>
      <c r="AL99" s="483">
        <v>90.06</v>
      </c>
      <c r="AM99" s="483">
        <v>126.54</v>
      </c>
      <c r="AN99" s="349"/>
      <c r="AO99" s="349"/>
      <c r="AP99" s="349"/>
      <c r="AQ99" s="349"/>
      <c r="AR99" s="349"/>
      <c r="AT99" s="521"/>
      <c r="AU99" s="329" t="s">
        <v>509</v>
      </c>
      <c r="AV99" s="483">
        <v>115.14</v>
      </c>
      <c r="AW99" s="483">
        <v>86.64</v>
      </c>
      <c r="AX99" s="483">
        <v>123.12</v>
      </c>
      <c r="AY99" s="483">
        <v>116.28</v>
      </c>
      <c r="AZ99" s="483">
        <v>82.08</v>
      </c>
      <c r="BA99" s="483">
        <v>96.899999999999991</v>
      </c>
      <c r="BB99" s="349"/>
      <c r="BC99" s="349"/>
      <c r="BD99" s="349"/>
      <c r="BE99" s="349"/>
      <c r="BF99" s="349"/>
    </row>
    <row r="100" spans="4:58" ht="24" outlineLevel="1">
      <c r="D100" s="522" t="s">
        <v>458</v>
      </c>
      <c r="E100" s="329" t="s">
        <v>508</v>
      </c>
      <c r="F100" s="484" t="s">
        <v>627</v>
      </c>
      <c r="G100" s="484" t="s">
        <v>627</v>
      </c>
      <c r="H100" s="484" t="s">
        <v>627</v>
      </c>
      <c r="I100" s="484" t="s">
        <v>627</v>
      </c>
      <c r="J100" s="484" t="s">
        <v>627</v>
      </c>
      <c r="K100" s="484" t="s">
        <v>627</v>
      </c>
      <c r="L100" s="349"/>
      <c r="M100" s="349"/>
      <c r="N100" s="349"/>
      <c r="O100" s="349"/>
      <c r="P100" s="349"/>
      <c r="R100" s="522" t="s">
        <v>458</v>
      </c>
      <c r="S100" s="329" t="s">
        <v>508</v>
      </c>
      <c r="T100" s="484" t="s">
        <v>627</v>
      </c>
      <c r="U100" s="484" t="s">
        <v>627</v>
      </c>
      <c r="V100" s="484" t="s">
        <v>627</v>
      </c>
      <c r="W100" s="484" t="s">
        <v>627</v>
      </c>
      <c r="X100" s="484" t="s">
        <v>627</v>
      </c>
      <c r="Y100" s="484" t="s">
        <v>627</v>
      </c>
      <c r="Z100" s="349"/>
      <c r="AA100" s="349"/>
      <c r="AB100" s="349"/>
      <c r="AC100" s="349"/>
      <c r="AD100" s="349"/>
      <c r="AF100" s="522" t="s">
        <v>458</v>
      </c>
      <c r="AG100" s="329" t="s">
        <v>508</v>
      </c>
      <c r="AH100" s="484" t="s">
        <v>627</v>
      </c>
      <c r="AI100" s="484" t="s">
        <v>627</v>
      </c>
      <c r="AJ100" s="484" t="s">
        <v>627</v>
      </c>
      <c r="AK100" s="484" t="s">
        <v>627</v>
      </c>
      <c r="AL100" s="484" t="s">
        <v>627</v>
      </c>
      <c r="AM100" s="484" t="s">
        <v>627</v>
      </c>
      <c r="AN100" s="349"/>
      <c r="AO100" s="349"/>
      <c r="AP100" s="349"/>
      <c r="AQ100" s="349"/>
      <c r="AR100" s="349"/>
      <c r="AT100" s="522" t="s">
        <v>458</v>
      </c>
      <c r="AU100" s="329" t="s">
        <v>508</v>
      </c>
      <c r="AV100" s="484" t="s">
        <v>627</v>
      </c>
      <c r="AW100" s="484" t="s">
        <v>627</v>
      </c>
      <c r="AX100" s="484" t="s">
        <v>627</v>
      </c>
      <c r="AY100" s="484" t="s">
        <v>627</v>
      </c>
      <c r="AZ100" s="484" t="s">
        <v>627</v>
      </c>
      <c r="BA100" s="484" t="s">
        <v>627</v>
      </c>
      <c r="BB100" s="349"/>
      <c r="BC100" s="349"/>
      <c r="BD100" s="349"/>
      <c r="BE100" s="349"/>
      <c r="BF100" s="349"/>
    </row>
    <row r="101" spans="4:58" outlineLevel="1">
      <c r="D101" s="523"/>
      <c r="E101" s="329" t="s">
        <v>511</v>
      </c>
      <c r="F101" s="483">
        <v>114</v>
      </c>
      <c r="G101" s="483">
        <v>118.8</v>
      </c>
      <c r="H101" s="483">
        <v>148.80000000000001</v>
      </c>
      <c r="I101" s="483">
        <v>91.2</v>
      </c>
      <c r="J101" s="483">
        <v>115.19999999999999</v>
      </c>
      <c r="K101" s="483">
        <v>127.2</v>
      </c>
      <c r="L101" s="349"/>
      <c r="M101" s="349"/>
      <c r="N101" s="349"/>
      <c r="O101" s="349"/>
      <c r="P101" s="349"/>
      <c r="R101" s="523"/>
      <c r="S101" s="329" t="s">
        <v>509</v>
      </c>
      <c r="T101" s="483">
        <v>84</v>
      </c>
      <c r="U101" s="483">
        <v>84</v>
      </c>
      <c r="V101" s="483">
        <v>133.20000000000002</v>
      </c>
      <c r="W101" s="483">
        <v>111.60000000000001</v>
      </c>
      <c r="X101" s="483">
        <v>84</v>
      </c>
      <c r="Y101" s="483">
        <v>88.8</v>
      </c>
      <c r="Z101" s="349"/>
      <c r="AA101" s="349"/>
      <c r="AB101" s="349"/>
      <c r="AC101" s="349"/>
      <c r="AD101" s="349"/>
      <c r="AF101" s="523"/>
      <c r="AG101" s="329" t="s">
        <v>509</v>
      </c>
      <c r="AH101" s="483">
        <v>85.199999999999989</v>
      </c>
      <c r="AI101" s="483">
        <v>118.8</v>
      </c>
      <c r="AJ101" s="483">
        <v>156</v>
      </c>
      <c r="AK101" s="483">
        <v>91.2</v>
      </c>
      <c r="AL101" s="483">
        <v>120</v>
      </c>
      <c r="AM101" s="483">
        <v>145.19999999999999</v>
      </c>
      <c r="AN101" s="349"/>
      <c r="AO101" s="349"/>
      <c r="AP101" s="349"/>
      <c r="AQ101" s="349"/>
      <c r="AR101" s="349"/>
      <c r="AT101" s="523"/>
      <c r="AU101" s="329" t="s">
        <v>509</v>
      </c>
      <c r="AV101" s="483">
        <v>120</v>
      </c>
      <c r="AW101" s="483">
        <v>86.399999999999991</v>
      </c>
      <c r="AX101" s="483">
        <v>144</v>
      </c>
      <c r="AY101" s="483">
        <v>153.6</v>
      </c>
      <c r="AZ101" s="483">
        <v>102</v>
      </c>
      <c r="BA101" s="483">
        <v>111.60000000000001</v>
      </c>
      <c r="BB101" s="349"/>
      <c r="BC101" s="349"/>
      <c r="BD101" s="349"/>
      <c r="BE101" s="349"/>
      <c r="BF101" s="349"/>
    </row>
    <row r="102" spans="4:58" ht="24" outlineLevel="1">
      <c r="D102" s="522" t="s">
        <v>459</v>
      </c>
      <c r="E102" s="329" t="s">
        <v>508</v>
      </c>
      <c r="F102" s="484" t="s">
        <v>627</v>
      </c>
      <c r="G102" s="484" t="s">
        <v>627</v>
      </c>
      <c r="H102" s="484" t="s">
        <v>627</v>
      </c>
      <c r="I102" s="484" t="s">
        <v>627</v>
      </c>
      <c r="J102" s="484" t="s">
        <v>627</v>
      </c>
      <c r="K102" s="484" t="s">
        <v>627</v>
      </c>
      <c r="L102" s="349"/>
      <c r="M102" s="349"/>
      <c r="N102" s="349"/>
      <c r="O102" s="349"/>
      <c r="P102" s="349"/>
      <c r="R102" s="522" t="s">
        <v>459</v>
      </c>
      <c r="S102" s="329" t="s">
        <v>508</v>
      </c>
      <c r="T102" s="484" t="s">
        <v>627</v>
      </c>
      <c r="U102" s="484" t="s">
        <v>627</v>
      </c>
      <c r="V102" s="484" t="s">
        <v>627</v>
      </c>
      <c r="W102" s="484" t="s">
        <v>627</v>
      </c>
      <c r="X102" s="484" t="s">
        <v>627</v>
      </c>
      <c r="Y102" s="484" t="s">
        <v>627</v>
      </c>
      <c r="Z102" s="349"/>
      <c r="AA102" s="349"/>
      <c r="AB102" s="349"/>
      <c r="AC102" s="349"/>
      <c r="AD102" s="349"/>
      <c r="AF102" s="522" t="s">
        <v>459</v>
      </c>
      <c r="AG102" s="329" t="s">
        <v>508</v>
      </c>
      <c r="AH102" s="484" t="s">
        <v>627</v>
      </c>
      <c r="AI102" s="484" t="s">
        <v>627</v>
      </c>
      <c r="AJ102" s="484" t="s">
        <v>627</v>
      </c>
      <c r="AK102" s="484" t="s">
        <v>627</v>
      </c>
      <c r="AL102" s="484" t="s">
        <v>627</v>
      </c>
      <c r="AM102" s="484" t="s">
        <v>627</v>
      </c>
      <c r="AN102" s="349"/>
      <c r="AO102" s="349"/>
      <c r="AP102" s="349"/>
      <c r="AQ102" s="349"/>
      <c r="AR102" s="349"/>
      <c r="AT102" s="522" t="s">
        <v>459</v>
      </c>
      <c r="AU102" s="329" t="s">
        <v>508</v>
      </c>
      <c r="AV102" s="484" t="s">
        <v>627</v>
      </c>
      <c r="AW102" s="484" t="s">
        <v>627</v>
      </c>
      <c r="AX102" s="484" t="s">
        <v>627</v>
      </c>
      <c r="AY102" s="484" t="s">
        <v>627</v>
      </c>
      <c r="AZ102" s="484" t="s">
        <v>627</v>
      </c>
      <c r="BA102" s="484" t="s">
        <v>627</v>
      </c>
      <c r="BB102" s="349"/>
      <c r="BC102" s="349"/>
      <c r="BD102" s="349"/>
      <c r="BE102" s="349"/>
      <c r="BF102" s="349"/>
    </row>
    <row r="103" spans="4:58" outlineLevel="1">
      <c r="D103" s="523"/>
      <c r="E103" s="329" t="s">
        <v>511</v>
      </c>
      <c r="F103" s="483">
        <v>152.60000000000002</v>
      </c>
      <c r="G103" s="483">
        <v>175</v>
      </c>
      <c r="H103" s="483">
        <v>141.4</v>
      </c>
      <c r="I103" s="483">
        <v>131.6</v>
      </c>
      <c r="J103" s="483">
        <v>180.6</v>
      </c>
      <c r="K103" s="483">
        <v>121.8</v>
      </c>
      <c r="L103" s="349"/>
      <c r="M103" s="349"/>
      <c r="N103" s="349"/>
      <c r="O103" s="349"/>
      <c r="P103" s="349"/>
      <c r="R103" s="523"/>
      <c r="S103" s="329" t="s">
        <v>509</v>
      </c>
      <c r="T103" s="483">
        <v>172.2</v>
      </c>
      <c r="U103" s="483">
        <v>165.2</v>
      </c>
      <c r="V103" s="483">
        <v>144.20000000000002</v>
      </c>
      <c r="W103" s="483">
        <v>114.8</v>
      </c>
      <c r="X103" s="483">
        <v>121.8</v>
      </c>
      <c r="Y103" s="483">
        <v>121.8</v>
      </c>
      <c r="Z103" s="349"/>
      <c r="AA103" s="349"/>
      <c r="AB103" s="349"/>
      <c r="AC103" s="349"/>
      <c r="AD103" s="349"/>
      <c r="AF103" s="523"/>
      <c r="AG103" s="329" t="s">
        <v>509</v>
      </c>
      <c r="AH103" s="483">
        <v>109.2</v>
      </c>
      <c r="AI103" s="483">
        <v>138.6</v>
      </c>
      <c r="AJ103" s="483">
        <v>180.6</v>
      </c>
      <c r="AK103" s="483">
        <v>127.4</v>
      </c>
      <c r="AL103" s="483">
        <v>130.20000000000002</v>
      </c>
      <c r="AM103" s="483">
        <v>114.8</v>
      </c>
      <c r="AN103" s="349"/>
      <c r="AO103" s="349"/>
      <c r="AP103" s="349"/>
      <c r="AQ103" s="349"/>
      <c r="AR103" s="349"/>
      <c r="AT103" s="523"/>
      <c r="AU103" s="329" t="s">
        <v>509</v>
      </c>
      <c r="AV103" s="483">
        <v>140</v>
      </c>
      <c r="AW103" s="483">
        <v>151.20000000000002</v>
      </c>
      <c r="AX103" s="483">
        <v>166.6</v>
      </c>
      <c r="AY103" s="483">
        <v>105</v>
      </c>
      <c r="AZ103" s="483">
        <v>177.8</v>
      </c>
      <c r="BA103" s="483">
        <v>163.79999999999998</v>
      </c>
      <c r="BB103" s="349"/>
      <c r="BC103" s="349"/>
      <c r="BD103" s="349"/>
      <c r="BE103" s="349"/>
      <c r="BF103" s="349"/>
    </row>
    <row r="104" spans="4:58" ht="24" outlineLevel="1">
      <c r="D104" s="522" t="s">
        <v>460</v>
      </c>
      <c r="E104" s="329" t="s">
        <v>508</v>
      </c>
      <c r="F104" s="484" t="s">
        <v>627</v>
      </c>
      <c r="G104" s="484" t="s">
        <v>627</v>
      </c>
      <c r="H104" s="484" t="s">
        <v>627</v>
      </c>
      <c r="I104" s="484" t="s">
        <v>627</v>
      </c>
      <c r="J104" s="484" t="s">
        <v>627</v>
      </c>
      <c r="K104" s="484" t="s">
        <v>627</v>
      </c>
      <c r="L104" s="349"/>
      <c r="M104" s="349"/>
      <c r="N104" s="349"/>
      <c r="O104" s="349"/>
      <c r="P104" s="349"/>
      <c r="R104" s="522" t="s">
        <v>460</v>
      </c>
      <c r="S104" s="329" t="s">
        <v>508</v>
      </c>
      <c r="T104" s="484" t="s">
        <v>627</v>
      </c>
      <c r="U104" s="484" t="s">
        <v>627</v>
      </c>
      <c r="V104" s="484" t="s">
        <v>627</v>
      </c>
      <c r="W104" s="484" t="s">
        <v>627</v>
      </c>
      <c r="X104" s="484" t="s">
        <v>627</v>
      </c>
      <c r="Y104" s="484" t="s">
        <v>627</v>
      </c>
      <c r="Z104" s="349"/>
      <c r="AA104" s="349"/>
      <c r="AB104" s="349"/>
      <c r="AC104" s="349"/>
      <c r="AD104" s="349"/>
      <c r="AF104" s="522" t="s">
        <v>460</v>
      </c>
      <c r="AG104" s="329" t="s">
        <v>508</v>
      </c>
      <c r="AH104" s="484" t="s">
        <v>627</v>
      </c>
      <c r="AI104" s="484" t="s">
        <v>627</v>
      </c>
      <c r="AJ104" s="484" t="s">
        <v>627</v>
      </c>
      <c r="AK104" s="484" t="s">
        <v>627</v>
      </c>
      <c r="AL104" s="484" t="s">
        <v>627</v>
      </c>
      <c r="AM104" s="484" t="s">
        <v>627</v>
      </c>
      <c r="AN104" s="349"/>
      <c r="AO104" s="349"/>
      <c r="AP104" s="349"/>
      <c r="AQ104" s="349"/>
      <c r="AR104" s="349"/>
      <c r="AT104" s="522" t="s">
        <v>460</v>
      </c>
      <c r="AU104" s="329" t="s">
        <v>508</v>
      </c>
      <c r="AV104" s="484" t="s">
        <v>627</v>
      </c>
      <c r="AW104" s="484" t="s">
        <v>627</v>
      </c>
      <c r="AX104" s="484" t="s">
        <v>627</v>
      </c>
      <c r="AY104" s="484" t="s">
        <v>627</v>
      </c>
      <c r="AZ104" s="484" t="s">
        <v>627</v>
      </c>
      <c r="BA104" s="484" t="s">
        <v>627</v>
      </c>
      <c r="BB104" s="349"/>
      <c r="BC104" s="349"/>
      <c r="BD104" s="349"/>
      <c r="BE104" s="349"/>
      <c r="BF104" s="349"/>
    </row>
    <row r="105" spans="4:58" outlineLevel="1">
      <c r="D105" s="523"/>
      <c r="E105" s="329" t="s">
        <v>511</v>
      </c>
      <c r="F105" s="483">
        <v>152.88</v>
      </c>
      <c r="G105" s="483">
        <v>198.12</v>
      </c>
      <c r="H105" s="483">
        <v>187.2</v>
      </c>
      <c r="I105" s="483">
        <v>140.4</v>
      </c>
      <c r="J105" s="483">
        <v>202.8</v>
      </c>
      <c r="K105" s="483">
        <v>182.51999999999998</v>
      </c>
      <c r="L105" s="349"/>
      <c r="M105" s="349"/>
      <c r="N105" s="349"/>
      <c r="O105" s="349"/>
      <c r="P105" s="349"/>
      <c r="R105" s="523"/>
      <c r="S105" s="329" t="s">
        <v>509</v>
      </c>
      <c r="T105" s="483">
        <v>121.68</v>
      </c>
      <c r="U105" s="483">
        <v>182.51999999999998</v>
      </c>
      <c r="V105" s="483">
        <v>157.56</v>
      </c>
      <c r="W105" s="483">
        <v>151.32</v>
      </c>
      <c r="X105" s="483">
        <v>141.96</v>
      </c>
      <c r="Y105" s="483">
        <v>141.96</v>
      </c>
      <c r="Z105" s="349"/>
      <c r="AA105" s="349"/>
      <c r="AB105" s="349"/>
      <c r="AC105" s="349"/>
      <c r="AD105" s="349"/>
      <c r="AF105" s="523"/>
      <c r="AG105" s="329" t="s">
        <v>509</v>
      </c>
      <c r="AH105" s="483">
        <v>176.27999999999997</v>
      </c>
      <c r="AI105" s="483">
        <v>168.48000000000002</v>
      </c>
      <c r="AJ105" s="483">
        <v>180.95999999999998</v>
      </c>
      <c r="AK105" s="483">
        <v>117</v>
      </c>
      <c r="AL105" s="483">
        <v>173.16000000000003</v>
      </c>
      <c r="AM105" s="483">
        <v>118.56</v>
      </c>
      <c r="AN105" s="349"/>
      <c r="AO105" s="349"/>
      <c r="AP105" s="349"/>
      <c r="AQ105" s="349"/>
      <c r="AR105" s="349"/>
      <c r="AT105" s="523"/>
      <c r="AU105" s="329" t="s">
        <v>509</v>
      </c>
      <c r="AV105" s="483">
        <v>160.68</v>
      </c>
      <c r="AW105" s="483">
        <v>134.16</v>
      </c>
      <c r="AX105" s="483">
        <v>152.88</v>
      </c>
      <c r="AY105" s="483">
        <v>174.72000000000003</v>
      </c>
      <c r="AZ105" s="483">
        <v>168.48000000000002</v>
      </c>
      <c r="BA105" s="483">
        <v>185.64</v>
      </c>
      <c r="BB105" s="349"/>
      <c r="BC105" s="349"/>
      <c r="BD105" s="349"/>
      <c r="BE105" s="349"/>
      <c r="BF105" s="349"/>
    </row>
    <row r="106" spans="4:58" ht="24" outlineLevel="1">
      <c r="D106" s="522" t="s">
        <v>461</v>
      </c>
      <c r="E106" s="329" t="s">
        <v>508</v>
      </c>
      <c r="F106" s="484" t="s">
        <v>627</v>
      </c>
      <c r="G106" s="484" t="s">
        <v>627</v>
      </c>
      <c r="H106" s="484" t="s">
        <v>627</v>
      </c>
      <c r="I106" s="484" t="s">
        <v>627</v>
      </c>
      <c r="J106" s="484" t="s">
        <v>627</v>
      </c>
      <c r="K106" s="484" t="s">
        <v>627</v>
      </c>
      <c r="L106" s="349"/>
      <c r="M106" s="349"/>
      <c r="N106" s="349"/>
      <c r="O106" s="349"/>
      <c r="P106" s="349"/>
      <c r="R106" s="522" t="s">
        <v>461</v>
      </c>
      <c r="S106" s="329" t="s">
        <v>508</v>
      </c>
      <c r="T106" s="484" t="s">
        <v>627</v>
      </c>
      <c r="U106" s="484" t="s">
        <v>627</v>
      </c>
      <c r="V106" s="484" t="s">
        <v>627</v>
      </c>
      <c r="W106" s="484" t="s">
        <v>627</v>
      </c>
      <c r="X106" s="484" t="s">
        <v>627</v>
      </c>
      <c r="Y106" s="484" t="s">
        <v>627</v>
      </c>
      <c r="Z106" s="349"/>
      <c r="AA106" s="349"/>
      <c r="AB106" s="349"/>
      <c r="AC106" s="349"/>
      <c r="AD106" s="349"/>
      <c r="AF106" s="522" t="s">
        <v>461</v>
      </c>
      <c r="AG106" s="329" t="s">
        <v>508</v>
      </c>
      <c r="AH106" s="484" t="s">
        <v>627</v>
      </c>
      <c r="AI106" s="484" t="s">
        <v>627</v>
      </c>
      <c r="AJ106" s="484" t="s">
        <v>627</v>
      </c>
      <c r="AK106" s="484" t="s">
        <v>627</v>
      </c>
      <c r="AL106" s="484" t="s">
        <v>627</v>
      </c>
      <c r="AM106" s="484" t="s">
        <v>627</v>
      </c>
      <c r="AN106" s="349"/>
      <c r="AO106" s="349"/>
      <c r="AP106" s="349"/>
      <c r="AQ106" s="349"/>
      <c r="AR106" s="349"/>
      <c r="AT106" s="522" t="s">
        <v>461</v>
      </c>
      <c r="AU106" s="329" t="s">
        <v>508</v>
      </c>
      <c r="AV106" s="484" t="s">
        <v>627</v>
      </c>
      <c r="AW106" s="484" t="s">
        <v>627</v>
      </c>
      <c r="AX106" s="484" t="s">
        <v>627</v>
      </c>
      <c r="AY106" s="484" t="s">
        <v>627</v>
      </c>
      <c r="AZ106" s="484" t="s">
        <v>627</v>
      </c>
      <c r="BA106" s="484" t="s">
        <v>627</v>
      </c>
      <c r="BB106" s="349"/>
      <c r="BC106" s="349"/>
      <c r="BD106" s="349"/>
      <c r="BE106" s="349"/>
      <c r="BF106" s="349"/>
    </row>
    <row r="107" spans="4:58" outlineLevel="1">
      <c r="D107" s="523"/>
      <c r="E107" s="329" t="s">
        <v>511</v>
      </c>
      <c r="F107" s="483">
        <v>206.99999999999997</v>
      </c>
      <c r="G107" s="483">
        <v>131.4</v>
      </c>
      <c r="H107" s="483">
        <v>208.79999999999998</v>
      </c>
      <c r="I107" s="483">
        <v>187.20000000000002</v>
      </c>
      <c r="J107" s="483">
        <v>142.20000000000002</v>
      </c>
      <c r="K107" s="483">
        <v>196.20000000000002</v>
      </c>
      <c r="L107" s="349"/>
      <c r="M107" s="349"/>
      <c r="N107" s="349"/>
      <c r="O107" s="349"/>
      <c r="P107" s="349"/>
      <c r="R107" s="523"/>
      <c r="S107" s="329" t="s">
        <v>509</v>
      </c>
      <c r="T107" s="483">
        <v>232.20000000000002</v>
      </c>
      <c r="U107" s="483">
        <v>230.4</v>
      </c>
      <c r="V107" s="483">
        <v>212.39999999999998</v>
      </c>
      <c r="W107" s="483">
        <v>153</v>
      </c>
      <c r="X107" s="483">
        <v>198.00000000000003</v>
      </c>
      <c r="Y107" s="483">
        <v>183.6</v>
      </c>
      <c r="Z107" s="349"/>
      <c r="AA107" s="349"/>
      <c r="AB107" s="349"/>
      <c r="AC107" s="349"/>
      <c r="AD107" s="349"/>
      <c r="AF107" s="523"/>
      <c r="AG107" s="329" t="s">
        <v>509</v>
      </c>
      <c r="AH107" s="483">
        <v>206.99999999999997</v>
      </c>
      <c r="AI107" s="483">
        <v>140.4</v>
      </c>
      <c r="AJ107" s="483">
        <v>223.2</v>
      </c>
      <c r="AK107" s="483">
        <v>221.4</v>
      </c>
      <c r="AL107" s="483">
        <v>189</v>
      </c>
      <c r="AM107" s="483">
        <v>189</v>
      </c>
      <c r="AN107" s="349"/>
      <c r="AO107" s="349"/>
      <c r="AP107" s="349"/>
      <c r="AQ107" s="349"/>
      <c r="AR107" s="349"/>
      <c r="AT107" s="523"/>
      <c r="AU107" s="329" t="s">
        <v>509</v>
      </c>
      <c r="AV107" s="483">
        <v>181.8</v>
      </c>
      <c r="AW107" s="483">
        <v>205.2</v>
      </c>
      <c r="AX107" s="483">
        <v>189</v>
      </c>
      <c r="AY107" s="483">
        <v>185.4</v>
      </c>
      <c r="AZ107" s="483">
        <v>192.60000000000002</v>
      </c>
      <c r="BA107" s="483">
        <v>169.2</v>
      </c>
      <c r="BB107" s="349"/>
      <c r="BC107" s="349"/>
      <c r="BD107" s="349"/>
      <c r="BE107" s="349"/>
      <c r="BF107" s="349"/>
    </row>
    <row r="108" spans="4:58" ht="24" outlineLevel="1">
      <c r="D108" s="522" t="s">
        <v>462</v>
      </c>
      <c r="E108" s="329" t="s">
        <v>508</v>
      </c>
      <c r="F108" s="484" t="s">
        <v>627</v>
      </c>
      <c r="G108" s="484" t="s">
        <v>627</v>
      </c>
      <c r="H108" s="484" t="s">
        <v>627</v>
      </c>
      <c r="I108" s="484" t="s">
        <v>627</v>
      </c>
      <c r="J108" s="484" t="s">
        <v>627</v>
      </c>
      <c r="K108" s="484" t="s">
        <v>627</v>
      </c>
      <c r="L108" s="349"/>
      <c r="M108" s="349"/>
      <c r="N108" s="349"/>
      <c r="O108" s="349"/>
      <c r="P108" s="349"/>
      <c r="R108" s="522" t="s">
        <v>462</v>
      </c>
      <c r="S108" s="329" t="s">
        <v>508</v>
      </c>
      <c r="T108" s="484" t="s">
        <v>627</v>
      </c>
      <c r="U108" s="484" t="s">
        <v>627</v>
      </c>
      <c r="V108" s="484" t="s">
        <v>627</v>
      </c>
      <c r="W108" s="484" t="s">
        <v>627</v>
      </c>
      <c r="X108" s="484" t="s">
        <v>627</v>
      </c>
      <c r="Y108" s="484" t="s">
        <v>627</v>
      </c>
      <c r="Z108" s="349"/>
      <c r="AA108" s="349"/>
      <c r="AB108" s="349"/>
      <c r="AC108" s="349"/>
      <c r="AD108" s="349"/>
      <c r="AF108" s="522" t="s">
        <v>462</v>
      </c>
      <c r="AG108" s="329" t="s">
        <v>508</v>
      </c>
      <c r="AH108" s="484" t="s">
        <v>627</v>
      </c>
      <c r="AI108" s="484" t="s">
        <v>627</v>
      </c>
      <c r="AJ108" s="484" t="s">
        <v>627</v>
      </c>
      <c r="AK108" s="484" t="s">
        <v>627</v>
      </c>
      <c r="AL108" s="484" t="s">
        <v>627</v>
      </c>
      <c r="AM108" s="484" t="s">
        <v>627</v>
      </c>
      <c r="AN108" s="349"/>
      <c r="AO108" s="349"/>
      <c r="AP108" s="349"/>
      <c r="AQ108" s="349"/>
      <c r="AR108" s="349"/>
      <c r="AT108" s="522" t="s">
        <v>462</v>
      </c>
      <c r="AU108" s="329" t="s">
        <v>508</v>
      </c>
      <c r="AV108" s="484" t="s">
        <v>627</v>
      </c>
      <c r="AW108" s="484" t="s">
        <v>627</v>
      </c>
      <c r="AX108" s="484" t="s">
        <v>627</v>
      </c>
      <c r="AY108" s="484" t="s">
        <v>627</v>
      </c>
      <c r="AZ108" s="484" t="s">
        <v>627</v>
      </c>
      <c r="BA108" s="484" t="s">
        <v>627</v>
      </c>
      <c r="BB108" s="349"/>
      <c r="BC108" s="349"/>
      <c r="BD108" s="349"/>
      <c r="BE108" s="349"/>
      <c r="BF108" s="349"/>
    </row>
    <row r="109" spans="4:58" outlineLevel="1">
      <c r="D109" s="523"/>
      <c r="E109" s="329" t="s">
        <v>511</v>
      </c>
      <c r="F109" s="483">
        <v>144.54</v>
      </c>
      <c r="G109" s="483">
        <v>168.29999999999998</v>
      </c>
      <c r="H109" s="483">
        <v>148.5</v>
      </c>
      <c r="I109" s="483">
        <v>215.82000000000002</v>
      </c>
      <c r="J109" s="483">
        <v>194.04</v>
      </c>
      <c r="K109" s="483">
        <v>160.38000000000002</v>
      </c>
      <c r="L109" s="349"/>
      <c r="M109" s="349"/>
      <c r="N109" s="349"/>
      <c r="O109" s="349"/>
      <c r="P109" s="349"/>
      <c r="R109" s="523"/>
      <c r="S109" s="329" t="s">
        <v>509</v>
      </c>
      <c r="T109" s="483">
        <v>152.46</v>
      </c>
      <c r="U109" s="483">
        <v>188.1</v>
      </c>
      <c r="V109" s="483">
        <v>225.71999999999997</v>
      </c>
      <c r="W109" s="483">
        <v>142.56</v>
      </c>
      <c r="X109" s="483">
        <v>253.44</v>
      </c>
      <c r="Y109" s="483">
        <v>172.26</v>
      </c>
      <c r="Z109" s="349"/>
      <c r="AA109" s="349"/>
      <c r="AB109" s="349"/>
      <c r="AC109" s="349"/>
      <c r="AD109" s="349"/>
      <c r="AF109" s="523"/>
      <c r="AG109" s="329" t="s">
        <v>509</v>
      </c>
      <c r="AH109" s="483">
        <v>213.84</v>
      </c>
      <c r="AI109" s="483">
        <v>158.4</v>
      </c>
      <c r="AJ109" s="483">
        <v>144.54</v>
      </c>
      <c r="AK109" s="483">
        <v>219.78000000000003</v>
      </c>
      <c r="AL109" s="483">
        <v>257.40000000000003</v>
      </c>
      <c r="AM109" s="483">
        <v>205.92000000000002</v>
      </c>
      <c r="AN109" s="349"/>
      <c r="AO109" s="349"/>
      <c r="AP109" s="349"/>
      <c r="AQ109" s="349"/>
      <c r="AR109" s="349"/>
      <c r="AT109" s="523"/>
      <c r="AU109" s="329" t="s">
        <v>509</v>
      </c>
      <c r="AV109" s="483">
        <v>225.71999999999997</v>
      </c>
      <c r="AW109" s="483">
        <v>215.82000000000002</v>
      </c>
      <c r="AX109" s="483">
        <v>186.11999999999998</v>
      </c>
      <c r="AY109" s="483">
        <v>154.44</v>
      </c>
      <c r="AZ109" s="483">
        <v>138.6</v>
      </c>
      <c r="BA109" s="483">
        <v>172.26</v>
      </c>
      <c r="BB109" s="349"/>
      <c r="BC109" s="349"/>
      <c r="BD109" s="349"/>
      <c r="BE109" s="349"/>
      <c r="BF109" s="349"/>
    </row>
    <row r="110" spans="4:58" ht="24" outlineLevel="1">
      <c r="D110" s="522" t="s">
        <v>463</v>
      </c>
      <c r="E110" s="329" t="s">
        <v>508</v>
      </c>
      <c r="F110" s="484" t="s">
        <v>627</v>
      </c>
      <c r="G110" s="484" t="s">
        <v>627</v>
      </c>
      <c r="H110" s="484" t="s">
        <v>627</v>
      </c>
      <c r="I110" s="484" t="s">
        <v>627</v>
      </c>
      <c r="J110" s="484" t="s">
        <v>627</v>
      </c>
      <c r="K110" s="484" t="s">
        <v>627</v>
      </c>
      <c r="L110" s="349"/>
      <c r="M110" s="349"/>
      <c r="N110" s="349"/>
      <c r="O110" s="349"/>
      <c r="P110" s="349"/>
      <c r="R110" s="522" t="s">
        <v>463</v>
      </c>
      <c r="S110" s="329" t="s">
        <v>508</v>
      </c>
      <c r="T110" s="484" t="s">
        <v>627</v>
      </c>
      <c r="U110" s="484" t="s">
        <v>627</v>
      </c>
      <c r="V110" s="484" t="s">
        <v>627</v>
      </c>
      <c r="W110" s="484" t="s">
        <v>627</v>
      </c>
      <c r="X110" s="484" t="s">
        <v>627</v>
      </c>
      <c r="Y110" s="484" t="s">
        <v>627</v>
      </c>
      <c r="Z110" s="349"/>
      <c r="AA110" s="349"/>
      <c r="AB110" s="349"/>
      <c r="AC110" s="349"/>
      <c r="AD110" s="349"/>
      <c r="AF110" s="522" t="s">
        <v>463</v>
      </c>
      <c r="AG110" s="329" t="s">
        <v>508</v>
      </c>
      <c r="AH110" s="484" t="s">
        <v>627</v>
      </c>
      <c r="AI110" s="484" t="s">
        <v>627</v>
      </c>
      <c r="AJ110" s="484" t="s">
        <v>627</v>
      </c>
      <c r="AK110" s="484" t="s">
        <v>627</v>
      </c>
      <c r="AL110" s="484" t="s">
        <v>627</v>
      </c>
      <c r="AM110" s="484" t="s">
        <v>627</v>
      </c>
      <c r="AN110" s="349"/>
      <c r="AO110" s="349"/>
      <c r="AP110" s="349"/>
      <c r="AQ110" s="349"/>
      <c r="AR110" s="349"/>
      <c r="AT110" s="522" t="s">
        <v>463</v>
      </c>
      <c r="AU110" s="329" t="s">
        <v>508</v>
      </c>
      <c r="AV110" s="484" t="s">
        <v>627</v>
      </c>
      <c r="AW110" s="484" t="s">
        <v>627</v>
      </c>
      <c r="AX110" s="484" t="s">
        <v>627</v>
      </c>
      <c r="AY110" s="484" t="s">
        <v>627</v>
      </c>
      <c r="AZ110" s="484" t="s">
        <v>627</v>
      </c>
      <c r="BA110" s="484" t="s">
        <v>627</v>
      </c>
      <c r="BB110" s="349"/>
      <c r="BC110" s="349"/>
      <c r="BD110" s="349"/>
      <c r="BE110" s="349"/>
      <c r="BF110" s="349"/>
    </row>
    <row r="111" spans="4:58" outlineLevel="1">
      <c r="D111" s="523"/>
      <c r="E111" s="329" t="s">
        <v>511</v>
      </c>
      <c r="F111" s="483">
        <v>199.5</v>
      </c>
      <c r="G111" s="483">
        <v>176.4</v>
      </c>
      <c r="H111" s="483">
        <v>247.79999999999998</v>
      </c>
      <c r="I111" s="483">
        <v>172.2</v>
      </c>
      <c r="J111" s="483">
        <v>151.19999999999999</v>
      </c>
      <c r="K111" s="483">
        <v>254.1</v>
      </c>
      <c r="L111" s="349"/>
      <c r="M111" s="349"/>
      <c r="N111" s="349"/>
      <c r="O111" s="349"/>
      <c r="P111" s="349"/>
      <c r="R111" s="523"/>
      <c r="S111" s="329" t="s">
        <v>509</v>
      </c>
      <c r="T111" s="483">
        <v>260.39999999999998</v>
      </c>
      <c r="U111" s="483">
        <v>266.7</v>
      </c>
      <c r="V111" s="483">
        <v>252</v>
      </c>
      <c r="W111" s="483">
        <v>256.2</v>
      </c>
      <c r="X111" s="483">
        <v>239.39999999999998</v>
      </c>
      <c r="Y111" s="483">
        <v>165.9</v>
      </c>
      <c r="Z111" s="349"/>
      <c r="AA111" s="349"/>
      <c r="AB111" s="349"/>
      <c r="AC111" s="349"/>
      <c r="AD111" s="349"/>
      <c r="AF111" s="523"/>
      <c r="AG111" s="329" t="s">
        <v>509</v>
      </c>
      <c r="AH111" s="483">
        <v>262.5</v>
      </c>
      <c r="AI111" s="483">
        <v>168</v>
      </c>
      <c r="AJ111" s="483">
        <v>273</v>
      </c>
      <c r="AK111" s="483">
        <v>205.79999999999998</v>
      </c>
      <c r="AL111" s="483">
        <v>201.6</v>
      </c>
      <c r="AM111" s="483">
        <v>168</v>
      </c>
      <c r="AN111" s="349"/>
      <c r="AO111" s="349"/>
      <c r="AP111" s="349"/>
      <c r="AQ111" s="349"/>
      <c r="AR111" s="349"/>
      <c r="AT111" s="523"/>
      <c r="AU111" s="329" t="s">
        <v>509</v>
      </c>
      <c r="AV111" s="483">
        <v>165.9</v>
      </c>
      <c r="AW111" s="483">
        <v>155.4</v>
      </c>
      <c r="AX111" s="483">
        <v>159.6</v>
      </c>
      <c r="AY111" s="483">
        <v>172.2</v>
      </c>
      <c r="AZ111" s="483">
        <v>165.9</v>
      </c>
      <c r="BA111" s="483">
        <v>203.7</v>
      </c>
      <c r="BB111" s="349"/>
      <c r="BC111" s="349"/>
      <c r="BD111" s="349"/>
      <c r="BE111" s="349"/>
      <c r="BF111" s="349"/>
    </row>
    <row r="112" spans="4:58" ht="24" outlineLevel="1">
      <c r="D112" s="522" t="s">
        <v>464</v>
      </c>
      <c r="E112" s="329" t="s">
        <v>508</v>
      </c>
      <c r="F112" s="484" t="s">
        <v>627</v>
      </c>
      <c r="G112" s="484" t="s">
        <v>627</v>
      </c>
      <c r="H112" s="484" t="s">
        <v>627</v>
      </c>
      <c r="I112" s="484" t="s">
        <v>627</v>
      </c>
      <c r="J112" s="484" t="s">
        <v>627</v>
      </c>
      <c r="K112" s="484" t="s">
        <v>627</v>
      </c>
      <c r="L112" s="349"/>
      <c r="M112" s="349"/>
      <c r="N112" s="349"/>
      <c r="O112" s="349"/>
      <c r="P112" s="349"/>
      <c r="R112" s="522" t="s">
        <v>464</v>
      </c>
      <c r="S112" s="329" t="s">
        <v>508</v>
      </c>
      <c r="T112" s="484" t="s">
        <v>627</v>
      </c>
      <c r="U112" s="484" t="s">
        <v>627</v>
      </c>
      <c r="V112" s="484" t="s">
        <v>627</v>
      </c>
      <c r="W112" s="484" t="s">
        <v>627</v>
      </c>
      <c r="X112" s="484" t="s">
        <v>627</v>
      </c>
      <c r="Y112" s="484" t="s">
        <v>627</v>
      </c>
      <c r="Z112" s="349"/>
      <c r="AA112" s="349"/>
      <c r="AB112" s="349"/>
      <c r="AC112" s="349"/>
      <c r="AD112" s="349"/>
      <c r="AF112" s="522" t="s">
        <v>464</v>
      </c>
      <c r="AG112" s="329" t="s">
        <v>508</v>
      </c>
      <c r="AH112" s="484" t="s">
        <v>627</v>
      </c>
      <c r="AI112" s="484" t="s">
        <v>627</v>
      </c>
      <c r="AJ112" s="484" t="s">
        <v>627</v>
      </c>
      <c r="AK112" s="484" t="s">
        <v>627</v>
      </c>
      <c r="AL112" s="484" t="s">
        <v>627</v>
      </c>
      <c r="AM112" s="484" t="s">
        <v>627</v>
      </c>
      <c r="AN112" s="349"/>
      <c r="AO112" s="349"/>
      <c r="AP112" s="349"/>
      <c r="AQ112" s="349"/>
      <c r="AR112" s="349"/>
      <c r="AT112" s="522" t="s">
        <v>464</v>
      </c>
      <c r="AU112" s="329" t="s">
        <v>508</v>
      </c>
      <c r="AV112" s="484" t="s">
        <v>627</v>
      </c>
      <c r="AW112" s="484" t="s">
        <v>627</v>
      </c>
      <c r="AX112" s="484" t="s">
        <v>627</v>
      </c>
      <c r="AY112" s="484" t="s">
        <v>627</v>
      </c>
      <c r="AZ112" s="484" t="s">
        <v>627</v>
      </c>
      <c r="BA112" s="484" t="s">
        <v>627</v>
      </c>
      <c r="BB112" s="349"/>
      <c r="BC112" s="349"/>
      <c r="BD112" s="349"/>
      <c r="BE112" s="349"/>
      <c r="BF112" s="349"/>
    </row>
    <row r="113" spans="4:58" outlineLevel="1">
      <c r="D113" s="523"/>
      <c r="E113" s="329" t="s">
        <v>511</v>
      </c>
      <c r="F113" s="483">
        <v>239.76000000000002</v>
      </c>
      <c r="G113" s="483">
        <v>248.39999999999998</v>
      </c>
      <c r="H113" s="483">
        <v>224.64000000000001</v>
      </c>
      <c r="I113" s="483">
        <v>270</v>
      </c>
      <c r="J113" s="483">
        <v>159.84</v>
      </c>
      <c r="K113" s="483">
        <v>254.88</v>
      </c>
      <c r="L113" s="349"/>
      <c r="M113" s="349"/>
      <c r="N113" s="349"/>
      <c r="O113" s="349"/>
      <c r="P113" s="349"/>
      <c r="R113" s="523"/>
      <c r="S113" s="329" t="s">
        <v>509</v>
      </c>
      <c r="T113" s="483">
        <v>228.96</v>
      </c>
      <c r="U113" s="483">
        <v>174.96</v>
      </c>
      <c r="V113" s="483">
        <v>190.08</v>
      </c>
      <c r="W113" s="483">
        <v>190.08</v>
      </c>
      <c r="X113" s="483">
        <v>179.28</v>
      </c>
      <c r="Y113" s="483">
        <v>168.48000000000002</v>
      </c>
      <c r="Z113" s="349"/>
      <c r="AA113" s="349"/>
      <c r="AB113" s="349"/>
      <c r="AC113" s="349"/>
      <c r="AD113" s="349"/>
      <c r="AF113" s="523"/>
      <c r="AG113" s="329" t="s">
        <v>509</v>
      </c>
      <c r="AH113" s="483">
        <v>278.64</v>
      </c>
      <c r="AI113" s="483">
        <v>226.8</v>
      </c>
      <c r="AJ113" s="483">
        <v>226.8</v>
      </c>
      <c r="AK113" s="483">
        <v>274.32</v>
      </c>
      <c r="AL113" s="483">
        <v>274.32</v>
      </c>
      <c r="AM113" s="483">
        <v>203.04</v>
      </c>
      <c r="AN113" s="349"/>
      <c r="AO113" s="349"/>
      <c r="AP113" s="349"/>
      <c r="AQ113" s="349"/>
      <c r="AR113" s="349"/>
      <c r="AT113" s="523"/>
      <c r="AU113" s="329" t="s">
        <v>509</v>
      </c>
      <c r="AV113" s="483">
        <v>187.92</v>
      </c>
      <c r="AW113" s="483">
        <v>190.08</v>
      </c>
      <c r="AX113" s="483">
        <v>259.2</v>
      </c>
      <c r="AY113" s="483">
        <v>174.96</v>
      </c>
      <c r="AZ113" s="483">
        <v>218.16</v>
      </c>
      <c r="BA113" s="483">
        <v>235.44000000000003</v>
      </c>
      <c r="BB113" s="349"/>
      <c r="BC113" s="349"/>
      <c r="BD113" s="349"/>
      <c r="BE113" s="349"/>
      <c r="BF113" s="349"/>
    </row>
    <row r="114" spans="4:58" ht="24" outlineLevel="1">
      <c r="D114" s="522" t="s">
        <v>465</v>
      </c>
      <c r="E114" s="329" t="s">
        <v>508</v>
      </c>
      <c r="F114" s="484" t="s">
        <v>627</v>
      </c>
      <c r="G114" s="484" t="s">
        <v>627</v>
      </c>
      <c r="H114" s="484" t="s">
        <v>627</v>
      </c>
      <c r="I114" s="484" t="s">
        <v>627</v>
      </c>
      <c r="J114" s="484" t="s">
        <v>627</v>
      </c>
      <c r="K114" s="484" t="s">
        <v>627</v>
      </c>
      <c r="L114" s="349"/>
      <c r="M114" s="349"/>
      <c r="N114" s="349"/>
      <c r="O114" s="349"/>
      <c r="P114" s="349"/>
      <c r="R114" s="522" t="s">
        <v>465</v>
      </c>
      <c r="S114" s="329" t="s">
        <v>508</v>
      </c>
      <c r="T114" s="484" t="s">
        <v>627</v>
      </c>
      <c r="U114" s="484" t="s">
        <v>627</v>
      </c>
      <c r="V114" s="484" t="s">
        <v>627</v>
      </c>
      <c r="W114" s="484" t="s">
        <v>627</v>
      </c>
      <c r="X114" s="484" t="s">
        <v>627</v>
      </c>
      <c r="Y114" s="484" t="s">
        <v>627</v>
      </c>
      <c r="Z114" s="349"/>
      <c r="AA114" s="349"/>
      <c r="AB114" s="349"/>
      <c r="AC114" s="349"/>
      <c r="AD114" s="349"/>
      <c r="AF114" s="522" t="s">
        <v>465</v>
      </c>
      <c r="AG114" s="329" t="s">
        <v>508</v>
      </c>
      <c r="AH114" s="484" t="s">
        <v>627</v>
      </c>
      <c r="AI114" s="484" t="s">
        <v>627</v>
      </c>
      <c r="AJ114" s="484" t="s">
        <v>627</v>
      </c>
      <c r="AK114" s="484" t="s">
        <v>627</v>
      </c>
      <c r="AL114" s="484" t="s">
        <v>627</v>
      </c>
      <c r="AM114" s="484" t="s">
        <v>627</v>
      </c>
      <c r="AN114" s="349"/>
      <c r="AO114" s="349"/>
      <c r="AP114" s="349"/>
      <c r="AQ114" s="349"/>
      <c r="AR114" s="349"/>
      <c r="AT114" s="522" t="s">
        <v>465</v>
      </c>
      <c r="AU114" s="329" t="s">
        <v>508</v>
      </c>
      <c r="AV114" s="484" t="s">
        <v>627</v>
      </c>
      <c r="AW114" s="484" t="s">
        <v>627</v>
      </c>
      <c r="AX114" s="484" t="s">
        <v>627</v>
      </c>
      <c r="AY114" s="484" t="s">
        <v>627</v>
      </c>
      <c r="AZ114" s="484" t="s">
        <v>627</v>
      </c>
      <c r="BA114" s="484" t="s">
        <v>627</v>
      </c>
      <c r="BB114" s="349"/>
      <c r="BC114" s="349"/>
      <c r="BD114" s="349"/>
      <c r="BE114" s="349"/>
      <c r="BF114" s="349"/>
    </row>
    <row r="115" spans="4:58" ht="15.75" customHeight="1" outlineLevel="1">
      <c r="D115" s="523"/>
      <c r="E115" s="329" t="s">
        <v>511</v>
      </c>
      <c r="F115" s="483">
        <v>154</v>
      </c>
      <c r="G115" s="483">
        <v>231</v>
      </c>
      <c r="H115" s="483">
        <v>154</v>
      </c>
      <c r="I115" s="483">
        <v>246.40000000000003</v>
      </c>
      <c r="J115" s="483">
        <v>250.79999999999998</v>
      </c>
      <c r="K115" s="483">
        <v>189.2</v>
      </c>
      <c r="L115" s="349"/>
      <c r="M115" s="349"/>
      <c r="N115" s="349"/>
      <c r="O115" s="349"/>
      <c r="P115" s="349"/>
      <c r="R115" s="523"/>
      <c r="S115" s="329" t="s">
        <v>509</v>
      </c>
      <c r="T115" s="483">
        <v>178.20000000000002</v>
      </c>
      <c r="U115" s="483">
        <v>266.2</v>
      </c>
      <c r="V115" s="483">
        <v>217.8</v>
      </c>
      <c r="W115" s="483">
        <v>162.80000000000001</v>
      </c>
      <c r="X115" s="483">
        <v>266.2</v>
      </c>
      <c r="Y115" s="483">
        <v>275</v>
      </c>
      <c r="Z115" s="349"/>
      <c r="AA115" s="349"/>
      <c r="AB115" s="349"/>
      <c r="AC115" s="349"/>
      <c r="AD115" s="349"/>
      <c r="AF115" s="523"/>
      <c r="AG115" s="329" t="s">
        <v>509</v>
      </c>
      <c r="AH115" s="483">
        <v>286</v>
      </c>
      <c r="AI115" s="483">
        <v>176</v>
      </c>
      <c r="AJ115" s="483">
        <v>189.2</v>
      </c>
      <c r="AK115" s="483">
        <v>272.8</v>
      </c>
      <c r="AL115" s="483">
        <v>272.8</v>
      </c>
      <c r="AM115" s="483">
        <v>213.4</v>
      </c>
      <c r="AN115" s="349"/>
      <c r="AO115" s="349"/>
      <c r="AP115" s="349"/>
      <c r="AQ115" s="349"/>
      <c r="AR115" s="349"/>
      <c r="AT115" s="523"/>
      <c r="AU115" s="329" t="s">
        <v>509</v>
      </c>
      <c r="AV115" s="483">
        <v>272.8</v>
      </c>
      <c r="AW115" s="483">
        <v>156.19999999999999</v>
      </c>
      <c r="AX115" s="483">
        <v>211.2</v>
      </c>
      <c r="AY115" s="483">
        <v>171.6</v>
      </c>
      <c r="AZ115" s="483">
        <v>180.39999999999998</v>
      </c>
      <c r="BA115" s="483">
        <v>154</v>
      </c>
      <c r="BB115" s="349"/>
      <c r="BC115" s="349"/>
      <c r="BD115" s="349"/>
      <c r="BE115" s="349"/>
      <c r="BF115" s="349"/>
    </row>
    <row r="116" spans="4:58" ht="24" outlineLevel="1">
      <c r="D116" s="522" t="s">
        <v>466</v>
      </c>
      <c r="E116" s="329" t="s">
        <v>508</v>
      </c>
      <c r="F116" s="484" t="s">
        <v>627</v>
      </c>
      <c r="G116" s="484" t="s">
        <v>627</v>
      </c>
      <c r="H116" s="484" t="s">
        <v>627</v>
      </c>
      <c r="I116" s="484" t="s">
        <v>627</v>
      </c>
      <c r="J116" s="484" t="s">
        <v>627</v>
      </c>
      <c r="K116" s="484" t="s">
        <v>627</v>
      </c>
      <c r="L116" s="349"/>
      <c r="M116" s="349"/>
      <c r="N116" s="349"/>
      <c r="O116" s="349"/>
      <c r="P116" s="349"/>
      <c r="R116" s="522" t="s">
        <v>466</v>
      </c>
      <c r="S116" s="329" t="s">
        <v>508</v>
      </c>
      <c r="T116" s="484" t="s">
        <v>627</v>
      </c>
      <c r="U116" s="484" t="s">
        <v>627</v>
      </c>
      <c r="V116" s="484" t="s">
        <v>627</v>
      </c>
      <c r="W116" s="484" t="s">
        <v>627</v>
      </c>
      <c r="X116" s="484" t="s">
        <v>627</v>
      </c>
      <c r="Y116" s="484" t="s">
        <v>627</v>
      </c>
      <c r="Z116" s="349"/>
      <c r="AA116" s="349"/>
      <c r="AB116" s="349"/>
      <c r="AC116" s="349"/>
      <c r="AD116" s="349"/>
      <c r="AF116" s="522" t="s">
        <v>466</v>
      </c>
      <c r="AG116" s="329" t="s">
        <v>508</v>
      </c>
      <c r="AH116" s="484" t="s">
        <v>627</v>
      </c>
      <c r="AI116" s="484" t="s">
        <v>627</v>
      </c>
      <c r="AJ116" s="484" t="s">
        <v>627</v>
      </c>
      <c r="AK116" s="484" t="s">
        <v>627</v>
      </c>
      <c r="AL116" s="484" t="s">
        <v>627</v>
      </c>
      <c r="AM116" s="484" t="s">
        <v>627</v>
      </c>
      <c r="AN116" s="349"/>
      <c r="AO116" s="349"/>
      <c r="AP116" s="349"/>
      <c r="AQ116" s="349"/>
      <c r="AR116" s="349"/>
      <c r="AT116" s="522" t="s">
        <v>466</v>
      </c>
      <c r="AU116" s="329" t="s">
        <v>508</v>
      </c>
      <c r="AV116" s="484" t="s">
        <v>627</v>
      </c>
      <c r="AW116" s="484" t="s">
        <v>627</v>
      </c>
      <c r="AX116" s="484" t="s">
        <v>627</v>
      </c>
      <c r="AY116" s="484" t="s">
        <v>627</v>
      </c>
      <c r="AZ116" s="484" t="s">
        <v>627</v>
      </c>
      <c r="BA116" s="484" t="s">
        <v>627</v>
      </c>
      <c r="BB116" s="349"/>
      <c r="BC116" s="349"/>
      <c r="BD116" s="349"/>
      <c r="BE116" s="349"/>
      <c r="BF116" s="349"/>
    </row>
    <row r="117" spans="4:58" outlineLevel="1">
      <c r="D117" s="523"/>
      <c r="E117" s="329" t="s">
        <v>511</v>
      </c>
      <c r="F117" s="483">
        <v>283.5</v>
      </c>
      <c r="G117" s="483">
        <v>252.00000000000003</v>
      </c>
      <c r="H117" s="483">
        <v>225</v>
      </c>
      <c r="I117" s="483">
        <v>276.75</v>
      </c>
      <c r="J117" s="483">
        <v>256.5</v>
      </c>
      <c r="K117" s="483">
        <v>200.25</v>
      </c>
      <c r="L117" s="349"/>
      <c r="M117" s="349"/>
      <c r="N117" s="349"/>
      <c r="O117" s="349"/>
      <c r="P117" s="349"/>
      <c r="R117" s="523"/>
      <c r="S117" s="329" t="s">
        <v>509</v>
      </c>
      <c r="T117" s="483">
        <v>276.75</v>
      </c>
      <c r="U117" s="483">
        <v>272.25</v>
      </c>
      <c r="V117" s="483">
        <v>258.75</v>
      </c>
      <c r="W117" s="483">
        <v>175.5</v>
      </c>
      <c r="X117" s="483">
        <v>218.25</v>
      </c>
      <c r="Y117" s="483">
        <v>218.25</v>
      </c>
      <c r="Z117" s="349"/>
      <c r="AA117" s="349"/>
      <c r="AB117" s="349"/>
      <c r="AC117" s="349"/>
      <c r="AD117" s="349"/>
      <c r="AF117" s="523"/>
      <c r="AG117" s="329" t="s">
        <v>509</v>
      </c>
      <c r="AH117" s="483">
        <v>263.25</v>
      </c>
      <c r="AI117" s="483">
        <v>274.5</v>
      </c>
      <c r="AJ117" s="483">
        <v>211.5</v>
      </c>
      <c r="AK117" s="483">
        <v>182.25</v>
      </c>
      <c r="AL117" s="483">
        <v>256.5</v>
      </c>
      <c r="AM117" s="483">
        <v>265.5</v>
      </c>
      <c r="AN117" s="349"/>
      <c r="AO117" s="349"/>
      <c r="AP117" s="349"/>
      <c r="AQ117" s="349"/>
      <c r="AR117" s="349"/>
      <c r="AT117" s="523"/>
      <c r="AU117" s="329" t="s">
        <v>509</v>
      </c>
      <c r="AV117" s="483">
        <v>243.00000000000003</v>
      </c>
      <c r="AW117" s="483">
        <v>292.5</v>
      </c>
      <c r="AX117" s="483">
        <v>175.5</v>
      </c>
      <c r="AY117" s="483">
        <v>177.75</v>
      </c>
      <c r="AZ117" s="483">
        <v>211.5</v>
      </c>
      <c r="BA117" s="483">
        <v>285.75</v>
      </c>
      <c r="BB117" s="349"/>
      <c r="BC117" s="349"/>
      <c r="BD117" s="349"/>
      <c r="BE117" s="349"/>
      <c r="BF117" s="349"/>
    </row>
    <row r="118" spans="4:58" ht="24" outlineLevel="1">
      <c r="D118" s="522" t="s">
        <v>467</v>
      </c>
      <c r="E118" s="329" t="s">
        <v>508</v>
      </c>
      <c r="F118" s="484" t="s">
        <v>627</v>
      </c>
      <c r="G118" s="484" t="s">
        <v>627</v>
      </c>
      <c r="H118" s="484" t="s">
        <v>627</v>
      </c>
      <c r="I118" s="484" t="s">
        <v>627</v>
      </c>
      <c r="J118" s="484" t="s">
        <v>627</v>
      </c>
      <c r="K118" s="484" t="s">
        <v>627</v>
      </c>
      <c r="L118" s="349"/>
      <c r="M118" s="349"/>
      <c r="N118" s="349"/>
      <c r="O118" s="349"/>
      <c r="P118" s="349"/>
      <c r="R118" s="522" t="s">
        <v>467</v>
      </c>
      <c r="S118" s="329" t="s">
        <v>508</v>
      </c>
      <c r="T118" s="484" t="s">
        <v>627</v>
      </c>
      <c r="U118" s="484" t="s">
        <v>627</v>
      </c>
      <c r="V118" s="484" t="s">
        <v>627</v>
      </c>
      <c r="W118" s="484" t="s">
        <v>627</v>
      </c>
      <c r="X118" s="484" t="s">
        <v>627</v>
      </c>
      <c r="Y118" s="484" t="s">
        <v>627</v>
      </c>
      <c r="Z118" s="349"/>
      <c r="AA118" s="349"/>
      <c r="AB118" s="349"/>
      <c r="AC118" s="349"/>
      <c r="AD118" s="349"/>
      <c r="AF118" s="522" t="s">
        <v>467</v>
      </c>
      <c r="AG118" s="329" t="s">
        <v>508</v>
      </c>
      <c r="AH118" s="484" t="s">
        <v>627</v>
      </c>
      <c r="AI118" s="484" t="s">
        <v>627</v>
      </c>
      <c r="AJ118" s="484" t="s">
        <v>627</v>
      </c>
      <c r="AK118" s="484" t="s">
        <v>627</v>
      </c>
      <c r="AL118" s="484" t="s">
        <v>627</v>
      </c>
      <c r="AM118" s="484" t="s">
        <v>627</v>
      </c>
      <c r="AN118" s="349"/>
      <c r="AO118" s="349"/>
      <c r="AP118" s="349"/>
      <c r="AQ118" s="349"/>
      <c r="AR118" s="349"/>
      <c r="AT118" s="522" t="s">
        <v>467</v>
      </c>
      <c r="AU118" s="329" t="s">
        <v>508</v>
      </c>
      <c r="AV118" s="484" t="s">
        <v>627</v>
      </c>
      <c r="AW118" s="484" t="s">
        <v>627</v>
      </c>
      <c r="AX118" s="484" t="s">
        <v>627</v>
      </c>
      <c r="AY118" s="484" t="s">
        <v>627</v>
      </c>
      <c r="AZ118" s="484" t="s">
        <v>627</v>
      </c>
      <c r="BA118" s="484" t="s">
        <v>627</v>
      </c>
      <c r="BB118" s="349"/>
      <c r="BC118" s="349"/>
      <c r="BD118" s="349"/>
      <c r="BE118" s="349"/>
      <c r="BF118" s="349"/>
    </row>
    <row r="119" spans="4:58" outlineLevel="1">
      <c r="D119" s="523"/>
      <c r="E119" s="329" t="s">
        <v>511</v>
      </c>
      <c r="F119" s="483">
        <v>255.15</v>
      </c>
      <c r="G119" s="483">
        <v>381.15</v>
      </c>
      <c r="H119" s="483">
        <v>396.9</v>
      </c>
      <c r="I119" s="483">
        <v>337.05</v>
      </c>
      <c r="J119" s="483">
        <v>333.90000000000003</v>
      </c>
      <c r="K119" s="483">
        <v>318.14999999999998</v>
      </c>
      <c r="L119" s="349"/>
      <c r="M119" s="349"/>
      <c r="N119" s="349"/>
      <c r="O119" s="349"/>
      <c r="P119" s="349"/>
      <c r="R119" s="523"/>
      <c r="S119" s="329" t="s">
        <v>509</v>
      </c>
      <c r="T119" s="483">
        <v>233.1</v>
      </c>
      <c r="U119" s="483">
        <v>371.7</v>
      </c>
      <c r="V119" s="483">
        <v>337.05</v>
      </c>
      <c r="W119" s="483">
        <v>340.20000000000005</v>
      </c>
      <c r="X119" s="483">
        <v>236.25</v>
      </c>
      <c r="Y119" s="483">
        <v>261.45</v>
      </c>
      <c r="Z119" s="349"/>
      <c r="AA119" s="349"/>
      <c r="AB119" s="349"/>
      <c r="AC119" s="349"/>
      <c r="AD119" s="349"/>
      <c r="AF119" s="523"/>
      <c r="AG119" s="329" t="s">
        <v>509</v>
      </c>
      <c r="AH119" s="483">
        <v>396.9</v>
      </c>
      <c r="AI119" s="483">
        <v>264.59999999999997</v>
      </c>
      <c r="AJ119" s="483">
        <v>258.3</v>
      </c>
      <c r="AK119" s="483">
        <v>340.20000000000005</v>
      </c>
      <c r="AL119" s="483">
        <v>242.55</v>
      </c>
      <c r="AM119" s="483">
        <v>286.65000000000003</v>
      </c>
      <c r="AN119" s="349"/>
      <c r="AO119" s="349"/>
      <c r="AP119" s="349"/>
      <c r="AQ119" s="349"/>
      <c r="AR119" s="349"/>
      <c r="AT119" s="523"/>
      <c r="AU119" s="329" t="s">
        <v>509</v>
      </c>
      <c r="AV119" s="483">
        <v>239.4</v>
      </c>
      <c r="AW119" s="483">
        <v>371.7</v>
      </c>
      <c r="AX119" s="483">
        <v>359.09999999999997</v>
      </c>
      <c r="AY119" s="483">
        <v>324.45</v>
      </c>
      <c r="AZ119" s="483">
        <v>299.25</v>
      </c>
      <c r="BA119" s="483">
        <v>384.3</v>
      </c>
      <c r="BB119" s="349"/>
      <c r="BC119" s="349"/>
      <c r="BD119" s="349"/>
      <c r="BE119" s="349"/>
      <c r="BF119" s="349"/>
    </row>
    <row r="120" spans="4:58" ht="24" outlineLevel="1">
      <c r="D120" s="522" t="s">
        <v>468</v>
      </c>
      <c r="E120" s="329" t="s">
        <v>508</v>
      </c>
      <c r="F120" s="484" t="s">
        <v>627</v>
      </c>
      <c r="G120" s="484" t="s">
        <v>627</v>
      </c>
      <c r="H120" s="484" t="s">
        <v>627</v>
      </c>
      <c r="I120" s="484" t="s">
        <v>627</v>
      </c>
      <c r="J120" s="484" t="s">
        <v>627</v>
      </c>
      <c r="K120" s="484" t="s">
        <v>627</v>
      </c>
      <c r="L120" s="349"/>
      <c r="M120" s="349"/>
      <c r="N120" s="349"/>
      <c r="O120" s="349"/>
      <c r="P120" s="349"/>
      <c r="R120" s="522" t="s">
        <v>468</v>
      </c>
      <c r="S120" s="329" t="s">
        <v>508</v>
      </c>
      <c r="T120" s="484" t="s">
        <v>627</v>
      </c>
      <c r="U120" s="484" t="s">
        <v>627</v>
      </c>
      <c r="V120" s="484" t="s">
        <v>627</v>
      </c>
      <c r="W120" s="484" t="s">
        <v>627</v>
      </c>
      <c r="X120" s="484" t="s">
        <v>627</v>
      </c>
      <c r="Y120" s="484" t="s">
        <v>627</v>
      </c>
      <c r="Z120" s="349"/>
      <c r="AA120" s="349"/>
      <c r="AB120" s="349"/>
      <c r="AC120" s="349"/>
      <c r="AD120" s="349"/>
      <c r="AF120" s="522" t="s">
        <v>468</v>
      </c>
      <c r="AG120" s="329" t="s">
        <v>508</v>
      </c>
      <c r="AH120" s="484" t="s">
        <v>627</v>
      </c>
      <c r="AI120" s="484" t="s">
        <v>627</v>
      </c>
      <c r="AJ120" s="484" t="s">
        <v>627</v>
      </c>
      <c r="AK120" s="484" t="s">
        <v>627</v>
      </c>
      <c r="AL120" s="484" t="s">
        <v>627</v>
      </c>
      <c r="AM120" s="484" t="s">
        <v>627</v>
      </c>
      <c r="AN120" s="349"/>
      <c r="AO120" s="349"/>
      <c r="AP120" s="349"/>
      <c r="AQ120" s="349"/>
      <c r="AR120" s="349"/>
      <c r="AT120" s="522" t="s">
        <v>468</v>
      </c>
      <c r="AU120" s="329" t="s">
        <v>508</v>
      </c>
      <c r="AV120" s="484" t="s">
        <v>627</v>
      </c>
      <c r="AW120" s="484" t="s">
        <v>627</v>
      </c>
      <c r="AX120" s="484" t="s">
        <v>627</v>
      </c>
      <c r="AY120" s="484" t="s">
        <v>627</v>
      </c>
      <c r="AZ120" s="484" t="s">
        <v>627</v>
      </c>
      <c r="BA120" s="484" t="s">
        <v>627</v>
      </c>
      <c r="BB120" s="349"/>
      <c r="BC120" s="349"/>
      <c r="BD120" s="349"/>
      <c r="BE120" s="349"/>
      <c r="BF120" s="349"/>
    </row>
    <row r="121" spans="4:58" outlineLevel="1">
      <c r="D121" s="523"/>
      <c r="E121" s="329" t="s">
        <v>511</v>
      </c>
      <c r="F121" s="483">
        <v>462.00000000000006</v>
      </c>
      <c r="G121" s="483">
        <v>504</v>
      </c>
      <c r="H121" s="483">
        <v>516.6</v>
      </c>
      <c r="I121" s="483">
        <v>298.2</v>
      </c>
      <c r="J121" s="483">
        <v>516.6</v>
      </c>
      <c r="K121" s="483">
        <v>529.20000000000005</v>
      </c>
      <c r="L121" s="349"/>
      <c r="M121" s="349"/>
      <c r="N121" s="349"/>
      <c r="O121" s="349"/>
      <c r="P121" s="349"/>
      <c r="R121" s="523"/>
      <c r="S121" s="329" t="s">
        <v>509</v>
      </c>
      <c r="T121" s="483">
        <v>348.59999999999997</v>
      </c>
      <c r="U121" s="483">
        <v>323.40000000000003</v>
      </c>
      <c r="V121" s="483">
        <v>508.2</v>
      </c>
      <c r="W121" s="483">
        <v>508.2</v>
      </c>
      <c r="X121" s="483">
        <v>306.59999999999997</v>
      </c>
      <c r="Y121" s="483">
        <v>323.40000000000003</v>
      </c>
      <c r="Z121" s="349"/>
      <c r="AA121" s="349"/>
      <c r="AB121" s="349"/>
      <c r="AC121" s="349"/>
      <c r="AD121" s="349"/>
      <c r="AF121" s="523"/>
      <c r="AG121" s="329" t="s">
        <v>509</v>
      </c>
      <c r="AH121" s="483">
        <v>466.20000000000005</v>
      </c>
      <c r="AI121" s="483">
        <v>399</v>
      </c>
      <c r="AJ121" s="483">
        <v>482.99999999999994</v>
      </c>
      <c r="AK121" s="483">
        <v>357</v>
      </c>
      <c r="AL121" s="483">
        <v>432.6</v>
      </c>
      <c r="AM121" s="483">
        <v>432.6</v>
      </c>
      <c r="AN121" s="349"/>
      <c r="AO121" s="349"/>
      <c r="AP121" s="349"/>
      <c r="AQ121" s="349"/>
      <c r="AR121" s="349"/>
      <c r="AT121" s="523"/>
      <c r="AU121" s="329" t="s">
        <v>509</v>
      </c>
      <c r="AV121" s="483">
        <v>491.4</v>
      </c>
      <c r="AW121" s="483">
        <v>399</v>
      </c>
      <c r="AX121" s="483">
        <v>445.20000000000005</v>
      </c>
      <c r="AY121" s="483">
        <v>411.59999999999997</v>
      </c>
      <c r="AZ121" s="483">
        <v>478.79999999999995</v>
      </c>
      <c r="BA121" s="483">
        <v>336</v>
      </c>
      <c r="BB121" s="349"/>
      <c r="BC121" s="349"/>
      <c r="BD121" s="349"/>
      <c r="BE121" s="349"/>
      <c r="BF121" s="349"/>
    </row>
    <row r="122" spans="4:58" ht="24" outlineLevel="1">
      <c r="D122" s="522" t="s">
        <v>469</v>
      </c>
      <c r="E122" s="329" t="s">
        <v>508</v>
      </c>
      <c r="F122" s="484" t="s">
        <v>627</v>
      </c>
      <c r="G122" s="484" t="s">
        <v>627</v>
      </c>
      <c r="H122" s="484" t="s">
        <v>627</v>
      </c>
      <c r="I122" s="484" t="s">
        <v>627</v>
      </c>
      <c r="J122" s="484" t="s">
        <v>627</v>
      </c>
      <c r="K122" s="484" t="s">
        <v>627</v>
      </c>
      <c r="L122" s="349"/>
      <c r="M122" s="349"/>
      <c r="N122" s="349"/>
      <c r="O122" s="349"/>
      <c r="P122" s="349"/>
      <c r="R122" s="522" t="s">
        <v>469</v>
      </c>
      <c r="S122" s="329" t="s">
        <v>508</v>
      </c>
      <c r="T122" s="484" t="s">
        <v>627</v>
      </c>
      <c r="U122" s="484" t="s">
        <v>627</v>
      </c>
      <c r="V122" s="484" t="s">
        <v>627</v>
      </c>
      <c r="W122" s="484" t="s">
        <v>627</v>
      </c>
      <c r="X122" s="484" t="s">
        <v>627</v>
      </c>
      <c r="Y122" s="484" t="s">
        <v>627</v>
      </c>
      <c r="Z122" s="349"/>
      <c r="AA122" s="349"/>
      <c r="AB122" s="349"/>
      <c r="AC122" s="349"/>
      <c r="AD122" s="349"/>
      <c r="AF122" s="522" t="s">
        <v>469</v>
      </c>
      <c r="AG122" s="329" t="s">
        <v>508</v>
      </c>
      <c r="AH122" s="484" t="s">
        <v>627</v>
      </c>
      <c r="AI122" s="484" t="s">
        <v>627</v>
      </c>
      <c r="AJ122" s="484" t="s">
        <v>627</v>
      </c>
      <c r="AK122" s="484" t="s">
        <v>627</v>
      </c>
      <c r="AL122" s="484" t="s">
        <v>627</v>
      </c>
      <c r="AM122" s="484" t="s">
        <v>627</v>
      </c>
      <c r="AN122" s="349"/>
      <c r="AO122" s="349"/>
      <c r="AP122" s="349"/>
      <c r="AQ122" s="349"/>
      <c r="AR122" s="349"/>
      <c r="AT122" s="522" t="s">
        <v>469</v>
      </c>
      <c r="AU122" s="329" t="s">
        <v>508</v>
      </c>
      <c r="AV122" s="484" t="s">
        <v>627</v>
      </c>
      <c r="AW122" s="484" t="s">
        <v>627</v>
      </c>
      <c r="AX122" s="484" t="s">
        <v>627</v>
      </c>
      <c r="AY122" s="484" t="s">
        <v>627</v>
      </c>
      <c r="AZ122" s="484" t="s">
        <v>627</v>
      </c>
      <c r="BA122" s="484" t="s">
        <v>627</v>
      </c>
      <c r="BB122" s="349"/>
      <c r="BC122" s="349"/>
      <c r="BD122" s="349"/>
      <c r="BE122" s="349"/>
      <c r="BF122" s="349"/>
    </row>
    <row r="123" spans="4:58" outlineLevel="1">
      <c r="D123" s="523"/>
      <c r="E123" s="329" t="s">
        <v>511</v>
      </c>
      <c r="F123" s="483">
        <v>541.68000000000006</v>
      </c>
      <c r="G123" s="483">
        <v>570.95999999999992</v>
      </c>
      <c r="H123" s="483">
        <v>512.4</v>
      </c>
      <c r="I123" s="483">
        <v>600.24</v>
      </c>
      <c r="J123" s="483">
        <v>522.16000000000008</v>
      </c>
      <c r="K123" s="483">
        <v>551.43999999999994</v>
      </c>
      <c r="L123" s="349"/>
      <c r="M123" s="349"/>
      <c r="N123" s="349"/>
      <c r="O123" s="349"/>
      <c r="P123" s="349"/>
      <c r="R123" s="523"/>
      <c r="S123" s="329" t="s">
        <v>509</v>
      </c>
      <c r="T123" s="483">
        <v>570.95999999999992</v>
      </c>
      <c r="U123" s="483">
        <v>600.24</v>
      </c>
      <c r="V123" s="483">
        <v>610</v>
      </c>
      <c r="W123" s="483">
        <v>629.52</v>
      </c>
      <c r="X123" s="483">
        <v>605.12</v>
      </c>
      <c r="Y123" s="483">
        <v>541.68000000000006</v>
      </c>
      <c r="Z123" s="349"/>
      <c r="AA123" s="349"/>
      <c r="AB123" s="349"/>
      <c r="AC123" s="349"/>
      <c r="AD123" s="349"/>
      <c r="AF123" s="523"/>
      <c r="AG123" s="329" t="s">
        <v>509</v>
      </c>
      <c r="AH123" s="483">
        <v>605.12</v>
      </c>
      <c r="AI123" s="483">
        <v>424.56</v>
      </c>
      <c r="AJ123" s="483">
        <v>380.64</v>
      </c>
      <c r="AK123" s="483">
        <v>414.8</v>
      </c>
      <c r="AL123" s="483">
        <v>434.32</v>
      </c>
      <c r="AM123" s="483">
        <v>448.96000000000004</v>
      </c>
      <c r="AN123" s="349"/>
      <c r="AO123" s="349"/>
      <c r="AP123" s="349"/>
      <c r="AQ123" s="349"/>
      <c r="AR123" s="349"/>
      <c r="AT123" s="523"/>
      <c r="AU123" s="329" t="s">
        <v>509</v>
      </c>
      <c r="AV123" s="483">
        <v>405.03999999999996</v>
      </c>
      <c r="AW123" s="483">
        <v>434.32</v>
      </c>
      <c r="AX123" s="483">
        <v>414.8</v>
      </c>
      <c r="AY123" s="483">
        <v>351.36</v>
      </c>
      <c r="AZ123" s="483">
        <v>434.32</v>
      </c>
      <c r="BA123" s="483">
        <v>483.12</v>
      </c>
      <c r="BB123" s="349"/>
      <c r="BC123" s="349"/>
      <c r="BD123" s="349"/>
      <c r="BE123" s="349"/>
      <c r="BF123" s="349"/>
    </row>
    <row r="124" spans="4:58" ht="24" outlineLevel="1">
      <c r="D124" s="522" t="s">
        <v>470</v>
      </c>
      <c r="E124" s="329" t="s">
        <v>508</v>
      </c>
      <c r="F124" s="484" t="s">
        <v>627</v>
      </c>
      <c r="G124" s="484" t="s">
        <v>627</v>
      </c>
      <c r="H124" s="484" t="s">
        <v>627</v>
      </c>
      <c r="I124" s="484" t="s">
        <v>627</v>
      </c>
      <c r="J124" s="484" t="s">
        <v>627</v>
      </c>
      <c r="K124" s="484" t="s">
        <v>627</v>
      </c>
      <c r="L124" s="349"/>
      <c r="M124" s="349"/>
      <c r="N124" s="349"/>
      <c r="O124" s="349"/>
      <c r="P124" s="349"/>
      <c r="R124" s="522" t="s">
        <v>470</v>
      </c>
      <c r="S124" s="329" t="s">
        <v>508</v>
      </c>
      <c r="T124" s="484" t="s">
        <v>627</v>
      </c>
      <c r="U124" s="484" t="s">
        <v>627</v>
      </c>
      <c r="V124" s="484" t="s">
        <v>627</v>
      </c>
      <c r="W124" s="484" t="s">
        <v>627</v>
      </c>
      <c r="X124" s="484" t="s">
        <v>627</v>
      </c>
      <c r="Y124" s="484" t="s">
        <v>627</v>
      </c>
      <c r="Z124" s="349"/>
      <c r="AA124" s="349"/>
      <c r="AB124" s="349"/>
      <c r="AC124" s="349"/>
      <c r="AD124" s="349"/>
      <c r="AF124" s="522" t="s">
        <v>470</v>
      </c>
      <c r="AG124" s="329" t="s">
        <v>508</v>
      </c>
      <c r="AH124" s="484" t="s">
        <v>627</v>
      </c>
      <c r="AI124" s="484" t="s">
        <v>627</v>
      </c>
      <c r="AJ124" s="484" t="s">
        <v>627</v>
      </c>
      <c r="AK124" s="484" t="s">
        <v>627</v>
      </c>
      <c r="AL124" s="484" t="s">
        <v>627</v>
      </c>
      <c r="AM124" s="484" t="s">
        <v>627</v>
      </c>
      <c r="AN124" s="349"/>
      <c r="AO124" s="349"/>
      <c r="AP124" s="349"/>
      <c r="AQ124" s="349"/>
      <c r="AR124" s="349"/>
      <c r="AT124" s="522" t="s">
        <v>470</v>
      </c>
      <c r="AU124" s="329" t="s">
        <v>508</v>
      </c>
      <c r="AV124" s="484" t="s">
        <v>627</v>
      </c>
      <c r="AW124" s="484" t="s">
        <v>627</v>
      </c>
      <c r="AX124" s="484" t="s">
        <v>627</v>
      </c>
      <c r="AY124" s="484" t="s">
        <v>627</v>
      </c>
      <c r="AZ124" s="484" t="s">
        <v>627</v>
      </c>
      <c r="BA124" s="484" t="s">
        <v>627</v>
      </c>
      <c r="BB124" s="349"/>
      <c r="BC124" s="349"/>
      <c r="BD124" s="349"/>
      <c r="BE124" s="349"/>
      <c r="BF124" s="349"/>
    </row>
    <row r="125" spans="4:58" outlineLevel="1">
      <c r="D125" s="523"/>
      <c r="E125" s="329" t="s">
        <v>511</v>
      </c>
      <c r="F125" s="483">
        <v>643.5</v>
      </c>
      <c r="G125" s="483">
        <v>508.95</v>
      </c>
      <c r="H125" s="483">
        <v>456.3</v>
      </c>
      <c r="I125" s="483">
        <v>409.5</v>
      </c>
      <c r="J125" s="483">
        <v>731.25</v>
      </c>
      <c r="K125" s="483">
        <v>579.15</v>
      </c>
      <c r="L125" s="349"/>
      <c r="M125" s="349"/>
      <c r="N125" s="349"/>
      <c r="O125" s="349"/>
      <c r="P125" s="349"/>
      <c r="R125" s="523"/>
      <c r="S125" s="329" t="s">
        <v>509</v>
      </c>
      <c r="T125" s="483">
        <v>702</v>
      </c>
      <c r="U125" s="483">
        <v>661.05</v>
      </c>
      <c r="V125" s="483">
        <v>468</v>
      </c>
      <c r="W125" s="483">
        <v>754.65</v>
      </c>
      <c r="X125" s="483">
        <v>637.65000000000009</v>
      </c>
      <c r="Y125" s="483">
        <v>520.65</v>
      </c>
      <c r="Z125" s="349"/>
      <c r="AA125" s="349"/>
      <c r="AB125" s="349"/>
      <c r="AC125" s="349"/>
      <c r="AD125" s="349"/>
      <c r="AF125" s="523"/>
      <c r="AG125" s="329" t="s">
        <v>509</v>
      </c>
      <c r="AH125" s="483">
        <v>555.75</v>
      </c>
      <c r="AI125" s="483">
        <v>473.85</v>
      </c>
      <c r="AJ125" s="483">
        <v>456.3</v>
      </c>
      <c r="AK125" s="483">
        <v>590.85</v>
      </c>
      <c r="AL125" s="483">
        <v>468</v>
      </c>
      <c r="AM125" s="483">
        <v>514.79999999999995</v>
      </c>
      <c r="AN125" s="349"/>
      <c r="AO125" s="349"/>
      <c r="AP125" s="349"/>
      <c r="AQ125" s="349"/>
      <c r="AR125" s="349"/>
      <c r="AT125" s="523"/>
      <c r="AU125" s="329" t="s">
        <v>509</v>
      </c>
      <c r="AV125" s="483">
        <v>415.34999999999997</v>
      </c>
      <c r="AW125" s="483">
        <v>579.15</v>
      </c>
      <c r="AX125" s="483">
        <v>409.5</v>
      </c>
      <c r="AY125" s="483">
        <v>590.85</v>
      </c>
      <c r="AZ125" s="483">
        <v>649.35</v>
      </c>
      <c r="BA125" s="483">
        <v>690.3</v>
      </c>
      <c r="BB125" s="349"/>
      <c r="BC125" s="349"/>
      <c r="BD125" s="349"/>
      <c r="BE125" s="349"/>
      <c r="BF125" s="349"/>
    </row>
    <row r="126" spans="4:58" ht="24" outlineLevel="1">
      <c r="D126" s="522" t="s">
        <v>471</v>
      </c>
      <c r="E126" s="329" t="s">
        <v>508</v>
      </c>
      <c r="F126" s="484" t="s">
        <v>627</v>
      </c>
      <c r="G126" s="484" t="s">
        <v>627</v>
      </c>
      <c r="H126" s="484" t="s">
        <v>627</v>
      </c>
      <c r="I126" s="484" t="s">
        <v>627</v>
      </c>
      <c r="J126" s="484" t="s">
        <v>627</v>
      </c>
      <c r="K126" s="484" t="s">
        <v>627</v>
      </c>
      <c r="L126" s="349"/>
      <c r="M126" s="349"/>
      <c r="N126" s="349"/>
      <c r="O126" s="349"/>
      <c r="P126" s="349"/>
      <c r="R126" s="522" t="s">
        <v>471</v>
      </c>
      <c r="S126" s="329" t="s">
        <v>508</v>
      </c>
      <c r="T126" s="484" t="s">
        <v>627</v>
      </c>
      <c r="U126" s="484" t="s">
        <v>627</v>
      </c>
      <c r="V126" s="484" t="s">
        <v>627</v>
      </c>
      <c r="W126" s="484" t="s">
        <v>627</v>
      </c>
      <c r="X126" s="484" t="s">
        <v>627</v>
      </c>
      <c r="Y126" s="484" t="s">
        <v>627</v>
      </c>
      <c r="Z126" s="349"/>
      <c r="AA126" s="349"/>
      <c r="AB126" s="349"/>
      <c r="AC126" s="349"/>
      <c r="AD126" s="349"/>
      <c r="AF126" s="522" t="s">
        <v>471</v>
      </c>
      <c r="AG126" s="329" t="s">
        <v>508</v>
      </c>
      <c r="AH126" s="484" t="s">
        <v>627</v>
      </c>
      <c r="AI126" s="484" t="s">
        <v>627</v>
      </c>
      <c r="AJ126" s="484" t="s">
        <v>627</v>
      </c>
      <c r="AK126" s="484" t="s">
        <v>627</v>
      </c>
      <c r="AL126" s="484" t="s">
        <v>627</v>
      </c>
      <c r="AM126" s="484" t="s">
        <v>627</v>
      </c>
      <c r="AN126" s="349"/>
      <c r="AO126" s="349"/>
      <c r="AP126" s="349"/>
      <c r="AQ126" s="349"/>
      <c r="AR126" s="349"/>
      <c r="AT126" s="522" t="s">
        <v>471</v>
      </c>
      <c r="AU126" s="329" t="s">
        <v>508</v>
      </c>
      <c r="AV126" s="484" t="s">
        <v>627</v>
      </c>
      <c r="AW126" s="484" t="s">
        <v>627</v>
      </c>
      <c r="AX126" s="484" t="s">
        <v>627</v>
      </c>
      <c r="AY126" s="484" t="s">
        <v>627</v>
      </c>
      <c r="AZ126" s="484" t="s">
        <v>627</v>
      </c>
      <c r="BA126" s="484" t="s">
        <v>627</v>
      </c>
      <c r="BB126" s="349"/>
      <c r="BC126" s="349"/>
      <c r="BD126" s="349"/>
      <c r="BE126" s="349"/>
      <c r="BF126" s="349"/>
    </row>
    <row r="127" spans="4:58" outlineLevel="1">
      <c r="D127" s="523"/>
      <c r="E127" s="329" t="s">
        <v>511</v>
      </c>
      <c r="F127" s="483">
        <v>785.44999999999993</v>
      </c>
      <c r="G127" s="483">
        <v>560.05999999999995</v>
      </c>
      <c r="H127" s="483">
        <v>587.38</v>
      </c>
      <c r="I127" s="483">
        <v>805.93999999999994</v>
      </c>
      <c r="J127" s="483">
        <v>881.07</v>
      </c>
      <c r="K127" s="483">
        <v>792.28</v>
      </c>
      <c r="L127" s="349"/>
      <c r="M127" s="349"/>
      <c r="N127" s="349"/>
      <c r="O127" s="349"/>
      <c r="P127" s="349"/>
      <c r="R127" s="523"/>
      <c r="S127" s="329" t="s">
        <v>509</v>
      </c>
      <c r="T127" s="483">
        <v>853.75</v>
      </c>
      <c r="U127" s="483">
        <v>614.70000000000005</v>
      </c>
      <c r="V127" s="483">
        <v>840.09</v>
      </c>
      <c r="W127" s="483">
        <v>478.09999999999997</v>
      </c>
      <c r="X127" s="483">
        <v>703.49</v>
      </c>
      <c r="Y127" s="483">
        <v>648.85</v>
      </c>
      <c r="Z127" s="349"/>
      <c r="AA127" s="349"/>
      <c r="AB127" s="349"/>
      <c r="AC127" s="349"/>
      <c r="AD127" s="349"/>
      <c r="AF127" s="523"/>
      <c r="AG127" s="329" t="s">
        <v>509</v>
      </c>
      <c r="AH127" s="483">
        <v>553.23</v>
      </c>
      <c r="AI127" s="483">
        <v>621.53</v>
      </c>
      <c r="AJ127" s="483">
        <v>771.79</v>
      </c>
      <c r="AK127" s="483">
        <v>730.81000000000006</v>
      </c>
      <c r="AL127" s="483">
        <v>737.6400000000001</v>
      </c>
      <c r="AM127" s="483">
        <v>853.75</v>
      </c>
      <c r="AN127" s="349"/>
      <c r="AO127" s="349"/>
      <c r="AP127" s="349"/>
      <c r="AQ127" s="349"/>
      <c r="AR127" s="349"/>
      <c r="AT127" s="523"/>
      <c r="AU127" s="329" t="s">
        <v>509</v>
      </c>
      <c r="AV127" s="483">
        <v>519.08000000000004</v>
      </c>
      <c r="AW127" s="483">
        <v>478.09999999999997</v>
      </c>
      <c r="AX127" s="483">
        <v>594.21</v>
      </c>
      <c r="AY127" s="483">
        <v>785.44999999999993</v>
      </c>
      <c r="AZ127" s="483">
        <v>655.68</v>
      </c>
      <c r="BA127" s="483">
        <v>826.43</v>
      </c>
      <c r="BB127" s="349"/>
      <c r="BC127" s="349"/>
      <c r="BD127" s="349"/>
      <c r="BE127" s="349"/>
      <c r="BF127" s="349"/>
    </row>
    <row r="128" spans="4:58" ht="24" outlineLevel="1">
      <c r="D128" s="522" t="s">
        <v>472</v>
      </c>
      <c r="E128" s="329" t="s">
        <v>508</v>
      </c>
      <c r="F128" s="484" t="s">
        <v>627</v>
      </c>
      <c r="G128" s="484" t="s">
        <v>627</v>
      </c>
      <c r="H128" s="484" t="s">
        <v>627</v>
      </c>
      <c r="I128" s="484" t="s">
        <v>627</v>
      </c>
      <c r="J128" s="484" t="s">
        <v>627</v>
      </c>
      <c r="K128" s="484" t="s">
        <v>627</v>
      </c>
      <c r="L128" s="349"/>
      <c r="M128" s="349"/>
      <c r="N128" s="349"/>
      <c r="O128" s="349"/>
      <c r="P128" s="349"/>
      <c r="R128" s="522" t="s">
        <v>472</v>
      </c>
      <c r="S128" s="329" t="s">
        <v>508</v>
      </c>
      <c r="T128" s="484" t="s">
        <v>627</v>
      </c>
      <c r="U128" s="484" t="s">
        <v>627</v>
      </c>
      <c r="V128" s="484" t="s">
        <v>627</v>
      </c>
      <c r="W128" s="484" t="s">
        <v>627</v>
      </c>
      <c r="X128" s="484" t="s">
        <v>627</v>
      </c>
      <c r="Y128" s="484" t="s">
        <v>627</v>
      </c>
      <c r="Z128" s="349"/>
      <c r="AA128" s="349"/>
      <c r="AB128" s="349"/>
      <c r="AC128" s="349"/>
      <c r="AD128" s="349"/>
      <c r="AF128" s="522" t="s">
        <v>472</v>
      </c>
      <c r="AG128" s="329" t="s">
        <v>508</v>
      </c>
      <c r="AH128" s="484" t="s">
        <v>627</v>
      </c>
      <c r="AI128" s="484" t="s">
        <v>627</v>
      </c>
      <c r="AJ128" s="484" t="s">
        <v>627</v>
      </c>
      <c r="AK128" s="484" t="s">
        <v>627</v>
      </c>
      <c r="AL128" s="484" t="s">
        <v>627</v>
      </c>
      <c r="AM128" s="484" t="s">
        <v>627</v>
      </c>
      <c r="AN128" s="349"/>
      <c r="AO128" s="349"/>
      <c r="AP128" s="349"/>
      <c r="AQ128" s="349"/>
      <c r="AR128" s="349"/>
      <c r="AT128" s="522" t="s">
        <v>472</v>
      </c>
      <c r="AU128" s="329" t="s">
        <v>508</v>
      </c>
      <c r="AV128" s="484" t="s">
        <v>627</v>
      </c>
      <c r="AW128" s="484" t="s">
        <v>627</v>
      </c>
      <c r="AX128" s="484" t="s">
        <v>627</v>
      </c>
      <c r="AY128" s="484" t="s">
        <v>627</v>
      </c>
      <c r="AZ128" s="484" t="s">
        <v>627</v>
      </c>
      <c r="BA128" s="484" t="s">
        <v>627</v>
      </c>
      <c r="BB128" s="349"/>
      <c r="BC128" s="349"/>
      <c r="BD128" s="349"/>
      <c r="BE128" s="349"/>
      <c r="BF128" s="349"/>
    </row>
    <row r="129" spans="4:58" outlineLevel="1">
      <c r="D129" s="523"/>
      <c r="E129" s="329" t="s">
        <v>511</v>
      </c>
      <c r="F129" s="483">
        <v>936</v>
      </c>
      <c r="G129" s="483">
        <v>647.4</v>
      </c>
      <c r="H129" s="483">
        <v>967.2</v>
      </c>
      <c r="I129" s="483">
        <v>889.19999999999993</v>
      </c>
      <c r="J129" s="483">
        <v>717.6</v>
      </c>
      <c r="K129" s="483">
        <v>686.4</v>
      </c>
      <c r="L129" s="349"/>
      <c r="M129" s="349"/>
      <c r="N129" s="349"/>
      <c r="O129" s="349"/>
      <c r="P129" s="349"/>
      <c r="R129" s="523"/>
      <c r="S129" s="329" t="s">
        <v>509</v>
      </c>
      <c r="T129" s="483">
        <v>850.2</v>
      </c>
      <c r="U129" s="483">
        <v>686.4</v>
      </c>
      <c r="V129" s="483">
        <v>663</v>
      </c>
      <c r="W129" s="483">
        <v>865.80000000000007</v>
      </c>
      <c r="X129" s="483">
        <v>928.19999999999993</v>
      </c>
      <c r="Y129" s="483">
        <v>655.19999999999993</v>
      </c>
      <c r="Z129" s="349"/>
      <c r="AA129" s="349"/>
      <c r="AB129" s="349"/>
      <c r="AC129" s="349"/>
      <c r="AD129" s="349"/>
      <c r="AF129" s="523"/>
      <c r="AG129" s="329" t="s">
        <v>509</v>
      </c>
      <c r="AH129" s="483">
        <v>928.19999999999993</v>
      </c>
      <c r="AI129" s="483">
        <v>896.99999999999989</v>
      </c>
      <c r="AJ129" s="483">
        <v>803.4</v>
      </c>
      <c r="AK129" s="483">
        <v>975</v>
      </c>
      <c r="AL129" s="483">
        <v>904.8</v>
      </c>
      <c r="AM129" s="483">
        <v>748.8</v>
      </c>
      <c r="AN129" s="349"/>
      <c r="AO129" s="349"/>
      <c r="AP129" s="349"/>
      <c r="AQ129" s="349"/>
      <c r="AR129" s="349"/>
      <c r="AT129" s="523"/>
      <c r="AU129" s="329" t="s">
        <v>509</v>
      </c>
      <c r="AV129" s="483">
        <v>959.4</v>
      </c>
      <c r="AW129" s="483">
        <v>655.19999999999993</v>
      </c>
      <c r="AX129" s="483">
        <v>772.2</v>
      </c>
      <c r="AY129" s="483">
        <v>936</v>
      </c>
      <c r="AZ129" s="483">
        <v>756.6</v>
      </c>
      <c r="BA129" s="483">
        <v>647.4</v>
      </c>
      <c r="BB129" s="349"/>
      <c r="BC129" s="349"/>
      <c r="BD129" s="349"/>
      <c r="BE129" s="349"/>
      <c r="BF129" s="349"/>
    </row>
    <row r="130" spans="4:58" ht="24" outlineLevel="1">
      <c r="D130" s="522" t="s">
        <v>473</v>
      </c>
      <c r="E130" s="329" t="s">
        <v>508</v>
      </c>
      <c r="F130" s="484" t="s">
        <v>627</v>
      </c>
      <c r="G130" s="484" t="s">
        <v>627</v>
      </c>
      <c r="H130" s="484" t="s">
        <v>627</v>
      </c>
      <c r="I130" s="484" t="s">
        <v>627</v>
      </c>
      <c r="J130" s="484" t="s">
        <v>627</v>
      </c>
      <c r="K130" s="484" t="s">
        <v>627</v>
      </c>
      <c r="L130" s="349"/>
      <c r="M130" s="349"/>
      <c r="N130" s="349"/>
      <c r="O130" s="349"/>
      <c r="P130" s="349"/>
      <c r="R130" s="522" t="s">
        <v>473</v>
      </c>
      <c r="S130" s="329" t="s">
        <v>508</v>
      </c>
      <c r="T130" s="484" t="s">
        <v>627</v>
      </c>
      <c r="U130" s="484" t="s">
        <v>627</v>
      </c>
      <c r="V130" s="484" t="s">
        <v>627</v>
      </c>
      <c r="W130" s="484" t="s">
        <v>627</v>
      </c>
      <c r="X130" s="484" t="s">
        <v>627</v>
      </c>
      <c r="Y130" s="484" t="s">
        <v>627</v>
      </c>
      <c r="Z130" s="349"/>
      <c r="AA130" s="349"/>
      <c r="AB130" s="349"/>
      <c r="AC130" s="349"/>
      <c r="AD130" s="349"/>
      <c r="AF130" s="522" t="s">
        <v>473</v>
      </c>
      <c r="AG130" s="329" t="s">
        <v>508</v>
      </c>
      <c r="AH130" s="484" t="s">
        <v>627</v>
      </c>
      <c r="AI130" s="484" t="s">
        <v>627</v>
      </c>
      <c r="AJ130" s="484" t="s">
        <v>627</v>
      </c>
      <c r="AK130" s="484" t="s">
        <v>627</v>
      </c>
      <c r="AL130" s="484" t="s">
        <v>627</v>
      </c>
      <c r="AM130" s="484" t="s">
        <v>627</v>
      </c>
      <c r="AN130" s="349"/>
      <c r="AO130" s="349"/>
      <c r="AP130" s="349"/>
      <c r="AQ130" s="349"/>
      <c r="AR130" s="349"/>
      <c r="AT130" s="522" t="s">
        <v>473</v>
      </c>
      <c r="AU130" s="329" t="s">
        <v>508</v>
      </c>
      <c r="AV130" s="484" t="s">
        <v>627</v>
      </c>
      <c r="AW130" s="484" t="s">
        <v>627</v>
      </c>
      <c r="AX130" s="484" t="s">
        <v>627</v>
      </c>
      <c r="AY130" s="484" t="s">
        <v>627</v>
      </c>
      <c r="AZ130" s="484" t="s">
        <v>627</v>
      </c>
      <c r="BA130" s="484" t="s">
        <v>627</v>
      </c>
      <c r="BB130" s="349"/>
      <c r="BC130" s="349"/>
      <c r="BD130" s="349"/>
      <c r="BE130" s="349"/>
      <c r="BF130" s="349"/>
    </row>
    <row r="131" spans="4:58" outlineLevel="1">
      <c r="D131" s="523"/>
      <c r="E131" s="329" t="s">
        <v>511</v>
      </c>
      <c r="F131" s="483">
        <v>711.18000000000006</v>
      </c>
      <c r="G131" s="483">
        <v>816.54000000000008</v>
      </c>
      <c r="H131" s="483">
        <v>957.0200000000001</v>
      </c>
      <c r="I131" s="483">
        <v>649.72</v>
      </c>
      <c r="J131" s="483">
        <v>834.09999999999991</v>
      </c>
      <c r="K131" s="483">
        <v>763.86</v>
      </c>
      <c r="L131" s="349"/>
      <c r="M131" s="349"/>
      <c r="N131" s="349"/>
      <c r="O131" s="349"/>
      <c r="P131" s="349"/>
      <c r="R131" s="523"/>
      <c r="S131" s="329" t="s">
        <v>509</v>
      </c>
      <c r="T131" s="483">
        <v>1141.4000000000001</v>
      </c>
      <c r="U131" s="483">
        <v>869.22</v>
      </c>
      <c r="V131" s="483">
        <v>851.66</v>
      </c>
      <c r="W131" s="483">
        <v>1141.4000000000001</v>
      </c>
      <c r="X131" s="483">
        <v>684.84</v>
      </c>
      <c r="Y131" s="483">
        <v>623.38</v>
      </c>
      <c r="Z131" s="349"/>
      <c r="AA131" s="349"/>
      <c r="AB131" s="349"/>
      <c r="AC131" s="349"/>
      <c r="AD131" s="349"/>
      <c r="AF131" s="523"/>
      <c r="AG131" s="329" t="s">
        <v>509</v>
      </c>
      <c r="AH131" s="483">
        <v>1088.72</v>
      </c>
      <c r="AI131" s="483">
        <v>930.68000000000006</v>
      </c>
      <c r="AJ131" s="483">
        <v>1036.04</v>
      </c>
      <c r="AK131" s="483">
        <v>816.54000000000008</v>
      </c>
      <c r="AL131" s="483">
        <v>1106.28</v>
      </c>
      <c r="AM131" s="483">
        <v>1115.06</v>
      </c>
      <c r="AN131" s="349"/>
      <c r="AO131" s="349"/>
      <c r="AP131" s="349"/>
      <c r="AQ131" s="349"/>
      <c r="AR131" s="349"/>
      <c r="AT131" s="523"/>
      <c r="AU131" s="329" t="s">
        <v>509</v>
      </c>
      <c r="AV131" s="483">
        <v>1141.4000000000001</v>
      </c>
      <c r="AW131" s="483">
        <v>772.64</v>
      </c>
      <c r="AX131" s="483">
        <v>834.09999999999991</v>
      </c>
      <c r="AY131" s="483">
        <v>640.93999999999994</v>
      </c>
      <c r="AZ131" s="483">
        <v>755.08</v>
      </c>
      <c r="BA131" s="483">
        <v>851.66</v>
      </c>
      <c r="BB131" s="349"/>
      <c r="BC131" s="349"/>
      <c r="BD131" s="349"/>
      <c r="BE131" s="349"/>
      <c r="BF131" s="349"/>
    </row>
    <row r="132" spans="4:58" ht="24" outlineLevel="1">
      <c r="D132" s="522" t="s">
        <v>474</v>
      </c>
      <c r="E132" s="329" t="s">
        <v>508</v>
      </c>
      <c r="F132" s="484" t="s">
        <v>627</v>
      </c>
      <c r="G132" s="484" t="s">
        <v>627</v>
      </c>
      <c r="H132" s="484" t="s">
        <v>627</v>
      </c>
      <c r="I132" s="484" t="s">
        <v>627</v>
      </c>
      <c r="J132" s="484" t="s">
        <v>627</v>
      </c>
      <c r="K132" s="484" t="s">
        <v>627</v>
      </c>
      <c r="L132" s="349"/>
      <c r="M132" s="349"/>
      <c r="N132" s="349"/>
      <c r="O132" s="349"/>
      <c r="P132" s="349"/>
      <c r="R132" s="522" t="s">
        <v>474</v>
      </c>
      <c r="S132" s="329" t="s">
        <v>508</v>
      </c>
      <c r="T132" s="484" t="s">
        <v>627</v>
      </c>
      <c r="U132" s="484" t="s">
        <v>627</v>
      </c>
      <c r="V132" s="484" t="s">
        <v>627</v>
      </c>
      <c r="W132" s="484" t="s">
        <v>627</v>
      </c>
      <c r="X132" s="484" t="s">
        <v>627</v>
      </c>
      <c r="Y132" s="484" t="s">
        <v>627</v>
      </c>
      <c r="Z132" s="349"/>
      <c r="AA132" s="349"/>
      <c r="AB132" s="349"/>
      <c r="AC132" s="349"/>
      <c r="AD132" s="349"/>
      <c r="AF132" s="522" t="s">
        <v>474</v>
      </c>
      <c r="AG132" s="329" t="s">
        <v>508</v>
      </c>
      <c r="AH132" s="484" t="s">
        <v>627</v>
      </c>
      <c r="AI132" s="484" t="s">
        <v>627</v>
      </c>
      <c r="AJ132" s="484" t="s">
        <v>627</v>
      </c>
      <c r="AK132" s="484" t="s">
        <v>627</v>
      </c>
      <c r="AL132" s="484" t="s">
        <v>627</v>
      </c>
      <c r="AM132" s="484" t="s">
        <v>627</v>
      </c>
      <c r="AN132" s="349"/>
      <c r="AO132" s="349"/>
      <c r="AP132" s="349"/>
      <c r="AQ132" s="349"/>
      <c r="AR132" s="349"/>
      <c r="AT132" s="522" t="s">
        <v>474</v>
      </c>
      <c r="AU132" s="329" t="s">
        <v>508</v>
      </c>
      <c r="AV132" s="484" t="s">
        <v>627</v>
      </c>
      <c r="AW132" s="484" t="s">
        <v>627</v>
      </c>
      <c r="AX132" s="484" t="s">
        <v>627</v>
      </c>
      <c r="AY132" s="484" t="s">
        <v>627</v>
      </c>
      <c r="AZ132" s="484" t="s">
        <v>627</v>
      </c>
      <c r="BA132" s="484" t="s">
        <v>627</v>
      </c>
      <c r="BB132" s="349"/>
      <c r="BC132" s="349"/>
      <c r="BD132" s="349"/>
      <c r="BE132" s="349"/>
      <c r="BF132" s="349"/>
    </row>
    <row r="133" spans="4:58" outlineLevel="1">
      <c r="D133" s="523"/>
      <c r="E133" s="329" t="s">
        <v>511</v>
      </c>
      <c r="F133" s="483">
        <v>634.74</v>
      </c>
      <c r="G133" s="483">
        <v>706.26</v>
      </c>
      <c r="H133" s="483">
        <v>920.82</v>
      </c>
      <c r="I133" s="483">
        <v>894</v>
      </c>
      <c r="J133" s="483">
        <v>965.5200000000001</v>
      </c>
      <c r="K133" s="483">
        <v>1153.26</v>
      </c>
      <c r="L133" s="349"/>
      <c r="M133" s="349"/>
      <c r="N133" s="349"/>
      <c r="O133" s="349"/>
      <c r="P133" s="349"/>
      <c r="R133" s="523"/>
      <c r="S133" s="329" t="s">
        <v>509</v>
      </c>
      <c r="T133" s="483">
        <v>894</v>
      </c>
      <c r="U133" s="483">
        <v>804.6</v>
      </c>
      <c r="V133" s="483">
        <v>867.18</v>
      </c>
      <c r="W133" s="483">
        <v>1162.2</v>
      </c>
      <c r="X133" s="483">
        <v>1144.32</v>
      </c>
      <c r="Y133" s="483">
        <v>1063.8599999999999</v>
      </c>
      <c r="Z133" s="349"/>
      <c r="AA133" s="349"/>
      <c r="AB133" s="349"/>
      <c r="AC133" s="349"/>
      <c r="AD133" s="349"/>
      <c r="AF133" s="523"/>
      <c r="AG133" s="329" t="s">
        <v>509</v>
      </c>
      <c r="AH133" s="483">
        <v>688.38</v>
      </c>
      <c r="AI133" s="483">
        <v>1028.0999999999999</v>
      </c>
      <c r="AJ133" s="483">
        <v>902.94</v>
      </c>
      <c r="AK133" s="483">
        <v>643.67999999999995</v>
      </c>
      <c r="AL133" s="483">
        <v>956.58</v>
      </c>
      <c r="AM133" s="483">
        <v>697.32</v>
      </c>
      <c r="AN133" s="349"/>
      <c r="AO133" s="349"/>
      <c r="AP133" s="349"/>
      <c r="AQ133" s="349"/>
      <c r="AR133" s="349"/>
      <c r="AT133" s="523"/>
      <c r="AU133" s="329" t="s">
        <v>509</v>
      </c>
      <c r="AV133" s="483">
        <v>750.95999999999992</v>
      </c>
      <c r="AW133" s="483">
        <v>697.32</v>
      </c>
      <c r="AX133" s="483">
        <v>742.02</v>
      </c>
      <c r="AY133" s="483">
        <v>902.94</v>
      </c>
      <c r="AZ133" s="483">
        <v>634.74</v>
      </c>
      <c r="BA133" s="483">
        <v>938.7</v>
      </c>
      <c r="BB133" s="349"/>
      <c r="BC133" s="349"/>
      <c r="BD133" s="349"/>
      <c r="BE133" s="349"/>
      <c r="BF133" s="349"/>
    </row>
    <row r="134" spans="4:58" ht="24" outlineLevel="1">
      <c r="D134" s="522" t="s">
        <v>475</v>
      </c>
      <c r="E134" s="329" t="s">
        <v>508</v>
      </c>
      <c r="F134" s="484" t="s">
        <v>627</v>
      </c>
      <c r="G134" s="484" t="s">
        <v>627</v>
      </c>
      <c r="H134" s="484" t="s">
        <v>627</v>
      </c>
      <c r="I134" s="484" t="s">
        <v>627</v>
      </c>
      <c r="J134" s="484" t="s">
        <v>627</v>
      </c>
      <c r="K134" s="484" t="s">
        <v>627</v>
      </c>
      <c r="L134" s="349"/>
      <c r="M134" s="349"/>
      <c r="N134" s="349"/>
      <c r="O134" s="349"/>
      <c r="P134" s="349"/>
      <c r="R134" s="522" t="s">
        <v>475</v>
      </c>
      <c r="S134" s="329" t="s">
        <v>508</v>
      </c>
      <c r="T134" s="484" t="s">
        <v>627</v>
      </c>
      <c r="U134" s="484" t="s">
        <v>627</v>
      </c>
      <c r="V134" s="484" t="s">
        <v>627</v>
      </c>
      <c r="W134" s="484" t="s">
        <v>627</v>
      </c>
      <c r="X134" s="484" t="s">
        <v>627</v>
      </c>
      <c r="Y134" s="484" t="s">
        <v>627</v>
      </c>
      <c r="Z134" s="349"/>
      <c r="AA134" s="349"/>
      <c r="AB134" s="349"/>
      <c r="AC134" s="349"/>
      <c r="AD134" s="349"/>
      <c r="AF134" s="522" t="s">
        <v>475</v>
      </c>
      <c r="AG134" s="329" t="s">
        <v>508</v>
      </c>
      <c r="AH134" s="484" t="s">
        <v>627</v>
      </c>
      <c r="AI134" s="484" t="s">
        <v>627</v>
      </c>
      <c r="AJ134" s="484" t="s">
        <v>627</v>
      </c>
      <c r="AK134" s="484" t="s">
        <v>627</v>
      </c>
      <c r="AL134" s="484" t="s">
        <v>627</v>
      </c>
      <c r="AM134" s="484" t="s">
        <v>627</v>
      </c>
      <c r="AN134" s="349"/>
      <c r="AO134" s="349"/>
      <c r="AP134" s="349"/>
      <c r="AQ134" s="349"/>
      <c r="AR134" s="349"/>
      <c r="AT134" s="522" t="s">
        <v>475</v>
      </c>
      <c r="AU134" s="329" t="s">
        <v>508</v>
      </c>
      <c r="AV134" s="484" t="s">
        <v>627</v>
      </c>
      <c r="AW134" s="484" t="s">
        <v>627</v>
      </c>
      <c r="AX134" s="484" t="s">
        <v>627</v>
      </c>
      <c r="AY134" s="484" t="s">
        <v>627</v>
      </c>
      <c r="AZ134" s="484" t="s">
        <v>627</v>
      </c>
      <c r="BA134" s="484" t="s">
        <v>627</v>
      </c>
      <c r="BB134" s="349"/>
      <c r="BC134" s="349"/>
      <c r="BD134" s="349"/>
      <c r="BE134" s="349"/>
      <c r="BF134" s="349"/>
    </row>
    <row r="135" spans="4:58" outlineLevel="1">
      <c r="D135" s="523"/>
      <c r="E135" s="329" t="s">
        <v>511</v>
      </c>
      <c r="F135" s="483">
        <v>992.83</v>
      </c>
      <c r="G135" s="483">
        <v>874.87</v>
      </c>
      <c r="H135" s="483">
        <v>796.23</v>
      </c>
      <c r="I135" s="483">
        <v>806.06</v>
      </c>
      <c r="J135" s="483">
        <v>992.83</v>
      </c>
      <c r="K135" s="483">
        <v>1238.58</v>
      </c>
      <c r="L135" s="349"/>
      <c r="M135" s="349"/>
      <c r="N135" s="349"/>
      <c r="O135" s="349"/>
      <c r="P135" s="349"/>
      <c r="R135" s="523"/>
      <c r="S135" s="329" t="s">
        <v>509</v>
      </c>
      <c r="T135" s="483">
        <v>943.68</v>
      </c>
      <c r="U135" s="483">
        <v>1140.28</v>
      </c>
      <c r="V135" s="483">
        <v>845.38</v>
      </c>
      <c r="W135" s="483">
        <v>1199.26</v>
      </c>
      <c r="X135" s="483">
        <v>924.02</v>
      </c>
      <c r="Y135" s="483">
        <v>747.08</v>
      </c>
      <c r="Z135" s="349"/>
      <c r="AA135" s="349"/>
      <c r="AB135" s="349"/>
      <c r="AC135" s="349"/>
      <c r="AD135" s="349"/>
      <c r="AF135" s="523"/>
      <c r="AG135" s="329" t="s">
        <v>509</v>
      </c>
      <c r="AH135" s="483">
        <v>865.04</v>
      </c>
      <c r="AI135" s="483">
        <v>1169.77</v>
      </c>
      <c r="AJ135" s="483">
        <v>1248.4100000000001</v>
      </c>
      <c r="AK135" s="483">
        <v>1091.1300000000001</v>
      </c>
      <c r="AL135" s="483">
        <v>894.53000000000009</v>
      </c>
      <c r="AM135" s="483">
        <v>1022.32</v>
      </c>
      <c r="AN135" s="349"/>
      <c r="AO135" s="349"/>
      <c r="AP135" s="349"/>
      <c r="AQ135" s="349"/>
      <c r="AR135" s="349"/>
      <c r="AT135" s="523"/>
      <c r="AU135" s="329" t="s">
        <v>509</v>
      </c>
      <c r="AV135" s="483">
        <v>766.74</v>
      </c>
      <c r="AW135" s="483">
        <v>796.23</v>
      </c>
      <c r="AX135" s="483">
        <v>815.89</v>
      </c>
      <c r="AY135" s="483">
        <v>1268.07</v>
      </c>
      <c r="AZ135" s="483">
        <v>707.76</v>
      </c>
      <c r="BA135" s="483">
        <v>914.19</v>
      </c>
      <c r="BB135" s="349"/>
      <c r="BC135" s="349"/>
      <c r="BD135" s="349"/>
      <c r="BE135" s="349"/>
      <c r="BF135" s="349"/>
    </row>
    <row r="136" spans="4:58" ht="24" outlineLevel="1">
      <c r="D136" s="522" t="s">
        <v>476</v>
      </c>
      <c r="E136" s="329" t="s">
        <v>508</v>
      </c>
      <c r="F136" s="484" t="s">
        <v>627</v>
      </c>
      <c r="G136" s="484" t="s">
        <v>627</v>
      </c>
      <c r="H136" s="484" t="s">
        <v>627</v>
      </c>
      <c r="I136" s="484" t="s">
        <v>627</v>
      </c>
      <c r="J136" s="484" t="s">
        <v>627</v>
      </c>
      <c r="K136" s="484" t="s">
        <v>627</v>
      </c>
      <c r="L136" s="349"/>
      <c r="M136" s="349"/>
      <c r="N136" s="349"/>
      <c r="O136" s="349"/>
      <c r="P136" s="349"/>
      <c r="R136" s="522" t="s">
        <v>476</v>
      </c>
      <c r="S136" s="329" t="s">
        <v>508</v>
      </c>
      <c r="T136" s="484" t="s">
        <v>627</v>
      </c>
      <c r="U136" s="484" t="s">
        <v>627</v>
      </c>
      <c r="V136" s="484" t="s">
        <v>627</v>
      </c>
      <c r="W136" s="484" t="s">
        <v>627</v>
      </c>
      <c r="X136" s="484" t="s">
        <v>627</v>
      </c>
      <c r="Y136" s="484" t="s">
        <v>627</v>
      </c>
      <c r="Z136" s="349"/>
      <c r="AA136" s="349"/>
      <c r="AB136" s="349"/>
      <c r="AC136" s="349"/>
      <c r="AD136" s="349"/>
      <c r="AF136" s="522" t="s">
        <v>476</v>
      </c>
      <c r="AG136" s="329" t="s">
        <v>508</v>
      </c>
      <c r="AH136" s="484" t="s">
        <v>627</v>
      </c>
      <c r="AI136" s="484" t="s">
        <v>627</v>
      </c>
      <c r="AJ136" s="484" t="s">
        <v>627</v>
      </c>
      <c r="AK136" s="484" t="s">
        <v>627</v>
      </c>
      <c r="AL136" s="484" t="s">
        <v>627</v>
      </c>
      <c r="AM136" s="484" t="s">
        <v>627</v>
      </c>
      <c r="AN136" s="349"/>
      <c r="AO136" s="349"/>
      <c r="AP136" s="349"/>
      <c r="AQ136" s="349"/>
      <c r="AR136" s="349"/>
      <c r="AT136" s="522" t="s">
        <v>476</v>
      </c>
      <c r="AU136" s="329" t="s">
        <v>508</v>
      </c>
      <c r="AV136" s="484" t="s">
        <v>627</v>
      </c>
      <c r="AW136" s="484" t="s">
        <v>627</v>
      </c>
      <c r="AX136" s="484" t="s">
        <v>627</v>
      </c>
      <c r="AY136" s="484" t="s">
        <v>627</v>
      </c>
      <c r="AZ136" s="484" t="s">
        <v>627</v>
      </c>
      <c r="BA136" s="484" t="s">
        <v>627</v>
      </c>
      <c r="BB136" s="349"/>
      <c r="BC136" s="349"/>
      <c r="BD136" s="349"/>
      <c r="BE136" s="349"/>
      <c r="BF136" s="349"/>
    </row>
    <row r="137" spans="4:58" outlineLevel="1">
      <c r="D137" s="523"/>
      <c r="E137" s="329" t="s">
        <v>511</v>
      </c>
      <c r="F137" s="483">
        <v>1201.7600000000002</v>
      </c>
      <c r="G137" s="483">
        <v>804.75</v>
      </c>
      <c r="H137" s="483">
        <v>1191.0300000000002</v>
      </c>
      <c r="I137" s="483">
        <v>1169.5700000000002</v>
      </c>
      <c r="J137" s="483">
        <v>1191.0300000000002</v>
      </c>
      <c r="K137" s="483">
        <v>1180.3000000000002</v>
      </c>
      <c r="L137" s="349"/>
      <c r="M137" s="349"/>
      <c r="N137" s="349"/>
      <c r="O137" s="349"/>
      <c r="P137" s="349"/>
      <c r="R137" s="523"/>
      <c r="S137" s="329" t="s">
        <v>509</v>
      </c>
      <c r="T137" s="483">
        <v>1094.46</v>
      </c>
      <c r="U137" s="483">
        <v>1105.19</v>
      </c>
      <c r="V137" s="483">
        <v>858.40000000000009</v>
      </c>
      <c r="W137" s="483">
        <v>1105.19</v>
      </c>
      <c r="X137" s="483">
        <v>1255.4099999999999</v>
      </c>
      <c r="Y137" s="483">
        <v>1394.9</v>
      </c>
      <c r="Z137" s="349"/>
      <c r="AA137" s="349"/>
      <c r="AB137" s="349"/>
      <c r="AC137" s="349"/>
      <c r="AD137" s="349"/>
      <c r="AF137" s="523"/>
      <c r="AG137" s="329" t="s">
        <v>509</v>
      </c>
      <c r="AH137" s="483">
        <v>1266.1399999999999</v>
      </c>
      <c r="AI137" s="483">
        <v>933.51</v>
      </c>
      <c r="AJ137" s="483">
        <v>1051.54</v>
      </c>
      <c r="AK137" s="483">
        <v>901.31999999999994</v>
      </c>
      <c r="AL137" s="483">
        <v>1062.27</v>
      </c>
      <c r="AM137" s="483">
        <v>751.09999999999991</v>
      </c>
      <c r="AN137" s="349"/>
      <c r="AO137" s="349"/>
      <c r="AP137" s="349"/>
      <c r="AQ137" s="349"/>
      <c r="AR137" s="349"/>
      <c r="AT137" s="523"/>
      <c r="AU137" s="329" t="s">
        <v>509</v>
      </c>
      <c r="AV137" s="483">
        <v>1309.06</v>
      </c>
      <c r="AW137" s="483">
        <v>1244.6799999999998</v>
      </c>
      <c r="AX137" s="483">
        <v>1309.06</v>
      </c>
      <c r="AY137" s="483">
        <v>1330.52</v>
      </c>
      <c r="AZ137" s="483">
        <v>761.82999999999993</v>
      </c>
      <c r="BA137" s="483">
        <v>1233.9499999999998</v>
      </c>
      <c r="BB137" s="349"/>
      <c r="BC137" s="349"/>
      <c r="BD137" s="349"/>
      <c r="BE137" s="349"/>
      <c r="BF137" s="349"/>
    </row>
    <row r="138" spans="4:58" ht="24" outlineLevel="1">
      <c r="D138" s="522" t="s">
        <v>477</v>
      </c>
      <c r="E138" s="329" t="s">
        <v>508</v>
      </c>
      <c r="F138" s="484" t="s">
        <v>627</v>
      </c>
      <c r="G138" s="484" t="s">
        <v>627</v>
      </c>
      <c r="H138" s="484" t="s">
        <v>627</v>
      </c>
      <c r="I138" s="484" t="s">
        <v>627</v>
      </c>
      <c r="J138" s="484" t="s">
        <v>627</v>
      </c>
      <c r="K138" s="484" t="s">
        <v>627</v>
      </c>
      <c r="L138" s="349"/>
      <c r="M138" s="349"/>
      <c r="N138" s="349"/>
      <c r="O138" s="349"/>
      <c r="P138" s="349"/>
      <c r="R138" s="522" t="s">
        <v>477</v>
      </c>
      <c r="S138" s="329" t="s">
        <v>508</v>
      </c>
      <c r="T138" s="484" t="s">
        <v>627</v>
      </c>
      <c r="U138" s="484" t="s">
        <v>627</v>
      </c>
      <c r="V138" s="484" t="s">
        <v>627</v>
      </c>
      <c r="W138" s="484" t="s">
        <v>627</v>
      </c>
      <c r="X138" s="484" t="s">
        <v>627</v>
      </c>
      <c r="Y138" s="484" t="s">
        <v>627</v>
      </c>
      <c r="Z138" s="349"/>
      <c r="AA138" s="349"/>
      <c r="AB138" s="349"/>
      <c r="AC138" s="349"/>
      <c r="AD138" s="349"/>
      <c r="AF138" s="522" t="s">
        <v>477</v>
      </c>
      <c r="AG138" s="329" t="s">
        <v>508</v>
      </c>
      <c r="AH138" s="484" t="s">
        <v>627</v>
      </c>
      <c r="AI138" s="484" t="s">
        <v>627</v>
      </c>
      <c r="AJ138" s="484" t="s">
        <v>627</v>
      </c>
      <c r="AK138" s="484" t="s">
        <v>627</v>
      </c>
      <c r="AL138" s="484" t="s">
        <v>627</v>
      </c>
      <c r="AM138" s="484" t="s">
        <v>627</v>
      </c>
      <c r="AN138" s="349"/>
      <c r="AO138" s="349"/>
      <c r="AP138" s="349"/>
      <c r="AQ138" s="349"/>
      <c r="AR138" s="349"/>
      <c r="AT138" s="522" t="s">
        <v>477</v>
      </c>
      <c r="AU138" s="329" t="s">
        <v>508</v>
      </c>
      <c r="AV138" s="484" t="s">
        <v>627</v>
      </c>
      <c r="AW138" s="484" t="s">
        <v>627</v>
      </c>
      <c r="AX138" s="484" t="s">
        <v>627</v>
      </c>
      <c r="AY138" s="484" t="s">
        <v>627</v>
      </c>
      <c r="AZ138" s="484" t="s">
        <v>627</v>
      </c>
      <c r="BA138" s="484" t="s">
        <v>627</v>
      </c>
      <c r="BB138" s="349"/>
      <c r="BC138" s="349"/>
      <c r="BD138" s="349"/>
      <c r="BE138" s="349"/>
      <c r="BF138" s="349"/>
    </row>
    <row r="139" spans="4:58" outlineLevel="1">
      <c r="D139" s="523"/>
      <c r="E139" s="329" t="s">
        <v>511</v>
      </c>
      <c r="F139" s="483">
        <v>1260.54</v>
      </c>
      <c r="G139" s="483">
        <v>1716.48</v>
      </c>
      <c r="H139" s="483">
        <v>1139.8499999999999</v>
      </c>
      <c r="I139" s="483">
        <v>1099.6199999999999</v>
      </c>
      <c r="J139" s="483">
        <v>1609.2</v>
      </c>
      <c r="K139" s="483">
        <v>1059.3900000000001</v>
      </c>
      <c r="L139" s="349"/>
      <c r="M139" s="349"/>
      <c r="N139" s="349"/>
      <c r="O139" s="349"/>
      <c r="P139" s="349"/>
      <c r="R139" s="523"/>
      <c r="S139" s="329" t="s">
        <v>509</v>
      </c>
      <c r="T139" s="483">
        <v>1113.03</v>
      </c>
      <c r="U139" s="483">
        <v>1032.57</v>
      </c>
      <c r="V139" s="483">
        <v>1568.9699999999998</v>
      </c>
      <c r="W139" s="483">
        <v>1086.21</v>
      </c>
      <c r="X139" s="483">
        <v>1113.03</v>
      </c>
      <c r="Y139" s="483">
        <v>1434.8700000000001</v>
      </c>
      <c r="Z139" s="349"/>
      <c r="AA139" s="349"/>
      <c r="AB139" s="349"/>
      <c r="AC139" s="349"/>
      <c r="AD139" s="349"/>
      <c r="AF139" s="523"/>
      <c r="AG139" s="329" t="s">
        <v>509</v>
      </c>
      <c r="AH139" s="483">
        <v>1582.3799999999999</v>
      </c>
      <c r="AI139" s="483">
        <v>1636.02</v>
      </c>
      <c r="AJ139" s="483">
        <v>1434.8700000000001</v>
      </c>
      <c r="AK139" s="483">
        <v>1019.16</v>
      </c>
      <c r="AL139" s="483">
        <v>1072.8</v>
      </c>
      <c r="AM139" s="483">
        <v>1287.3599999999999</v>
      </c>
      <c r="AN139" s="349"/>
      <c r="AO139" s="349"/>
      <c r="AP139" s="349"/>
      <c r="AQ139" s="349"/>
      <c r="AR139" s="349"/>
      <c r="AT139" s="523"/>
      <c r="AU139" s="329" t="s">
        <v>509</v>
      </c>
      <c r="AV139" s="483">
        <v>1528.7399999999998</v>
      </c>
      <c r="AW139" s="483">
        <v>1408.05</v>
      </c>
      <c r="AX139" s="483">
        <v>1045.98</v>
      </c>
      <c r="AY139" s="483">
        <v>965.52</v>
      </c>
      <c r="AZ139" s="483">
        <v>1273.95</v>
      </c>
      <c r="BA139" s="483">
        <v>1139.8499999999999</v>
      </c>
      <c r="BB139" s="349"/>
      <c r="BC139" s="349"/>
      <c r="BD139" s="349"/>
      <c r="BE139" s="349"/>
      <c r="BF139" s="349"/>
    </row>
    <row r="140" spans="4:58" ht="24" outlineLevel="1">
      <c r="D140" s="522" t="s">
        <v>478</v>
      </c>
      <c r="E140" s="329" t="s">
        <v>508</v>
      </c>
      <c r="F140" s="484" t="s">
        <v>627</v>
      </c>
      <c r="G140" s="484" t="s">
        <v>627</v>
      </c>
      <c r="H140" s="484" t="s">
        <v>627</v>
      </c>
      <c r="I140" s="484" t="s">
        <v>627</v>
      </c>
      <c r="J140" s="484" t="s">
        <v>627</v>
      </c>
      <c r="K140" s="484" t="s">
        <v>627</v>
      </c>
      <c r="L140" s="349"/>
      <c r="M140" s="349"/>
      <c r="N140" s="349"/>
      <c r="O140" s="349"/>
      <c r="P140" s="349"/>
      <c r="R140" s="522" t="s">
        <v>478</v>
      </c>
      <c r="S140" s="329" t="s">
        <v>508</v>
      </c>
      <c r="T140" s="484" t="s">
        <v>627</v>
      </c>
      <c r="U140" s="484" t="s">
        <v>627</v>
      </c>
      <c r="V140" s="484" t="s">
        <v>627</v>
      </c>
      <c r="W140" s="484" t="s">
        <v>627</v>
      </c>
      <c r="X140" s="484" t="s">
        <v>627</v>
      </c>
      <c r="Y140" s="484" t="s">
        <v>627</v>
      </c>
      <c r="Z140" s="349"/>
      <c r="AA140" s="349"/>
      <c r="AB140" s="349"/>
      <c r="AC140" s="349"/>
      <c r="AD140" s="349"/>
      <c r="AF140" s="522" t="s">
        <v>478</v>
      </c>
      <c r="AG140" s="329" t="s">
        <v>508</v>
      </c>
      <c r="AH140" s="484" t="s">
        <v>627</v>
      </c>
      <c r="AI140" s="484" t="s">
        <v>627</v>
      </c>
      <c r="AJ140" s="484" t="s">
        <v>627</v>
      </c>
      <c r="AK140" s="484" t="s">
        <v>627</v>
      </c>
      <c r="AL140" s="484" t="s">
        <v>627</v>
      </c>
      <c r="AM140" s="484" t="s">
        <v>627</v>
      </c>
      <c r="AN140" s="349"/>
      <c r="AO140" s="349"/>
      <c r="AP140" s="349"/>
      <c r="AQ140" s="349"/>
      <c r="AR140" s="349"/>
      <c r="AT140" s="522" t="s">
        <v>478</v>
      </c>
      <c r="AU140" s="329" t="s">
        <v>508</v>
      </c>
      <c r="AV140" s="484" t="s">
        <v>627</v>
      </c>
      <c r="AW140" s="484" t="s">
        <v>627</v>
      </c>
      <c r="AX140" s="484" t="s">
        <v>627</v>
      </c>
      <c r="AY140" s="484" t="s">
        <v>627</v>
      </c>
      <c r="AZ140" s="484" t="s">
        <v>627</v>
      </c>
      <c r="BA140" s="484" t="s">
        <v>627</v>
      </c>
      <c r="BB140" s="349"/>
      <c r="BC140" s="349"/>
      <c r="BD140" s="349"/>
      <c r="BE140" s="349"/>
      <c r="BF140" s="349"/>
    </row>
    <row r="141" spans="4:58">
      <c r="D141" s="523"/>
      <c r="E141" s="329" t="s">
        <v>511</v>
      </c>
      <c r="F141" s="483">
        <v>1527.5</v>
      </c>
      <c r="G141" s="483">
        <v>1998.75</v>
      </c>
      <c r="H141" s="483">
        <v>1332.5</v>
      </c>
      <c r="I141" s="483">
        <v>1137.5</v>
      </c>
      <c r="J141" s="483">
        <v>1998.75</v>
      </c>
      <c r="K141" s="483">
        <v>1186.25</v>
      </c>
      <c r="L141" s="349"/>
      <c r="M141" s="349"/>
      <c r="N141" s="349"/>
      <c r="O141" s="349"/>
      <c r="P141" s="349"/>
      <c r="R141" s="523"/>
      <c r="S141" s="329" t="s">
        <v>509</v>
      </c>
      <c r="T141" s="483">
        <v>1202.5</v>
      </c>
      <c r="U141" s="483">
        <v>1836.2499999999998</v>
      </c>
      <c r="V141" s="483">
        <v>1884.9999999999998</v>
      </c>
      <c r="W141" s="483">
        <v>1917.5</v>
      </c>
      <c r="X141" s="483">
        <v>2096.25</v>
      </c>
      <c r="Y141" s="483">
        <v>2015</v>
      </c>
      <c r="Z141" s="349"/>
      <c r="AA141" s="349"/>
      <c r="AB141" s="349"/>
      <c r="AC141" s="349"/>
      <c r="AD141" s="349"/>
      <c r="AF141" s="523"/>
      <c r="AG141" s="329" t="s">
        <v>509</v>
      </c>
      <c r="AH141" s="483">
        <v>1316.25</v>
      </c>
      <c r="AI141" s="483">
        <v>1966.25</v>
      </c>
      <c r="AJ141" s="483">
        <v>1917.5</v>
      </c>
      <c r="AK141" s="483">
        <v>1901.2499999999998</v>
      </c>
      <c r="AL141" s="483">
        <v>1884.9999999999998</v>
      </c>
      <c r="AM141" s="483">
        <v>1998.75</v>
      </c>
      <c r="AN141" s="349"/>
      <c r="AO141" s="349"/>
      <c r="AP141" s="349"/>
      <c r="AQ141" s="349"/>
      <c r="AR141" s="349"/>
      <c r="AT141" s="523"/>
      <c r="AU141" s="329" t="s">
        <v>509</v>
      </c>
      <c r="AV141" s="483">
        <v>1576.25</v>
      </c>
      <c r="AW141" s="483">
        <v>2015</v>
      </c>
      <c r="AX141" s="483">
        <v>2080</v>
      </c>
      <c r="AY141" s="483">
        <v>1365</v>
      </c>
      <c r="AZ141" s="483">
        <v>1283.75</v>
      </c>
      <c r="BA141" s="483">
        <v>1283.75</v>
      </c>
      <c r="BB141" s="349"/>
      <c r="BC141" s="349"/>
      <c r="BD141" s="349"/>
      <c r="BE141" s="349"/>
      <c r="BF141" s="349"/>
    </row>
    <row r="142" spans="4:58">
      <c r="D142" s="69"/>
    </row>
    <row r="143" spans="4:58" ht="11.25" customHeight="1"/>
    <row r="146" spans="4:58" ht="15.75">
      <c r="D146" s="33" t="s">
        <v>628</v>
      </c>
      <c r="Q146" s="33"/>
      <c r="R146" s="33" t="s">
        <v>629</v>
      </c>
      <c r="AF146" s="33" t="s">
        <v>629</v>
      </c>
      <c r="AT146" s="33" t="s">
        <v>629</v>
      </c>
    </row>
    <row r="147" spans="4:58" ht="15.75">
      <c r="D147" s="33" t="s">
        <v>623</v>
      </c>
      <c r="R147" s="33" t="s">
        <v>624</v>
      </c>
      <c r="AF147" s="33" t="s">
        <v>625</v>
      </c>
      <c r="AT147" s="33" t="s">
        <v>626</v>
      </c>
    </row>
    <row r="148" spans="4:58">
      <c r="D148" s="119" t="s">
        <v>186</v>
      </c>
      <c r="R148" s="119" t="s">
        <v>186</v>
      </c>
      <c r="AF148" s="119" t="s">
        <v>186</v>
      </c>
      <c r="AT148" s="119" t="s">
        <v>186</v>
      </c>
    </row>
    <row r="149" spans="4:58">
      <c r="D149" s="565" t="s">
        <v>442</v>
      </c>
      <c r="E149" s="565"/>
      <c r="F149" s="338">
        <v>2009</v>
      </c>
      <c r="G149" s="338">
        <v>2010</v>
      </c>
      <c r="H149" s="338">
        <v>2011</v>
      </c>
      <c r="I149" s="338">
        <v>2012</v>
      </c>
      <c r="J149" s="338">
        <v>2013</v>
      </c>
      <c r="K149" s="338">
        <v>2014</v>
      </c>
      <c r="L149" s="338">
        <v>2015</v>
      </c>
      <c r="M149" s="338">
        <v>2016</v>
      </c>
      <c r="N149" s="338">
        <v>2017</v>
      </c>
      <c r="O149" s="338">
        <v>2018</v>
      </c>
      <c r="P149" s="338">
        <v>2019</v>
      </c>
      <c r="R149" s="565" t="s">
        <v>442</v>
      </c>
      <c r="S149" s="565"/>
      <c r="T149" s="338">
        <v>2009</v>
      </c>
      <c r="U149" s="338">
        <v>2010</v>
      </c>
      <c r="V149" s="338">
        <v>2011</v>
      </c>
      <c r="W149" s="338">
        <v>2012</v>
      </c>
      <c r="X149" s="338">
        <v>2013</v>
      </c>
      <c r="Y149" s="338">
        <v>2014</v>
      </c>
      <c r="Z149" s="338">
        <v>2015</v>
      </c>
      <c r="AA149" s="338">
        <v>2016</v>
      </c>
      <c r="AB149" s="338">
        <v>2017</v>
      </c>
      <c r="AC149" s="338">
        <v>2018</v>
      </c>
      <c r="AD149" s="338">
        <v>2019</v>
      </c>
      <c r="AF149" s="565" t="s">
        <v>442</v>
      </c>
      <c r="AG149" s="565"/>
      <c r="AH149" s="338">
        <v>2009</v>
      </c>
      <c r="AI149" s="338">
        <v>2010</v>
      </c>
      <c r="AJ149" s="338">
        <v>2011</v>
      </c>
      <c r="AK149" s="338">
        <v>2012</v>
      </c>
      <c r="AL149" s="338">
        <v>2013</v>
      </c>
      <c r="AM149" s="338">
        <v>2014</v>
      </c>
      <c r="AN149" s="338">
        <v>2015</v>
      </c>
      <c r="AO149" s="338">
        <v>2016</v>
      </c>
      <c r="AP149" s="338">
        <v>2017</v>
      </c>
      <c r="AQ149" s="338">
        <v>2018</v>
      </c>
      <c r="AR149" s="338">
        <v>2019</v>
      </c>
      <c r="AT149" s="565" t="s">
        <v>442</v>
      </c>
      <c r="AU149" s="565"/>
      <c r="AV149" s="338">
        <v>2009</v>
      </c>
      <c r="AW149" s="338">
        <v>2010</v>
      </c>
      <c r="AX149" s="338">
        <v>2011</v>
      </c>
      <c r="AY149" s="338">
        <v>2012</v>
      </c>
      <c r="AZ149" s="338">
        <v>2013</v>
      </c>
      <c r="BA149" s="338">
        <v>2014</v>
      </c>
      <c r="BB149" s="338">
        <v>2015</v>
      </c>
      <c r="BC149" s="338">
        <v>2016</v>
      </c>
      <c r="BD149" s="338">
        <v>2017</v>
      </c>
      <c r="BE149" s="338">
        <v>2018</v>
      </c>
      <c r="BF149" s="338">
        <v>2019</v>
      </c>
    </row>
    <row r="150" spans="4:58">
      <c r="D150" s="518" t="s">
        <v>443</v>
      </c>
      <c r="E150" s="329" t="s">
        <v>508</v>
      </c>
      <c r="F150" s="485">
        <v>5895.04</v>
      </c>
      <c r="G150" s="485">
        <v>5750.08</v>
      </c>
      <c r="H150" s="485">
        <v>5701.7599999999993</v>
      </c>
      <c r="I150" s="485">
        <v>4010.56</v>
      </c>
      <c r="J150" s="485">
        <v>3672.32</v>
      </c>
      <c r="K150" s="485">
        <v>6184.96</v>
      </c>
      <c r="L150" s="349"/>
      <c r="M150" s="349"/>
      <c r="N150" s="349"/>
      <c r="O150" s="349"/>
      <c r="P150" s="349"/>
      <c r="R150" s="518" t="s">
        <v>443</v>
      </c>
      <c r="S150" s="329" t="s">
        <v>508</v>
      </c>
      <c r="T150" s="483">
        <v>4445.7</v>
      </c>
      <c r="U150" s="483">
        <v>6029.7999999999993</v>
      </c>
      <c r="V150" s="483">
        <v>6183.0999999999995</v>
      </c>
      <c r="W150" s="483">
        <v>4650.1000000000004</v>
      </c>
      <c r="X150" s="483">
        <v>4905.5999999999995</v>
      </c>
      <c r="Y150" s="483">
        <v>6183.0999999999995</v>
      </c>
      <c r="Z150" s="349"/>
      <c r="AA150" s="349"/>
      <c r="AB150" s="349"/>
      <c r="AC150" s="349"/>
      <c r="AD150" s="349"/>
      <c r="AF150" s="518" t="s">
        <v>443</v>
      </c>
      <c r="AG150" s="329" t="s">
        <v>508</v>
      </c>
      <c r="AH150" s="483">
        <v>5200.42</v>
      </c>
      <c r="AI150" s="483">
        <v>6167.9400000000005</v>
      </c>
      <c r="AJ150" s="483">
        <v>6591.2300000000005</v>
      </c>
      <c r="AK150" s="483">
        <v>7800.63</v>
      </c>
      <c r="AL150" s="483">
        <v>6591.2300000000005</v>
      </c>
      <c r="AM150" s="483">
        <v>7256.4</v>
      </c>
      <c r="AN150" s="349"/>
      <c r="AO150" s="349"/>
      <c r="AP150" s="349"/>
      <c r="AQ150" s="349"/>
      <c r="AR150" s="349"/>
      <c r="AT150" s="518" t="s">
        <v>443</v>
      </c>
      <c r="AU150" s="329" t="s">
        <v>508</v>
      </c>
      <c r="AV150" s="483">
        <v>8288.68</v>
      </c>
      <c r="AW150" s="483">
        <v>7269.5800000000008</v>
      </c>
      <c r="AX150" s="483">
        <v>8356.619999999999</v>
      </c>
      <c r="AY150" s="483">
        <v>5842.84</v>
      </c>
      <c r="AZ150" s="483">
        <v>5163.4400000000005</v>
      </c>
      <c r="BA150" s="483">
        <v>6726.0599999999995</v>
      </c>
      <c r="BB150" s="349"/>
      <c r="BC150" s="349"/>
      <c r="BD150" s="349"/>
      <c r="BE150" s="349"/>
      <c r="BF150" s="349"/>
    </row>
    <row r="151" spans="4:58">
      <c r="D151" s="519"/>
      <c r="E151" s="329" t="s">
        <v>509</v>
      </c>
      <c r="F151" s="483">
        <v>11.57</v>
      </c>
      <c r="G151" s="483">
        <v>9.6199999999999992</v>
      </c>
      <c r="H151" s="483">
        <v>16.12</v>
      </c>
      <c r="I151" s="483">
        <v>16.38</v>
      </c>
      <c r="J151" s="483">
        <v>13.26</v>
      </c>
      <c r="K151" s="483">
        <v>14.560000000000002</v>
      </c>
      <c r="L151" s="349"/>
      <c r="M151" s="349"/>
      <c r="N151" s="349"/>
      <c r="O151" s="349"/>
      <c r="P151" s="349"/>
      <c r="R151" s="519"/>
      <c r="S151" s="329" t="s">
        <v>509</v>
      </c>
      <c r="T151" s="483">
        <v>9.99</v>
      </c>
      <c r="U151" s="483">
        <v>11.61</v>
      </c>
      <c r="V151" s="483">
        <v>7.2</v>
      </c>
      <c r="W151" s="483">
        <v>10.080000000000002</v>
      </c>
      <c r="X151" s="483">
        <v>10.169999999999998</v>
      </c>
      <c r="Y151" s="483">
        <v>11.52</v>
      </c>
      <c r="Z151" s="349"/>
      <c r="AA151" s="349"/>
      <c r="AB151" s="349"/>
      <c r="AC151" s="349"/>
      <c r="AD151" s="349"/>
      <c r="AF151" s="519"/>
      <c r="AG151" s="329" t="s">
        <v>509</v>
      </c>
      <c r="AH151" s="483">
        <v>2.13</v>
      </c>
      <c r="AI151" s="483">
        <v>2.0999999999999996</v>
      </c>
      <c r="AJ151" s="483">
        <v>3.51</v>
      </c>
      <c r="AK151" s="483">
        <v>3.4799999999999995</v>
      </c>
      <c r="AL151" s="483">
        <v>3.66</v>
      </c>
      <c r="AM151" s="483">
        <v>3.81</v>
      </c>
      <c r="AN151" s="349"/>
      <c r="AO151" s="349"/>
      <c r="AP151" s="349"/>
      <c r="AQ151" s="349"/>
      <c r="AR151" s="349"/>
      <c r="AT151" s="519"/>
      <c r="AU151" s="329" t="s">
        <v>509</v>
      </c>
      <c r="AV151" s="483">
        <v>3.5999999999999996</v>
      </c>
      <c r="AW151" s="483">
        <v>2.13</v>
      </c>
      <c r="AX151" s="483">
        <v>3.4499999999999997</v>
      </c>
      <c r="AY151" s="483">
        <v>3.09</v>
      </c>
      <c r="AZ151" s="483">
        <v>3.42</v>
      </c>
      <c r="BA151" s="483">
        <v>3.81</v>
      </c>
      <c r="BB151" s="349"/>
      <c r="BC151" s="349"/>
      <c r="BD151" s="349"/>
      <c r="BE151" s="349"/>
      <c r="BF151" s="349"/>
    </row>
    <row r="152" spans="4:58">
      <c r="D152" s="520" t="s">
        <v>444</v>
      </c>
      <c r="E152" s="329" t="s">
        <v>508</v>
      </c>
      <c r="F152" s="483">
        <v>7987.47</v>
      </c>
      <c r="G152" s="483">
        <v>7161.18</v>
      </c>
      <c r="H152" s="483">
        <v>8171.09</v>
      </c>
      <c r="I152" s="483">
        <v>11843.49</v>
      </c>
      <c r="J152" s="483">
        <v>11200.82</v>
      </c>
      <c r="K152" s="483">
        <v>8630.14</v>
      </c>
      <c r="L152" s="349"/>
      <c r="M152" s="349"/>
      <c r="N152" s="349"/>
      <c r="O152" s="349"/>
      <c r="P152" s="349"/>
      <c r="R152" s="520" t="s">
        <v>444</v>
      </c>
      <c r="S152" s="329" t="s">
        <v>508</v>
      </c>
      <c r="T152" s="483">
        <v>12428.800000000001</v>
      </c>
      <c r="U152" s="483">
        <v>12331.7</v>
      </c>
      <c r="V152" s="483">
        <v>9904.2000000000007</v>
      </c>
      <c r="W152" s="483">
        <v>6991.2</v>
      </c>
      <c r="X152" s="483">
        <v>7768</v>
      </c>
      <c r="Y152" s="483">
        <v>8059.2999999999993</v>
      </c>
      <c r="Z152" s="349"/>
      <c r="AA152" s="349"/>
      <c r="AB152" s="349"/>
      <c r="AC152" s="349"/>
      <c r="AD152" s="349"/>
      <c r="AF152" s="520" t="s">
        <v>444</v>
      </c>
      <c r="AG152" s="329" t="s">
        <v>508</v>
      </c>
      <c r="AH152" s="483">
        <v>12737.250000000002</v>
      </c>
      <c r="AI152" s="483">
        <v>12048.75</v>
      </c>
      <c r="AJ152" s="483">
        <v>12622.500000000002</v>
      </c>
      <c r="AK152" s="483">
        <v>10212.75</v>
      </c>
      <c r="AL152" s="483">
        <v>10212.75</v>
      </c>
      <c r="AM152" s="483">
        <v>11245.5</v>
      </c>
      <c r="AN152" s="349"/>
      <c r="AO152" s="349"/>
      <c r="AP152" s="349"/>
      <c r="AQ152" s="349"/>
      <c r="AR152" s="349"/>
      <c r="AT152" s="520" t="s">
        <v>444</v>
      </c>
      <c r="AU152" s="329" t="s">
        <v>508</v>
      </c>
      <c r="AV152" s="483">
        <v>10971.8</v>
      </c>
      <c r="AW152" s="483">
        <v>15102.359999999999</v>
      </c>
      <c r="AX152" s="483">
        <v>10197.32</v>
      </c>
      <c r="AY152" s="483">
        <v>15876.84</v>
      </c>
      <c r="AZ152" s="483">
        <v>11100.88</v>
      </c>
      <c r="BA152" s="483">
        <v>14198.800000000001</v>
      </c>
      <c r="BB152" s="349"/>
      <c r="BC152" s="349"/>
      <c r="BD152" s="349"/>
      <c r="BE152" s="349"/>
      <c r="BF152" s="349"/>
    </row>
    <row r="153" spans="4:58">
      <c r="D153" s="521"/>
      <c r="E153" s="329" t="s">
        <v>509</v>
      </c>
      <c r="F153" s="483">
        <v>29.28</v>
      </c>
      <c r="G153" s="483">
        <v>18.72</v>
      </c>
      <c r="H153" s="483">
        <v>20.88</v>
      </c>
      <c r="I153" s="483">
        <v>17.759999999999998</v>
      </c>
      <c r="J153" s="483">
        <v>27.599999999999998</v>
      </c>
      <c r="K153" s="483">
        <v>24.72</v>
      </c>
      <c r="L153" s="349"/>
      <c r="M153" s="349"/>
      <c r="N153" s="349"/>
      <c r="O153" s="349"/>
      <c r="P153" s="349"/>
      <c r="R153" s="521"/>
      <c r="S153" s="329" t="s">
        <v>509</v>
      </c>
      <c r="T153" s="483">
        <v>14.96</v>
      </c>
      <c r="U153" s="483">
        <v>15.64</v>
      </c>
      <c r="V153" s="483">
        <v>14.62</v>
      </c>
      <c r="W153" s="483">
        <v>19.72</v>
      </c>
      <c r="X153" s="483">
        <v>19.209999999999997</v>
      </c>
      <c r="Y153" s="483">
        <v>18.700000000000003</v>
      </c>
      <c r="Z153" s="349"/>
      <c r="AA153" s="349"/>
      <c r="AB153" s="349"/>
      <c r="AC153" s="349"/>
      <c r="AD153" s="349"/>
      <c r="AF153" s="521"/>
      <c r="AG153" s="329" t="s">
        <v>509</v>
      </c>
      <c r="AH153" s="483">
        <v>4.8999999999999995</v>
      </c>
      <c r="AI153" s="483">
        <v>6.44</v>
      </c>
      <c r="AJ153" s="483">
        <v>7.7700000000000005</v>
      </c>
      <c r="AK153" s="483">
        <v>5.46</v>
      </c>
      <c r="AL153" s="483">
        <v>5.04</v>
      </c>
      <c r="AM153" s="483">
        <v>5.25</v>
      </c>
      <c r="AN153" s="349"/>
      <c r="AO153" s="349"/>
      <c r="AP153" s="349"/>
      <c r="AQ153" s="349"/>
      <c r="AR153" s="349"/>
      <c r="AT153" s="521"/>
      <c r="AU153" s="329" t="s">
        <v>509</v>
      </c>
      <c r="AV153" s="483">
        <v>6.5</v>
      </c>
      <c r="AW153" s="483">
        <v>5.2</v>
      </c>
      <c r="AX153" s="483">
        <v>3.85</v>
      </c>
      <c r="AY153" s="483">
        <v>4.0999999999999996</v>
      </c>
      <c r="AZ153" s="483">
        <v>5.9499999999999993</v>
      </c>
      <c r="BA153" s="483">
        <v>6.4</v>
      </c>
      <c r="BB153" s="349"/>
      <c r="BC153" s="349"/>
      <c r="BD153" s="349"/>
      <c r="BE153" s="349"/>
      <c r="BF153" s="349"/>
    </row>
    <row r="154" spans="4:58" outlineLevel="1">
      <c r="D154" s="522" t="s">
        <v>445</v>
      </c>
      <c r="E154" s="329" t="s">
        <v>508</v>
      </c>
      <c r="F154" s="484">
        <v>10337.6</v>
      </c>
      <c r="G154" s="484">
        <v>7107.1</v>
      </c>
      <c r="H154" s="484">
        <v>11814.4</v>
      </c>
      <c r="I154" s="484">
        <v>11537.5</v>
      </c>
      <c r="J154" s="484">
        <v>10891.4</v>
      </c>
      <c r="K154" s="484">
        <v>6461</v>
      </c>
      <c r="L154" s="349"/>
      <c r="M154" s="349"/>
      <c r="N154" s="349"/>
      <c r="O154" s="349"/>
      <c r="P154" s="349"/>
      <c r="R154" s="522" t="s">
        <v>445</v>
      </c>
      <c r="S154" s="329" t="s">
        <v>508</v>
      </c>
      <c r="T154" s="484">
        <v>8976.5400000000009</v>
      </c>
      <c r="U154" s="484">
        <v>7261.92</v>
      </c>
      <c r="V154" s="484">
        <v>8673.9599999999991</v>
      </c>
      <c r="W154" s="484">
        <v>8875.68</v>
      </c>
      <c r="X154" s="484">
        <v>10993.740000000002</v>
      </c>
      <c r="Y154" s="484">
        <v>9379.9800000000014</v>
      </c>
      <c r="Z154" s="349"/>
      <c r="AA154" s="349"/>
      <c r="AB154" s="349"/>
      <c r="AC154" s="349"/>
      <c r="AD154" s="349"/>
      <c r="AF154" s="522" t="s">
        <v>445</v>
      </c>
      <c r="AG154" s="329" t="s">
        <v>508</v>
      </c>
      <c r="AH154" s="484">
        <v>11192.55</v>
      </c>
      <c r="AI154" s="484">
        <v>16081.25</v>
      </c>
      <c r="AJ154" s="484">
        <v>15438</v>
      </c>
      <c r="AK154" s="484">
        <v>15052.05</v>
      </c>
      <c r="AL154" s="484">
        <v>12865</v>
      </c>
      <c r="AM154" s="484">
        <v>9906.0500000000011</v>
      </c>
      <c r="AN154" s="349"/>
      <c r="AO154" s="349"/>
      <c r="AP154" s="349"/>
      <c r="AQ154" s="349"/>
      <c r="AR154" s="349"/>
      <c r="AT154" s="522" t="s">
        <v>445</v>
      </c>
      <c r="AU154" s="329" t="s">
        <v>508</v>
      </c>
      <c r="AV154" s="484">
        <v>16881.990000000002</v>
      </c>
      <c r="AW154" s="484">
        <v>12167.2</v>
      </c>
      <c r="AX154" s="484">
        <v>16273.630000000001</v>
      </c>
      <c r="AY154" s="484">
        <v>13688.1</v>
      </c>
      <c r="AZ154" s="484">
        <v>15056.91</v>
      </c>
      <c r="BA154" s="484">
        <v>17946.62</v>
      </c>
      <c r="BB154" s="349"/>
      <c r="BC154" s="349"/>
      <c r="BD154" s="349"/>
      <c r="BE154" s="349"/>
      <c r="BF154" s="349"/>
    </row>
    <row r="155" spans="4:58" outlineLevel="1">
      <c r="D155" s="523"/>
      <c r="E155" s="329" t="s">
        <v>509</v>
      </c>
      <c r="F155" s="484">
        <v>42.839999999999996</v>
      </c>
      <c r="G155" s="484">
        <v>37.08</v>
      </c>
      <c r="H155" s="484">
        <v>34.92</v>
      </c>
      <c r="I155" s="484">
        <v>36.72</v>
      </c>
      <c r="J155" s="484">
        <v>32.4</v>
      </c>
      <c r="K155" s="484">
        <v>42.48</v>
      </c>
      <c r="L155" s="349"/>
      <c r="M155" s="349"/>
      <c r="N155" s="349"/>
      <c r="O155" s="349"/>
      <c r="P155" s="349"/>
      <c r="R155" s="523"/>
      <c r="S155" s="329" t="s">
        <v>509</v>
      </c>
      <c r="T155" s="484">
        <v>20.8</v>
      </c>
      <c r="U155" s="484">
        <v>31.98</v>
      </c>
      <c r="V155" s="484">
        <v>29.379999999999995</v>
      </c>
      <c r="W155" s="484">
        <v>27.560000000000002</v>
      </c>
      <c r="X155" s="484">
        <v>30.159999999999997</v>
      </c>
      <c r="Y155" s="484">
        <v>32.76</v>
      </c>
      <c r="Z155" s="349"/>
      <c r="AA155" s="349"/>
      <c r="AB155" s="349"/>
      <c r="AC155" s="349"/>
      <c r="AD155" s="349"/>
      <c r="AF155" s="523"/>
      <c r="AG155" s="329" t="s">
        <v>509</v>
      </c>
      <c r="AH155" s="484">
        <v>8.2999999999999989</v>
      </c>
      <c r="AI155" s="484">
        <v>8.6</v>
      </c>
      <c r="AJ155" s="484">
        <v>7.5</v>
      </c>
      <c r="AK155" s="484">
        <v>9.5</v>
      </c>
      <c r="AL155" s="484">
        <v>8.2999999999999989</v>
      </c>
      <c r="AM155" s="484">
        <v>12.6</v>
      </c>
      <c r="AN155" s="349"/>
      <c r="AO155" s="349"/>
      <c r="AP155" s="349"/>
      <c r="AQ155" s="349"/>
      <c r="AR155" s="349"/>
      <c r="AT155" s="523"/>
      <c r="AU155" s="329" t="s">
        <v>509</v>
      </c>
      <c r="AV155" s="484">
        <v>6.8599999999999994</v>
      </c>
      <c r="AW155" s="484">
        <v>7.28</v>
      </c>
      <c r="AX155" s="484">
        <v>7.21</v>
      </c>
      <c r="AY155" s="484">
        <v>5.3900000000000006</v>
      </c>
      <c r="AZ155" s="484">
        <v>7.21</v>
      </c>
      <c r="BA155" s="484">
        <v>6.79</v>
      </c>
      <c r="BB155" s="349"/>
      <c r="BC155" s="349"/>
      <c r="BD155" s="349"/>
      <c r="BE155" s="349"/>
      <c r="BF155" s="349"/>
    </row>
    <row r="156" spans="4:58" outlineLevel="1">
      <c r="D156" s="522" t="s">
        <v>446</v>
      </c>
      <c r="E156" s="329" t="s">
        <v>508</v>
      </c>
      <c r="F156" s="484">
        <v>7003.62</v>
      </c>
      <c r="G156" s="484">
        <v>9689.94</v>
      </c>
      <c r="H156" s="484">
        <v>12472.2</v>
      </c>
      <c r="I156" s="484">
        <v>10073.700000000001</v>
      </c>
      <c r="J156" s="484">
        <v>9881.82</v>
      </c>
      <c r="K156" s="484">
        <v>10937.16</v>
      </c>
      <c r="L156" s="349"/>
      <c r="M156" s="349"/>
      <c r="N156" s="349"/>
      <c r="O156" s="349"/>
      <c r="P156" s="349"/>
      <c r="R156" s="522" t="s">
        <v>446</v>
      </c>
      <c r="S156" s="329" t="s">
        <v>508</v>
      </c>
      <c r="T156" s="484">
        <v>12520.44</v>
      </c>
      <c r="U156" s="484">
        <v>12752.300000000001</v>
      </c>
      <c r="V156" s="484">
        <v>10433.700000000001</v>
      </c>
      <c r="W156" s="484">
        <v>12056.720000000001</v>
      </c>
      <c r="X156" s="484">
        <v>9854.0499999999993</v>
      </c>
      <c r="Y156" s="484">
        <v>12868.230000000001</v>
      </c>
      <c r="Z156" s="349"/>
      <c r="AA156" s="349"/>
      <c r="AB156" s="349"/>
      <c r="AC156" s="349"/>
      <c r="AD156" s="349"/>
      <c r="AF156" s="522" t="s">
        <v>446</v>
      </c>
      <c r="AG156" s="329" t="s">
        <v>508</v>
      </c>
      <c r="AH156" s="484">
        <v>16681.3</v>
      </c>
      <c r="AI156" s="484">
        <v>18240.3</v>
      </c>
      <c r="AJ156" s="484">
        <v>15434.1</v>
      </c>
      <c r="AK156" s="484">
        <v>17772.599999999999</v>
      </c>
      <c r="AL156" s="484">
        <v>11224.8</v>
      </c>
      <c r="AM156" s="484">
        <v>12627.900000000001</v>
      </c>
      <c r="AN156" s="349"/>
      <c r="AO156" s="349"/>
      <c r="AP156" s="349"/>
      <c r="AQ156" s="349"/>
      <c r="AR156" s="349"/>
      <c r="AT156" s="522" t="s">
        <v>446</v>
      </c>
      <c r="AU156" s="329" t="s">
        <v>508</v>
      </c>
      <c r="AV156" s="484">
        <v>15590.66</v>
      </c>
      <c r="AW156" s="484">
        <v>18822.87</v>
      </c>
      <c r="AX156" s="484">
        <v>23195.86</v>
      </c>
      <c r="AY156" s="484">
        <v>16161.05</v>
      </c>
      <c r="AZ156" s="484">
        <v>16541.310000000001</v>
      </c>
      <c r="BA156" s="484">
        <v>24526.77</v>
      </c>
      <c r="BB156" s="349"/>
      <c r="BC156" s="349"/>
      <c r="BD156" s="349"/>
      <c r="BE156" s="349"/>
      <c r="BF156" s="349"/>
    </row>
    <row r="157" spans="4:58" outlineLevel="1">
      <c r="D157" s="523"/>
      <c r="E157" s="329" t="s">
        <v>509</v>
      </c>
      <c r="F157" s="484">
        <v>38.25</v>
      </c>
      <c r="G157" s="484">
        <v>38.25</v>
      </c>
      <c r="H157" s="484">
        <v>41.82</v>
      </c>
      <c r="I157" s="484">
        <v>64.260000000000005</v>
      </c>
      <c r="J157" s="484">
        <v>61.71</v>
      </c>
      <c r="K157" s="484">
        <v>46.92</v>
      </c>
      <c r="L157" s="349"/>
      <c r="M157" s="349"/>
      <c r="N157" s="349"/>
      <c r="O157" s="349"/>
      <c r="P157" s="349"/>
      <c r="R157" s="523"/>
      <c r="S157" s="329" t="s">
        <v>509</v>
      </c>
      <c r="T157" s="484">
        <v>35.15</v>
      </c>
      <c r="U157" s="484">
        <v>45.51</v>
      </c>
      <c r="V157" s="484">
        <v>32.19</v>
      </c>
      <c r="W157" s="484">
        <v>39.96</v>
      </c>
      <c r="X157" s="484">
        <v>44.769999999999996</v>
      </c>
      <c r="Y157" s="484">
        <v>46.62</v>
      </c>
      <c r="Z157" s="349"/>
      <c r="AA157" s="349"/>
      <c r="AB157" s="349"/>
      <c r="AC157" s="349"/>
      <c r="AD157" s="349"/>
      <c r="AF157" s="523"/>
      <c r="AG157" s="329" t="s">
        <v>509</v>
      </c>
      <c r="AH157" s="484">
        <v>14.280000000000001</v>
      </c>
      <c r="AI157" s="484">
        <v>11.200000000000001</v>
      </c>
      <c r="AJ157" s="484">
        <v>16.8</v>
      </c>
      <c r="AK157" s="484">
        <v>17.78</v>
      </c>
      <c r="AL157" s="484">
        <v>11.200000000000001</v>
      </c>
      <c r="AM157" s="484">
        <v>16.8</v>
      </c>
      <c r="AN157" s="349"/>
      <c r="AO157" s="349"/>
      <c r="AP157" s="349"/>
      <c r="AQ157" s="349"/>
      <c r="AR157" s="349"/>
      <c r="AT157" s="523"/>
      <c r="AU157" s="329" t="s">
        <v>509</v>
      </c>
      <c r="AV157" s="484">
        <v>12.2</v>
      </c>
      <c r="AW157" s="484">
        <v>8.1999999999999993</v>
      </c>
      <c r="AX157" s="484">
        <v>11.100000000000001</v>
      </c>
      <c r="AY157" s="484">
        <v>8.6999999999999993</v>
      </c>
      <c r="AZ157" s="484">
        <v>12</v>
      </c>
      <c r="BA157" s="484">
        <v>7.7</v>
      </c>
      <c r="BB157" s="349"/>
      <c r="BC157" s="349"/>
      <c r="BD157" s="349"/>
      <c r="BE157" s="349"/>
      <c r="BF157" s="349"/>
    </row>
    <row r="158" spans="4:58" outlineLevel="1">
      <c r="D158" s="522" t="s">
        <v>447</v>
      </c>
      <c r="E158" s="329" t="s">
        <v>508</v>
      </c>
      <c r="F158" s="484">
        <v>11931.15</v>
      </c>
      <c r="G158" s="484">
        <v>11363</v>
      </c>
      <c r="H158" s="484">
        <v>9544.92</v>
      </c>
      <c r="I158" s="484">
        <v>13521.97</v>
      </c>
      <c r="J158" s="484">
        <v>12385.67</v>
      </c>
      <c r="K158" s="484">
        <v>13521.97</v>
      </c>
      <c r="L158" s="349"/>
      <c r="M158" s="349"/>
      <c r="N158" s="349"/>
      <c r="O158" s="349"/>
      <c r="P158" s="349"/>
      <c r="R158" s="522" t="s">
        <v>447</v>
      </c>
      <c r="S158" s="329" t="s">
        <v>508</v>
      </c>
      <c r="T158" s="484">
        <v>19592.669999999998</v>
      </c>
      <c r="U158" s="484">
        <v>17044.030000000002</v>
      </c>
      <c r="V158" s="484">
        <v>20070.54</v>
      </c>
      <c r="W158" s="484">
        <v>16725.45</v>
      </c>
      <c r="X158" s="484">
        <v>19911.25</v>
      </c>
      <c r="Y158" s="484">
        <v>18477.64</v>
      </c>
      <c r="Z158" s="349"/>
      <c r="AA158" s="349"/>
      <c r="AB158" s="349"/>
      <c r="AC158" s="349"/>
      <c r="AD158" s="349"/>
      <c r="AF158" s="522" t="s">
        <v>447</v>
      </c>
      <c r="AG158" s="329" t="s">
        <v>508</v>
      </c>
      <c r="AH158" s="484">
        <v>17788.86</v>
      </c>
      <c r="AI158" s="484">
        <v>30529.53</v>
      </c>
      <c r="AJ158" s="484">
        <v>25721.730000000003</v>
      </c>
      <c r="AK158" s="484">
        <v>18990.810000000001</v>
      </c>
      <c r="AL158" s="484">
        <v>17308.079999999998</v>
      </c>
      <c r="AM158" s="484">
        <v>20433.149999999998</v>
      </c>
      <c r="AN158" s="349"/>
      <c r="AO158" s="349"/>
      <c r="AP158" s="349"/>
      <c r="AQ158" s="349"/>
      <c r="AR158" s="349"/>
      <c r="AT158" s="522" t="s">
        <v>447</v>
      </c>
      <c r="AU158" s="329" t="s">
        <v>508</v>
      </c>
      <c r="AV158" s="484">
        <v>39578.04</v>
      </c>
      <c r="AW158" s="484">
        <v>31730.670000000002</v>
      </c>
      <c r="AX158" s="484">
        <v>43672.32</v>
      </c>
      <c r="AY158" s="484">
        <v>24224.489999999998</v>
      </c>
      <c r="AZ158" s="484">
        <v>37189.71</v>
      </c>
      <c r="BA158" s="484">
        <v>24565.68</v>
      </c>
      <c r="BB158" s="349"/>
      <c r="BC158" s="349"/>
      <c r="BD158" s="349"/>
      <c r="BE158" s="349"/>
      <c r="BF158" s="349"/>
    </row>
    <row r="159" spans="4:58" outlineLevel="1">
      <c r="D159" s="523"/>
      <c r="E159" s="329" t="s">
        <v>509</v>
      </c>
      <c r="F159" s="484">
        <v>112.69999999999999</v>
      </c>
      <c r="G159" s="484">
        <v>86.24</v>
      </c>
      <c r="H159" s="484">
        <v>74.48</v>
      </c>
      <c r="I159" s="484">
        <v>87.22</v>
      </c>
      <c r="J159" s="484">
        <v>126.42</v>
      </c>
      <c r="K159" s="484">
        <v>107.80000000000001</v>
      </c>
      <c r="L159" s="349"/>
      <c r="M159" s="349"/>
      <c r="N159" s="349"/>
      <c r="O159" s="349"/>
      <c r="P159" s="349"/>
      <c r="R159" s="523"/>
      <c r="S159" s="329" t="s">
        <v>509</v>
      </c>
      <c r="T159" s="484">
        <v>82.08</v>
      </c>
      <c r="U159" s="484">
        <v>91.44</v>
      </c>
      <c r="V159" s="484">
        <v>69.12</v>
      </c>
      <c r="W159" s="484">
        <v>63.36</v>
      </c>
      <c r="X159" s="484">
        <v>52.56</v>
      </c>
      <c r="Y159" s="484">
        <v>85.679999999999993</v>
      </c>
      <c r="Z159" s="349"/>
      <c r="AA159" s="349"/>
      <c r="AB159" s="349"/>
      <c r="AC159" s="349"/>
      <c r="AD159" s="349"/>
      <c r="AF159" s="523"/>
      <c r="AG159" s="329" t="s">
        <v>509</v>
      </c>
      <c r="AH159" s="484">
        <v>40.64</v>
      </c>
      <c r="AI159" s="484">
        <v>24</v>
      </c>
      <c r="AJ159" s="484">
        <v>25.92</v>
      </c>
      <c r="AK159" s="484">
        <v>38.08</v>
      </c>
      <c r="AL159" s="484">
        <v>23.68</v>
      </c>
      <c r="AM159" s="484">
        <v>38.08</v>
      </c>
      <c r="AN159" s="349"/>
      <c r="AO159" s="349"/>
      <c r="AP159" s="349"/>
      <c r="AQ159" s="349"/>
      <c r="AR159" s="349"/>
      <c r="AT159" s="523"/>
      <c r="AU159" s="329" t="s">
        <v>509</v>
      </c>
      <c r="AV159" s="484">
        <v>18.600000000000001</v>
      </c>
      <c r="AW159" s="484">
        <v>19.399999999999999</v>
      </c>
      <c r="AX159" s="484">
        <v>25.4</v>
      </c>
      <c r="AY159" s="484">
        <v>18.600000000000001</v>
      </c>
      <c r="AZ159" s="484">
        <v>21.6</v>
      </c>
      <c r="BA159" s="484">
        <v>18.799999999999997</v>
      </c>
      <c r="BB159" s="349"/>
      <c r="BC159" s="349"/>
      <c r="BD159" s="349"/>
      <c r="BE159" s="349"/>
      <c r="BF159" s="349"/>
    </row>
    <row r="160" spans="4:58" outlineLevel="1">
      <c r="D160" s="522" t="s">
        <v>448</v>
      </c>
      <c r="E160" s="329" t="s">
        <v>508</v>
      </c>
      <c r="F160" s="484">
        <v>13437.660000000002</v>
      </c>
      <c r="G160" s="484">
        <v>8595.26</v>
      </c>
      <c r="H160" s="484">
        <v>13679.779999999999</v>
      </c>
      <c r="I160" s="484">
        <v>11379.64</v>
      </c>
      <c r="J160" s="484">
        <v>13074.480000000001</v>
      </c>
      <c r="K160" s="484">
        <v>11863.88</v>
      </c>
      <c r="L160" s="349"/>
      <c r="M160" s="349"/>
      <c r="N160" s="349"/>
      <c r="O160" s="349"/>
      <c r="P160" s="349"/>
      <c r="R160" s="522" t="s">
        <v>448</v>
      </c>
      <c r="S160" s="329" t="s">
        <v>508</v>
      </c>
      <c r="T160" s="484">
        <v>22908.260000000002</v>
      </c>
      <c r="U160" s="484">
        <v>13348.119999999999</v>
      </c>
      <c r="V160" s="484">
        <v>12626.599999999999</v>
      </c>
      <c r="W160" s="484">
        <v>14791.16</v>
      </c>
      <c r="X160" s="484">
        <v>17677.239999999998</v>
      </c>
      <c r="Y160" s="484">
        <v>19661.420000000002</v>
      </c>
      <c r="Z160" s="349"/>
      <c r="AA160" s="349"/>
      <c r="AB160" s="349"/>
      <c r="AC160" s="349"/>
      <c r="AD160" s="349"/>
      <c r="AF160" s="522" t="s">
        <v>448</v>
      </c>
      <c r="AG160" s="329" t="s">
        <v>508</v>
      </c>
      <c r="AH160" s="484">
        <v>31448.520000000004</v>
      </c>
      <c r="AI160" s="484">
        <v>30315.24</v>
      </c>
      <c r="AJ160" s="484">
        <v>28048.68</v>
      </c>
      <c r="AK160" s="484">
        <v>34848.36</v>
      </c>
      <c r="AL160" s="484">
        <v>26915.399999999998</v>
      </c>
      <c r="AM160" s="484">
        <v>25782.120000000003</v>
      </c>
      <c r="AN160" s="349"/>
      <c r="AO160" s="349"/>
      <c r="AP160" s="349"/>
      <c r="AQ160" s="349"/>
      <c r="AR160" s="349"/>
      <c r="AT160" s="522" t="s">
        <v>448</v>
      </c>
      <c r="AU160" s="329" t="s">
        <v>508</v>
      </c>
      <c r="AV160" s="484">
        <v>36306</v>
      </c>
      <c r="AW160" s="484">
        <v>49618.2</v>
      </c>
      <c r="AX160" s="484">
        <v>33885.599999999999</v>
      </c>
      <c r="AY160" s="484">
        <v>46391</v>
      </c>
      <c r="AZ160" s="484">
        <v>41953.599999999999</v>
      </c>
      <c r="BA160" s="484">
        <v>45180.800000000003</v>
      </c>
      <c r="BB160" s="349"/>
      <c r="BC160" s="349"/>
      <c r="BD160" s="349"/>
      <c r="BE160" s="349"/>
      <c r="BF160" s="349"/>
    </row>
    <row r="161" spans="4:58" outlineLevel="1">
      <c r="D161" s="523"/>
      <c r="E161" s="329" t="s">
        <v>509</v>
      </c>
      <c r="F161" s="484">
        <v>154.97999999999999</v>
      </c>
      <c r="G161" s="484">
        <v>146.37</v>
      </c>
      <c r="H161" s="484">
        <v>105.78</v>
      </c>
      <c r="I161" s="484">
        <v>105.78</v>
      </c>
      <c r="J161" s="484">
        <v>147.6</v>
      </c>
      <c r="K161" s="484">
        <v>86.1</v>
      </c>
      <c r="L161" s="349"/>
      <c r="M161" s="349"/>
      <c r="N161" s="349"/>
      <c r="O161" s="349"/>
      <c r="P161" s="349"/>
      <c r="R161" s="523"/>
      <c r="S161" s="329" t="s">
        <v>509</v>
      </c>
      <c r="T161" s="484">
        <v>112.84</v>
      </c>
      <c r="U161" s="484">
        <v>90.09</v>
      </c>
      <c r="V161" s="484">
        <v>74.61999999999999</v>
      </c>
      <c r="W161" s="484">
        <v>70.070000000000007</v>
      </c>
      <c r="X161" s="484">
        <v>82.81</v>
      </c>
      <c r="Y161" s="484">
        <v>101.01</v>
      </c>
      <c r="Z161" s="349"/>
      <c r="AA161" s="349"/>
      <c r="AB161" s="349"/>
      <c r="AC161" s="349"/>
      <c r="AD161" s="349"/>
      <c r="AF161" s="523"/>
      <c r="AG161" s="329" t="s">
        <v>509</v>
      </c>
      <c r="AH161" s="484">
        <v>50.7</v>
      </c>
      <c r="AI161" s="484">
        <v>27.689999999999998</v>
      </c>
      <c r="AJ161" s="484">
        <v>31.590000000000003</v>
      </c>
      <c r="AK161" s="484">
        <v>39.78</v>
      </c>
      <c r="AL161" s="484">
        <v>32.76</v>
      </c>
      <c r="AM161" s="484">
        <v>35.1</v>
      </c>
      <c r="AN161" s="349"/>
      <c r="AO161" s="349"/>
      <c r="AP161" s="349"/>
      <c r="AQ161" s="349"/>
      <c r="AR161" s="349"/>
      <c r="AT161" s="523"/>
      <c r="AU161" s="329" t="s">
        <v>509</v>
      </c>
      <c r="AV161" s="484">
        <v>23.5</v>
      </c>
      <c r="AW161" s="484">
        <v>19.25</v>
      </c>
      <c r="AX161" s="484">
        <v>18.75</v>
      </c>
      <c r="AY161" s="484">
        <v>26.5</v>
      </c>
      <c r="AZ161" s="484">
        <v>30.5</v>
      </c>
      <c r="BA161" s="484">
        <v>23.5</v>
      </c>
      <c r="BB161" s="349"/>
      <c r="BC161" s="349"/>
      <c r="BD161" s="349"/>
      <c r="BE161" s="349"/>
      <c r="BF161" s="349"/>
    </row>
    <row r="162" spans="4:58" outlineLevel="1">
      <c r="D162" s="522" t="s">
        <v>449</v>
      </c>
      <c r="E162" s="329" t="s">
        <v>508</v>
      </c>
      <c r="F162" s="484">
        <v>16576.5</v>
      </c>
      <c r="G162" s="484">
        <v>12464.5</v>
      </c>
      <c r="H162" s="484">
        <v>11179.5</v>
      </c>
      <c r="I162" s="484">
        <v>13235.5</v>
      </c>
      <c r="J162" s="484">
        <v>12978.5</v>
      </c>
      <c r="K162" s="484">
        <v>9380.5</v>
      </c>
      <c r="L162" s="349"/>
      <c r="M162" s="349"/>
      <c r="N162" s="349"/>
      <c r="O162" s="349"/>
      <c r="P162" s="349"/>
      <c r="R162" s="522" t="s">
        <v>449</v>
      </c>
      <c r="S162" s="329" t="s">
        <v>508</v>
      </c>
      <c r="T162" s="484">
        <v>25616.82</v>
      </c>
      <c r="U162" s="484">
        <v>25021.08</v>
      </c>
      <c r="V162" s="484">
        <v>17872.2</v>
      </c>
      <c r="W162" s="484">
        <v>22638.12</v>
      </c>
      <c r="X162" s="484">
        <v>13900.599999999999</v>
      </c>
      <c r="Y162" s="484">
        <v>23631.02</v>
      </c>
      <c r="Z162" s="349"/>
      <c r="AA162" s="349"/>
      <c r="AB162" s="349"/>
      <c r="AC162" s="349"/>
      <c r="AD162" s="349"/>
      <c r="AF162" s="522" t="s">
        <v>449</v>
      </c>
      <c r="AG162" s="329" t="s">
        <v>508</v>
      </c>
      <c r="AH162" s="484">
        <v>41107.5</v>
      </c>
      <c r="AI162" s="484">
        <v>36866.25</v>
      </c>
      <c r="AJ162" s="484">
        <v>30667.5</v>
      </c>
      <c r="AK162" s="484">
        <v>42086.25</v>
      </c>
      <c r="AL162" s="484">
        <v>30667.5</v>
      </c>
      <c r="AM162" s="484">
        <v>38171.25</v>
      </c>
      <c r="AN162" s="349"/>
      <c r="AO162" s="349"/>
      <c r="AP162" s="349"/>
      <c r="AQ162" s="349"/>
      <c r="AR162" s="349"/>
      <c r="AT162" s="522" t="s">
        <v>449</v>
      </c>
      <c r="AU162" s="329" t="s">
        <v>508</v>
      </c>
      <c r="AV162" s="484">
        <v>46096.38</v>
      </c>
      <c r="AW162" s="484">
        <v>43302.66</v>
      </c>
      <c r="AX162" s="484">
        <v>56805.64</v>
      </c>
      <c r="AY162" s="484">
        <v>44233.9</v>
      </c>
      <c r="AZ162" s="484">
        <v>42371.42</v>
      </c>
      <c r="BA162" s="484">
        <v>38180.839999999997</v>
      </c>
      <c r="BB162" s="349"/>
      <c r="BC162" s="349"/>
      <c r="BD162" s="349"/>
      <c r="BE162" s="349"/>
      <c r="BF162" s="349"/>
    </row>
    <row r="163" spans="4:58" outlineLevel="1">
      <c r="D163" s="523"/>
      <c r="E163" s="329" t="s">
        <v>509</v>
      </c>
      <c r="F163" s="484">
        <v>147.51</v>
      </c>
      <c r="G163" s="484">
        <v>108.77</v>
      </c>
      <c r="H163" s="484">
        <v>119.2</v>
      </c>
      <c r="I163" s="484">
        <v>184.76</v>
      </c>
      <c r="J163" s="484">
        <v>171.35</v>
      </c>
      <c r="K163" s="484">
        <v>174.32999999999998</v>
      </c>
      <c r="L163" s="349"/>
      <c r="M163" s="349"/>
      <c r="N163" s="349"/>
      <c r="O163" s="349"/>
      <c r="P163" s="349"/>
      <c r="R163" s="523"/>
      <c r="S163" s="329" t="s">
        <v>509</v>
      </c>
      <c r="T163" s="484">
        <v>117.7</v>
      </c>
      <c r="U163" s="484">
        <v>135.30000000000001</v>
      </c>
      <c r="V163" s="484">
        <v>90.199999999999989</v>
      </c>
      <c r="W163" s="484">
        <v>81.400000000000006</v>
      </c>
      <c r="X163" s="484">
        <v>107.8</v>
      </c>
      <c r="Y163" s="484">
        <v>124.29999999999998</v>
      </c>
      <c r="Z163" s="349"/>
      <c r="AA163" s="349"/>
      <c r="AB163" s="349"/>
      <c r="AC163" s="349"/>
      <c r="AD163" s="349"/>
      <c r="AF163" s="523"/>
      <c r="AG163" s="329" t="s">
        <v>509</v>
      </c>
      <c r="AH163" s="484">
        <v>44.16</v>
      </c>
      <c r="AI163" s="484">
        <v>46.46</v>
      </c>
      <c r="AJ163" s="484">
        <v>49.680000000000007</v>
      </c>
      <c r="AK163" s="484">
        <v>48.300000000000004</v>
      </c>
      <c r="AL163" s="484">
        <v>35.880000000000003</v>
      </c>
      <c r="AM163" s="484">
        <v>51.06</v>
      </c>
      <c r="AN163" s="349"/>
      <c r="AO163" s="349"/>
      <c r="AP163" s="349"/>
      <c r="AQ163" s="349"/>
      <c r="AR163" s="349"/>
      <c r="AT163" s="523"/>
      <c r="AU163" s="329" t="s">
        <v>509</v>
      </c>
      <c r="AV163" s="484">
        <v>22.8</v>
      </c>
      <c r="AW163" s="484">
        <v>33.9</v>
      </c>
      <c r="AX163" s="484">
        <v>36.9</v>
      </c>
      <c r="AY163" s="484">
        <v>33.300000000000004</v>
      </c>
      <c r="AZ163" s="484">
        <v>27.6</v>
      </c>
      <c r="BA163" s="484">
        <v>38.4</v>
      </c>
      <c r="BB163" s="349"/>
      <c r="BC163" s="349"/>
      <c r="BD163" s="349"/>
      <c r="BE163" s="349"/>
      <c r="BF163" s="349"/>
    </row>
    <row r="164" spans="4:58" outlineLevel="1">
      <c r="D164" s="522" t="s">
        <v>450</v>
      </c>
      <c r="E164" s="329" t="s">
        <v>508</v>
      </c>
      <c r="F164" s="484">
        <v>14273.7</v>
      </c>
      <c r="G164" s="484">
        <v>14409.640000000001</v>
      </c>
      <c r="H164" s="484">
        <v>11283.019999999999</v>
      </c>
      <c r="I164" s="484">
        <v>16856.560000000001</v>
      </c>
      <c r="J164" s="484">
        <v>12506.480000000001</v>
      </c>
      <c r="K164" s="484">
        <v>11283.019999999999</v>
      </c>
      <c r="L164" s="349"/>
      <c r="M164" s="349"/>
      <c r="N164" s="349"/>
      <c r="O164" s="349"/>
      <c r="P164" s="349"/>
      <c r="R164" s="522" t="s">
        <v>450</v>
      </c>
      <c r="S164" s="329" t="s">
        <v>508</v>
      </c>
      <c r="T164" s="484">
        <v>15607.439999999999</v>
      </c>
      <c r="U164" s="484">
        <v>26229.17</v>
      </c>
      <c r="V164" s="484">
        <v>16040.98</v>
      </c>
      <c r="W164" s="484">
        <v>20159.61</v>
      </c>
      <c r="X164" s="484">
        <v>17558.370000000003</v>
      </c>
      <c r="Y164" s="484">
        <v>24928.55</v>
      </c>
      <c r="Z164" s="349"/>
      <c r="AA164" s="349"/>
      <c r="AB164" s="349"/>
      <c r="AC164" s="349"/>
      <c r="AD164" s="349"/>
      <c r="AF164" s="522" t="s">
        <v>450</v>
      </c>
      <c r="AG164" s="329" t="s">
        <v>508</v>
      </c>
      <c r="AH164" s="484">
        <v>34702.92</v>
      </c>
      <c r="AI164" s="484">
        <v>27688.5</v>
      </c>
      <c r="AJ164" s="484">
        <v>42455.7</v>
      </c>
      <c r="AK164" s="484">
        <v>32857.020000000004</v>
      </c>
      <c r="AL164" s="484">
        <v>43194.06</v>
      </c>
      <c r="AM164" s="484">
        <v>32487.84</v>
      </c>
      <c r="AN164" s="349"/>
      <c r="AO164" s="349"/>
      <c r="AP164" s="349"/>
      <c r="AQ164" s="349"/>
      <c r="AR164" s="349"/>
      <c r="AT164" s="522" t="s">
        <v>450</v>
      </c>
      <c r="AU164" s="329" t="s">
        <v>508</v>
      </c>
      <c r="AV164" s="484">
        <v>44866.400000000001</v>
      </c>
      <c r="AW164" s="484">
        <v>50144.799999999996</v>
      </c>
      <c r="AX164" s="484">
        <v>58590.240000000005</v>
      </c>
      <c r="AY164" s="484">
        <v>56478.880000000005</v>
      </c>
      <c r="AZ164" s="484">
        <v>38004.479999999996</v>
      </c>
      <c r="BA164" s="484">
        <v>41171.520000000004</v>
      </c>
      <c r="BB164" s="349"/>
      <c r="BC164" s="349"/>
      <c r="BD164" s="349"/>
      <c r="BE164" s="349"/>
      <c r="BF164" s="349"/>
    </row>
    <row r="165" spans="4:58" outlineLevel="1">
      <c r="D165" s="523"/>
      <c r="E165" s="329" t="s">
        <v>509</v>
      </c>
      <c r="F165" s="484">
        <v>160.08000000000001</v>
      </c>
      <c r="G165" s="484">
        <v>184.44</v>
      </c>
      <c r="H165" s="484">
        <v>214.02</v>
      </c>
      <c r="I165" s="484">
        <v>123.53999999999999</v>
      </c>
      <c r="J165" s="484">
        <v>156.6</v>
      </c>
      <c r="K165" s="484">
        <v>220.98</v>
      </c>
      <c r="L165" s="349"/>
      <c r="M165" s="349"/>
      <c r="N165" s="349"/>
      <c r="O165" s="349"/>
      <c r="P165" s="349"/>
      <c r="R165" s="523"/>
      <c r="S165" s="329" t="s">
        <v>509</v>
      </c>
      <c r="T165" s="484">
        <v>107.07</v>
      </c>
      <c r="U165" s="484">
        <v>92.88</v>
      </c>
      <c r="V165" s="484">
        <v>104.49000000000001</v>
      </c>
      <c r="W165" s="484">
        <v>125.13</v>
      </c>
      <c r="X165" s="484">
        <v>135.45000000000002</v>
      </c>
      <c r="Y165" s="484">
        <v>166.41</v>
      </c>
      <c r="Z165" s="349"/>
      <c r="AA165" s="349"/>
      <c r="AB165" s="349"/>
      <c r="AC165" s="349"/>
      <c r="AD165" s="349"/>
      <c r="AF165" s="523"/>
      <c r="AG165" s="329" t="s">
        <v>509</v>
      </c>
      <c r="AH165" s="484">
        <v>69.12</v>
      </c>
      <c r="AI165" s="484">
        <v>58.320000000000007</v>
      </c>
      <c r="AJ165" s="484">
        <v>62.639999999999993</v>
      </c>
      <c r="AK165" s="484">
        <v>44.279999999999994</v>
      </c>
      <c r="AL165" s="484">
        <v>48.06</v>
      </c>
      <c r="AM165" s="484">
        <v>69.12</v>
      </c>
      <c r="AN165" s="349"/>
      <c r="AO165" s="349"/>
      <c r="AP165" s="349"/>
      <c r="AQ165" s="349"/>
      <c r="AR165" s="349"/>
      <c r="AT165" s="523"/>
      <c r="AU165" s="329" t="s">
        <v>509</v>
      </c>
      <c r="AV165" s="484">
        <v>25.55</v>
      </c>
      <c r="AW165" s="484">
        <v>29.75</v>
      </c>
      <c r="AX165" s="484">
        <v>35.35</v>
      </c>
      <c r="AY165" s="484">
        <v>31.150000000000002</v>
      </c>
      <c r="AZ165" s="484">
        <v>44.45</v>
      </c>
      <c r="BA165" s="484">
        <v>43.4</v>
      </c>
      <c r="BB165" s="349"/>
      <c r="BC165" s="349"/>
      <c r="BD165" s="349"/>
      <c r="BE165" s="349"/>
      <c r="BF165" s="349"/>
    </row>
    <row r="166" spans="4:58" outlineLevel="1">
      <c r="D166" s="524" t="s">
        <v>451</v>
      </c>
      <c r="E166" s="329" t="s">
        <v>508</v>
      </c>
      <c r="F166" s="484">
        <v>18193.280000000002</v>
      </c>
      <c r="G166" s="484">
        <v>11533.24</v>
      </c>
      <c r="H166" s="484">
        <v>20954.760000000002</v>
      </c>
      <c r="I166" s="484">
        <v>11533.24</v>
      </c>
      <c r="J166" s="484">
        <v>12183</v>
      </c>
      <c r="K166" s="484">
        <v>12670.32</v>
      </c>
      <c r="L166" s="349"/>
      <c r="M166" s="349"/>
      <c r="N166" s="349"/>
      <c r="O166" s="349"/>
      <c r="P166" s="349"/>
      <c r="R166" s="524" t="s">
        <v>451</v>
      </c>
      <c r="S166" s="329" t="s">
        <v>508</v>
      </c>
      <c r="T166" s="484">
        <v>29511.670000000002</v>
      </c>
      <c r="U166" s="484">
        <v>22064.800000000003</v>
      </c>
      <c r="V166" s="484">
        <v>20409.939999999999</v>
      </c>
      <c r="W166" s="484">
        <v>32269.769999999997</v>
      </c>
      <c r="X166" s="484">
        <v>26201.949999999997</v>
      </c>
      <c r="Y166" s="484">
        <v>35855.300000000003</v>
      </c>
      <c r="Z166" s="349"/>
      <c r="AA166" s="349"/>
      <c r="AB166" s="349"/>
      <c r="AC166" s="349"/>
      <c r="AD166" s="349"/>
      <c r="AF166" s="524" t="s">
        <v>451</v>
      </c>
      <c r="AG166" s="329" t="s">
        <v>508</v>
      </c>
      <c r="AH166" s="484">
        <v>34978.5</v>
      </c>
      <c r="AI166" s="484">
        <v>52234.560000000005</v>
      </c>
      <c r="AJ166" s="484">
        <v>58763.88</v>
      </c>
      <c r="AK166" s="484">
        <v>43373.340000000004</v>
      </c>
      <c r="AL166" s="484">
        <v>44772.479999999996</v>
      </c>
      <c r="AM166" s="484">
        <v>58763.88</v>
      </c>
      <c r="AN166" s="349"/>
      <c r="AO166" s="349"/>
      <c r="AP166" s="349"/>
      <c r="AQ166" s="349"/>
      <c r="AR166" s="349"/>
      <c r="AT166" s="524" t="s">
        <v>451</v>
      </c>
      <c r="AU166" s="329" t="s">
        <v>508</v>
      </c>
      <c r="AV166" s="484">
        <v>50684.800000000003</v>
      </c>
      <c r="AW166" s="484">
        <v>58921.08</v>
      </c>
      <c r="AX166" s="484">
        <v>44982.759999999995</v>
      </c>
      <c r="AY166" s="484">
        <v>79195</v>
      </c>
      <c r="AZ166" s="484">
        <v>52585.479999999996</v>
      </c>
      <c r="BA166" s="484">
        <v>56386.840000000004</v>
      </c>
      <c r="BB166" s="349"/>
      <c r="BC166" s="349"/>
      <c r="BD166" s="349"/>
      <c r="BE166" s="349"/>
      <c r="BF166" s="349"/>
    </row>
    <row r="167" spans="4:58" outlineLevel="1">
      <c r="D167" s="525"/>
      <c r="E167" s="329" t="s">
        <v>509</v>
      </c>
      <c r="F167" s="484">
        <v>235.04000000000002</v>
      </c>
      <c r="G167" s="484">
        <v>235.04000000000002</v>
      </c>
      <c r="H167" s="484">
        <v>210.18</v>
      </c>
      <c r="I167" s="484">
        <v>180.8</v>
      </c>
      <c r="J167" s="484">
        <v>216.95999999999998</v>
      </c>
      <c r="K167" s="484">
        <v>232.78</v>
      </c>
      <c r="L167" s="349"/>
      <c r="M167" s="349"/>
      <c r="N167" s="349"/>
      <c r="O167" s="349"/>
      <c r="P167" s="349"/>
      <c r="R167" s="525"/>
      <c r="S167" s="329" t="s">
        <v>509</v>
      </c>
      <c r="T167" s="484">
        <v>122.64</v>
      </c>
      <c r="U167" s="484">
        <v>144.47999999999999</v>
      </c>
      <c r="V167" s="484">
        <v>199.92</v>
      </c>
      <c r="W167" s="484">
        <v>168</v>
      </c>
      <c r="X167" s="484">
        <v>124.32</v>
      </c>
      <c r="Y167" s="484">
        <v>157.91999999999999</v>
      </c>
      <c r="Z167" s="349"/>
      <c r="AA167" s="349"/>
      <c r="AB167" s="349"/>
      <c r="AC167" s="349"/>
      <c r="AD167" s="349"/>
      <c r="AF167" s="525"/>
      <c r="AG167" s="329" t="s">
        <v>509</v>
      </c>
      <c r="AH167" s="484">
        <v>51.84</v>
      </c>
      <c r="AI167" s="484">
        <v>53.12</v>
      </c>
      <c r="AJ167" s="484">
        <v>67.84</v>
      </c>
      <c r="AK167" s="484">
        <v>45.44</v>
      </c>
      <c r="AL167" s="484">
        <v>53.12</v>
      </c>
      <c r="AM167" s="484">
        <v>68.48</v>
      </c>
      <c r="AN167" s="349"/>
      <c r="AO167" s="349"/>
      <c r="AP167" s="349"/>
      <c r="AQ167" s="349"/>
      <c r="AR167" s="349"/>
      <c r="AT167" s="525"/>
      <c r="AU167" s="329" t="s">
        <v>509</v>
      </c>
      <c r="AV167" s="484">
        <v>43.699999999999996</v>
      </c>
      <c r="AW167" s="484">
        <v>58.88</v>
      </c>
      <c r="AX167" s="484">
        <v>37.72</v>
      </c>
      <c r="AY167" s="484">
        <v>34.04</v>
      </c>
      <c r="AZ167" s="484">
        <v>56.58</v>
      </c>
      <c r="BA167" s="484">
        <v>48.760000000000005</v>
      </c>
      <c r="BB167" s="349"/>
      <c r="BC167" s="349"/>
      <c r="BD167" s="349"/>
      <c r="BE167" s="349"/>
      <c r="BF167" s="349"/>
    </row>
    <row r="168" spans="4:58" outlineLevel="1">
      <c r="D168" s="524" t="s">
        <v>510</v>
      </c>
      <c r="E168" s="329" t="s">
        <v>508</v>
      </c>
      <c r="F168" s="484">
        <v>70823.840000000011</v>
      </c>
      <c r="G168" s="484">
        <v>64976</v>
      </c>
      <c r="H168" s="484">
        <v>69524.320000000007</v>
      </c>
      <c r="I168" s="484">
        <v>70174.080000000002</v>
      </c>
      <c r="J168" s="484">
        <v>51331.040000000001</v>
      </c>
      <c r="K168" s="484">
        <v>70823.840000000011</v>
      </c>
      <c r="L168" s="349"/>
      <c r="M168" s="349"/>
      <c r="N168" s="349"/>
      <c r="O168" s="349"/>
      <c r="P168" s="349"/>
      <c r="R168" s="524" t="s">
        <v>630</v>
      </c>
      <c r="S168" s="329" t="s">
        <v>508</v>
      </c>
      <c r="T168" s="484">
        <v>123562.88</v>
      </c>
      <c r="U168" s="484">
        <v>125769.35999999999</v>
      </c>
      <c r="V168" s="484">
        <v>81639.759999999995</v>
      </c>
      <c r="W168" s="484">
        <v>86052.72</v>
      </c>
      <c r="X168" s="484">
        <v>123562.88</v>
      </c>
      <c r="Y168" s="484">
        <v>133492.04</v>
      </c>
      <c r="Z168" s="349"/>
      <c r="AA168" s="349"/>
      <c r="AB168" s="349"/>
      <c r="AC168" s="349"/>
      <c r="AD168" s="349"/>
      <c r="AF168" s="524" t="s">
        <v>630</v>
      </c>
      <c r="AG168" s="329" t="s">
        <v>508</v>
      </c>
      <c r="AH168" s="484">
        <v>188417.52</v>
      </c>
      <c r="AI168" s="484">
        <v>173493.36000000002</v>
      </c>
      <c r="AJ168" s="484">
        <v>145510.56</v>
      </c>
      <c r="AK168" s="484">
        <v>201476.16</v>
      </c>
      <c r="AL168" s="484">
        <v>229458.96</v>
      </c>
      <c r="AM168" s="484">
        <v>242517.6</v>
      </c>
      <c r="AN168" s="349"/>
      <c r="AO168" s="349"/>
      <c r="AP168" s="349"/>
      <c r="AQ168" s="349"/>
      <c r="AR168" s="349"/>
      <c r="AT168" s="524" t="s">
        <v>630</v>
      </c>
      <c r="AU168" s="329" t="s">
        <v>508</v>
      </c>
      <c r="AV168" s="484">
        <v>184999.52</v>
      </c>
      <c r="AW168" s="484">
        <v>235684.32</v>
      </c>
      <c r="AX168" s="484">
        <v>225547.36000000002</v>
      </c>
      <c r="AY168" s="484">
        <v>202739.20000000001</v>
      </c>
      <c r="AZ168" s="484">
        <v>304108.79999999999</v>
      </c>
      <c r="BA168" s="484">
        <v>205273.44</v>
      </c>
      <c r="BB168" s="349"/>
      <c r="BC168" s="349"/>
      <c r="BD168" s="349"/>
      <c r="BE168" s="349"/>
      <c r="BF168" s="349"/>
    </row>
    <row r="169" spans="4:58" outlineLevel="1">
      <c r="D169" s="525"/>
      <c r="E169" s="329" t="s">
        <v>509</v>
      </c>
      <c r="F169" s="484">
        <v>696.08</v>
      </c>
      <c r="G169" s="484">
        <v>1057.6799999999998</v>
      </c>
      <c r="H169" s="484">
        <v>1120.96</v>
      </c>
      <c r="I169" s="484">
        <v>678</v>
      </c>
      <c r="J169" s="484">
        <v>922.08</v>
      </c>
      <c r="K169" s="484">
        <v>1012.4800000000001</v>
      </c>
      <c r="L169" s="349"/>
      <c r="M169" s="349"/>
      <c r="N169" s="349"/>
      <c r="O169" s="349"/>
      <c r="P169" s="349"/>
      <c r="R169" s="525"/>
      <c r="S169" s="329" t="s">
        <v>509</v>
      </c>
      <c r="T169" s="484">
        <v>604.80000000000007</v>
      </c>
      <c r="U169" s="484">
        <v>672</v>
      </c>
      <c r="V169" s="484">
        <v>638.4</v>
      </c>
      <c r="W169" s="484">
        <v>840</v>
      </c>
      <c r="X169" s="484">
        <v>698.88</v>
      </c>
      <c r="Y169" s="484">
        <v>645.12</v>
      </c>
      <c r="Z169" s="349"/>
      <c r="AA169" s="349"/>
      <c r="AB169" s="349"/>
      <c r="AC169" s="349"/>
      <c r="AD169" s="349"/>
      <c r="AF169" s="525"/>
      <c r="AG169" s="329" t="s">
        <v>509</v>
      </c>
      <c r="AH169" s="484">
        <v>263.68</v>
      </c>
      <c r="AI169" s="484">
        <v>184.32</v>
      </c>
      <c r="AJ169" s="484">
        <v>284.16000000000003</v>
      </c>
      <c r="AK169" s="484">
        <v>327.68</v>
      </c>
      <c r="AL169" s="484">
        <v>235.52</v>
      </c>
      <c r="AM169" s="484">
        <v>286.72000000000003</v>
      </c>
      <c r="AN169" s="349"/>
      <c r="AO169" s="349"/>
      <c r="AP169" s="349"/>
      <c r="AQ169" s="349"/>
      <c r="AR169" s="349"/>
      <c r="AT169" s="525"/>
      <c r="AU169" s="329" t="s">
        <v>509</v>
      </c>
      <c r="AV169" s="484">
        <v>182.16</v>
      </c>
      <c r="AW169" s="484">
        <v>171.12</v>
      </c>
      <c r="AX169" s="484">
        <v>217.11999999999998</v>
      </c>
      <c r="AY169" s="484">
        <v>189.52</v>
      </c>
      <c r="AZ169" s="484">
        <v>185.84</v>
      </c>
      <c r="BA169" s="484">
        <v>222.64</v>
      </c>
      <c r="BB169" s="349"/>
      <c r="BC169" s="349"/>
      <c r="BD169" s="349"/>
      <c r="BE169" s="349"/>
      <c r="BF169" s="349"/>
    </row>
    <row r="170" spans="4:58" outlineLevel="1">
      <c r="D170" s="524" t="s">
        <v>27</v>
      </c>
      <c r="E170" s="329" t="s">
        <v>508</v>
      </c>
      <c r="F170" s="484" t="s">
        <v>132</v>
      </c>
      <c r="G170" s="484" t="s">
        <v>132</v>
      </c>
      <c r="H170" s="484" t="s">
        <v>132</v>
      </c>
      <c r="I170" s="484" t="s">
        <v>132</v>
      </c>
      <c r="J170" s="484" t="s">
        <v>132</v>
      </c>
      <c r="K170" s="484" t="s">
        <v>132</v>
      </c>
      <c r="L170" s="349"/>
      <c r="M170" s="349"/>
      <c r="N170" s="349"/>
      <c r="O170" s="349"/>
      <c r="P170" s="349"/>
      <c r="R170" s="524" t="s">
        <v>631</v>
      </c>
      <c r="S170" s="329" t="s">
        <v>508</v>
      </c>
      <c r="T170" s="484" t="s">
        <v>132</v>
      </c>
      <c r="U170" s="484" t="s">
        <v>132</v>
      </c>
      <c r="V170" s="484" t="s">
        <v>132</v>
      </c>
      <c r="W170" s="484" t="s">
        <v>132</v>
      </c>
      <c r="X170" s="484" t="s">
        <v>132</v>
      </c>
      <c r="Y170" s="484" t="s">
        <v>132</v>
      </c>
      <c r="Z170" s="349"/>
      <c r="AA170" s="349"/>
      <c r="AB170" s="349"/>
      <c r="AC170" s="349"/>
      <c r="AD170" s="349"/>
      <c r="AF170" s="524" t="s">
        <v>631</v>
      </c>
      <c r="AG170" s="329" t="s">
        <v>508</v>
      </c>
      <c r="AH170" s="484" t="s">
        <v>132</v>
      </c>
      <c r="AI170" s="484" t="s">
        <v>132</v>
      </c>
      <c r="AJ170" s="484" t="s">
        <v>132</v>
      </c>
      <c r="AK170" s="484" t="s">
        <v>132</v>
      </c>
      <c r="AL170" s="484" t="s">
        <v>132</v>
      </c>
      <c r="AM170" s="484" t="s">
        <v>132</v>
      </c>
      <c r="AN170" s="349"/>
      <c r="AO170" s="349"/>
      <c r="AP170" s="349"/>
      <c r="AQ170" s="349"/>
      <c r="AR170" s="349"/>
      <c r="AT170" s="524" t="s">
        <v>631</v>
      </c>
      <c r="AU170" s="329" t="s">
        <v>508</v>
      </c>
      <c r="AV170" s="484" t="s">
        <v>132</v>
      </c>
      <c r="AW170" s="484" t="s">
        <v>132</v>
      </c>
      <c r="AX170" s="484" t="s">
        <v>132</v>
      </c>
      <c r="AY170" s="484" t="s">
        <v>132</v>
      </c>
      <c r="AZ170" s="484" t="s">
        <v>132</v>
      </c>
      <c r="BA170" s="484" t="s">
        <v>132</v>
      </c>
      <c r="BB170" s="349"/>
      <c r="BC170" s="349"/>
      <c r="BD170" s="349"/>
      <c r="BE170" s="349"/>
      <c r="BF170" s="349"/>
    </row>
    <row r="171" spans="4:58" outlineLevel="1">
      <c r="D171" s="525"/>
      <c r="E171" s="329" t="s">
        <v>509</v>
      </c>
      <c r="F171" s="484" t="s">
        <v>132</v>
      </c>
      <c r="G171" s="484" t="s">
        <v>132</v>
      </c>
      <c r="H171" s="484" t="s">
        <v>132</v>
      </c>
      <c r="I171" s="484" t="s">
        <v>132</v>
      </c>
      <c r="J171" s="484" t="s">
        <v>132</v>
      </c>
      <c r="K171" s="484" t="s">
        <v>132</v>
      </c>
      <c r="L171" s="349"/>
      <c r="M171" s="349"/>
      <c r="N171" s="349"/>
      <c r="O171" s="349"/>
      <c r="P171" s="349"/>
      <c r="R171" s="525"/>
      <c r="S171" s="329" t="s">
        <v>509</v>
      </c>
      <c r="T171" s="484" t="s">
        <v>132</v>
      </c>
      <c r="U171" s="484" t="s">
        <v>132</v>
      </c>
      <c r="V171" s="484" t="s">
        <v>132</v>
      </c>
      <c r="W171" s="484" t="s">
        <v>132</v>
      </c>
      <c r="X171" s="484" t="s">
        <v>132</v>
      </c>
      <c r="Y171" s="484" t="s">
        <v>132</v>
      </c>
      <c r="Z171" s="349"/>
      <c r="AA171" s="349"/>
      <c r="AB171" s="349"/>
      <c r="AC171" s="349"/>
      <c r="AD171" s="349"/>
      <c r="AF171" s="525"/>
      <c r="AG171" s="329" t="s">
        <v>509</v>
      </c>
      <c r="AH171" s="484" t="s">
        <v>132</v>
      </c>
      <c r="AI171" s="484" t="s">
        <v>132</v>
      </c>
      <c r="AJ171" s="484" t="s">
        <v>132</v>
      </c>
      <c r="AK171" s="484" t="s">
        <v>132</v>
      </c>
      <c r="AL171" s="484" t="s">
        <v>132</v>
      </c>
      <c r="AM171" s="484" t="s">
        <v>132</v>
      </c>
      <c r="AN171" s="349"/>
      <c r="AO171" s="349"/>
      <c r="AP171" s="349"/>
      <c r="AQ171" s="349"/>
      <c r="AR171" s="349"/>
      <c r="AT171" s="525"/>
      <c r="AU171" s="329" t="s">
        <v>509</v>
      </c>
      <c r="AV171" s="484" t="s">
        <v>132</v>
      </c>
      <c r="AW171" s="484" t="s">
        <v>132</v>
      </c>
      <c r="AX171" s="484" t="s">
        <v>132</v>
      </c>
      <c r="AY171" s="484" t="s">
        <v>132</v>
      </c>
      <c r="AZ171" s="484" t="s">
        <v>132</v>
      </c>
      <c r="BA171" s="484" t="s">
        <v>132</v>
      </c>
      <c r="BB171" s="349"/>
      <c r="BC171" s="349"/>
      <c r="BD171" s="349"/>
      <c r="BE171" s="349"/>
      <c r="BF171" s="349"/>
    </row>
    <row r="172" spans="4:58" outlineLevel="1">
      <c r="D172" s="524" t="s">
        <v>28</v>
      </c>
      <c r="E172" s="329" t="s">
        <v>508</v>
      </c>
      <c r="F172" s="484">
        <v>246855.69999999998</v>
      </c>
      <c r="G172" s="484">
        <v>352651</v>
      </c>
      <c r="H172" s="484">
        <v>373810.06</v>
      </c>
      <c r="I172" s="484">
        <v>366757.04000000004</v>
      </c>
      <c r="J172" s="484">
        <v>454919.79000000004</v>
      </c>
      <c r="K172" s="484">
        <v>380863.08</v>
      </c>
      <c r="L172" s="349"/>
      <c r="M172" s="349"/>
      <c r="N172" s="349"/>
      <c r="O172" s="349"/>
      <c r="P172" s="349"/>
      <c r="R172" s="524" t="s">
        <v>28</v>
      </c>
      <c r="S172" s="329" t="s">
        <v>508</v>
      </c>
      <c r="T172" s="484">
        <v>384389.59</v>
      </c>
      <c r="U172" s="484">
        <v>433760.73</v>
      </c>
      <c r="V172" s="484">
        <v>426707.70999999996</v>
      </c>
      <c r="W172" s="484">
        <v>405548.64999999997</v>
      </c>
      <c r="X172" s="484">
        <v>366757.04000000004</v>
      </c>
      <c r="Y172" s="484">
        <v>419654.69</v>
      </c>
      <c r="Z172" s="349"/>
      <c r="AA172" s="349"/>
      <c r="AB172" s="349"/>
      <c r="AC172" s="349"/>
      <c r="AD172" s="349"/>
      <c r="AF172" s="524" t="s">
        <v>28</v>
      </c>
      <c r="AG172" s="329" t="s">
        <v>508</v>
      </c>
      <c r="AH172" s="484">
        <v>345597.98</v>
      </c>
      <c r="AI172" s="484">
        <v>384389.59</v>
      </c>
      <c r="AJ172" s="484">
        <v>416128.18</v>
      </c>
      <c r="AK172" s="484">
        <v>405548.64999999997</v>
      </c>
      <c r="AL172" s="484">
        <v>394969.12000000005</v>
      </c>
      <c r="AM172" s="484">
        <v>289173.82</v>
      </c>
      <c r="AN172" s="349"/>
      <c r="AO172" s="349"/>
      <c r="AP172" s="349"/>
      <c r="AQ172" s="349"/>
      <c r="AR172" s="349"/>
      <c r="AT172" s="524" t="s">
        <v>28</v>
      </c>
      <c r="AU172" s="329" t="s">
        <v>508</v>
      </c>
      <c r="AV172" s="484">
        <v>289173.82</v>
      </c>
      <c r="AW172" s="484">
        <v>271541.27</v>
      </c>
      <c r="AX172" s="484">
        <v>313859.39</v>
      </c>
      <c r="AY172" s="484">
        <v>282120.8</v>
      </c>
      <c r="AZ172" s="484">
        <v>402022.13999999996</v>
      </c>
      <c r="BA172" s="484">
        <v>423181.2</v>
      </c>
      <c r="BB172" s="349"/>
      <c r="BC172" s="349"/>
      <c r="BD172" s="349"/>
      <c r="BE172" s="349"/>
      <c r="BF172" s="349"/>
    </row>
    <row r="173" spans="4:58" outlineLevel="1">
      <c r="D173" s="525"/>
      <c r="E173" s="329" t="s">
        <v>509</v>
      </c>
      <c r="F173" s="484">
        <v>314.97669999999999</v>
      </c>
      <c r="G173" s="484">
        <v>413.64410000000004</v>
      </c>
      <c r="H173" s="484">
        <v>356.72059999999999</v>
      </c>
      <c r="I173" s="484">
        <v>470.56760000000003</v>
      </c>
      <c r="J173" s="484">
        <v>409.84920000000005</v>
      </c>
      <c r="K173" s="484">
        <v>296.00220000000002</v>
      </c>
      <c r="L173" s="349"/>
      <c r="M173" s="349"/>
      <c r="N173" s="349"/>
      <c r="O173" s="349"/>
      <c r="P173" s="349"/>
      <c r="R173" s="525"/>
      <c r="S173" s="329" t="s">
        <v>509</v>
      </c>
      <c r="T173" s="484">
        <v>474.36250000000001</v>
      </c>
      <c r="U173" s="484">
        <v>387.07980000000003</v>
      </c>
      <c r="V173" s="484">
        <v>280.82260000000002</v>
      </c>
      <c r="W173" s="484">
        <v>436.4135</v>
      </c>
      <c r="X173" s="484">
        <v>421.23390000000006</v>
      </c>
      <c r="Y173" s="484">
        <v>345.33590000000004</v>
      </c>
      <c r="Z173" s="349"/>
      <c r="AA173" s="349"/>
      <c r="AB173" s="349"/>
      <c r="AC173" s="349"/>
      <c r="AD173" s="349"/>
      <c r="AF173" s="525"/>
      <c r="AG173" s="329" t="s">
        <v>509</v>
      </c>
      <c r="AH173" s="484">
        <v>296.00220000000002</v>
      </c>
      <c r="AI173" s="484">
        <v>265.64299999999997</v>
      </c>
      <c r="AJ173" s="484">
        <v>390.87470000000002</v>
      </c>
      <c r="AK173" s="484">
        <v>307.38690000000003</v>
      </c>
      <c r="AL173" s="484">
        <v>440.20839999999998</v>
      </c>
      <c r="AM173" s="484">
        <v>292.20730000000003</v>
      </c>
      <c r="AN173" s="349"/>
      <c r="AO173" s="349"/>
      <c r="AP173" s="349"/>
      <c r="AQ173" s="349"/>
      <c r="AR173" s="349"/>
      <c r="AT173" s="525"/>
      <c r="AU173" s="329" t="s">
        <v>509</v>
      </c>
      <c r="AV173" s="484">
        <v>303.59200000000004</v>
      </c>
      <c r="AW173" s="484">
        <v>444.00329999999997</v>
      </c>
      <c r="AX173" s="484">
        <v>371.90019999999998</v>
      </c>
      <c r="AY173" s="484">
        <v>390.87470000000002</v>
      </c>
      <c r="AZ173" s="484">
        <v>379.49</v>
      </c>
      <c r="BA173" s="484">
        <v>394.6696</v>
      </c>
      <c r="BB173" s="349"/>
      <c r="BC173" s="349"/>
      <c r="BD173" s="349"/>
      <c r="BE173" s="349"/>
      <c r="BF173" s="349"/>
    </row>
    <row r="174" spans="4:58" outlineLevel="1">
      <c r="D174" s="526" t="s">
        <v>453</v>
      </c>
      <c r="E174" s="329" t="s">
        <v>508</v>
      </c>
      <c r="F174" s="484">
        <v>546044.84</v>
      </c>
      <c r="G174" s="484">
        <v>684284.04</v>
      </c>
      <c r="H174" s="484">
        <v>677372.08</v>
      </c>
      <c r="I174" s="484">
        <v>863995</v>
      </c>
      <c r="J174" s="484">
        <v>559868.76</v>
      </c>
      <c r="K174" s="484">
        <v>504573.08</v>
      </c>
      <c r="L174" s="349"/>
      <c r="M174" s="349"/>
      <c r="N174" s="349"/>
      <c r="O174" s="349"/>
      <c r="P174" s="349"/>
      <c r="R174" s="526" t="s">
        <v>453</v>
      </c>
      <c r="S174" s="329" t="s">
        <v>508</v>
      </c>
      <c r="T174" s="484">
        <v>753403.64</v>
      </c>
      <c r="U174" s="484">
        <v>753403.64</v>
      </c>
      <c r="V174" s="484">
        <v>774139.52</v>
      </c>
      <c r="W174" s="484">
        <v>546044.84</v>
      </c>
      <c r="X174" s="484">
        <v>608252.48</v>
      </c>
      <c r="Y174" s="484">
        <v>546044.84</v>
      </c>
      <c r="Z174" s="349"/>
      <c r="AA174" s="349"/>
      <c r="AB174" s="349"/>
      <c r="AC174" s="349"/>
      <c r="AD174" s="349"/>
      <c r="AF174" s="526" t="s">
        <v>453</v>
      </c>
      <c r="AG174" s="329" t="s">
        <v>508</v>
      </c>
      <c r="AH174" s="484">
        <v>718843.84</v>
      </c>
      <c r="AI174" s="484">
        <v>787963.44</v>
      </c>
      <c r="AJ174" s="484">
        <v>691196</v>
      </c>
      <c r="AK174" s="484">
        <v>656636.19999999995</v>
      </c>
      <c r="AL174" s="484">
        <v>857083.04</v>
      </c>
      <c r="AM174" s="484">
        <v>836347.16</v>
      </c>
      <c r="AN174" s="349"/>
      <c r="AO174" s="349"/>
      <c r="AP174" s="349"/>
      <c r="AQ174" s="349"/>
      <c r="AR174" s="349"/>
      <c r="AT174" s="526" t="s">
        <v>453</v>
      </c>
      <c r="AU174" s="329" t="s">
        <v>508</v>
      </c>
      <c r="AV174" s="484">
        <v>760315.60000000009</v>
      </c>
      <c r="AW174" s="484">
        <v>753403.64</v>
      </c>
      <c r="AX174" s="484">
        <v>663548.16000000003</v>
      </c>
      <c r="AY174" s="484">
        <v>863995</v>
      </c>
      <c r="AZ174" s="484">
        <v>711931.88</v>
      </c>
      <c r="BA174" s="484">
        <v>705019.92</v>
      </c>
      <c r="BB174" s="349"/>
      <c r="BC174" s="349"/>
      <c r="BD174" s="349"/>
      <c r="BE174" s="349"/>
      <c r="BF174" s="349"/>
    </row>
    <row r="175" spans="4:58" outlineLevel="1">
      <c r="D175" s="527"/>
      <c r="E175" s="329" t="s">
        <v>509</v>
      </c>
      <c r="F175" s="484">
        <v>944.62599999999998</v>
      </c>
      <c r="G175" s="484">
        <v>520.66</v>
      </c>
      <c r="H175" s="484">
        <v>929.75</v>
      </c>
      <c r="I175" s="484">
        <v>877.68399999999986</v>
      </c>
      <c r="J175" s="484">
        <v>535.53599999999994</v>
      </c>
      <c r="K175" s="484">
        <v>818.18000000000006</v>
      </c>
      <c r="L175" s="349"/>
      <c r="M175" s="349"/>
      <c r="N175" s="349"/>
      <c r="O175" s="349"/>
      <c r="P175" s="349"/>
      <c r="R175" s="527"/>
      <c r="S175" s="329" t="s">
        <v>509</v>
      </c>
      <c r="T175" s="484">
        <v>818.18000000000006</v>
      </c>
      <c r="U175" s="484">
        <v>885.12199999999996</v>
      </c>
      <c r="V175" s="484">
        <v>758.67599999999993</v>
      </c>
      <c r="W175" s="484">
        <v>877.68399999999986</v>
      </c>
      <c r="X175" s="484">
        <v>907.43599999999992</v>
      </c>
      <c r="Y175" s="484">
        <v>758.67599999999993</v>
      </c>
      <c r="Z175" s="349"/>
      <c r="AA175" s="349"/>
      <c r="AB175" s="349"/>
      <c r="AC175" s="349"/>
      <c r="AD175" s="349"/>
      <c r="AF175" s="527"/>
      <c r="AG175" s="329" t="s">
        <v>509</v>
      </c>
      <c r="AH175" s="484">
        <v>780.99</v>
      </c>
      <c r="AI175" s="484">
        <v>952.06399999999996</v>
      </c>
      <c r="AJ175" s="484">
        <v>565.28800000000001</v>
      </c>
      <c r="AK175" s="484">
        <v>706.6099999999999</v>
      </c>
      <c r="AL175" s="484">
        <v>929.75</v>
      </c>
      <c r="AM175" s="484">
        <v>885.12199999999996</v>
      </c>
      <c r="AN175" s="349"/>
      <c r="AO175" s="349"/>
      <c r="AP175" s="349"/>
      <c r="AQ175" s="349"/>
      <c r="AR175" s="349"/>
      <c r="AT175" s="527"/>
      <c r="AU175" s="329" t="s">
        <v>509</v>
      </c>
      <c r="AV175" s="484">
        <v>795.86599999999999</v>
      </c>
      <c r="AW175" s="484">
        <v>899.99799999999993</v>
      </c>
      <c r="AX175" s="484">
        <v>632.2299999999999</v>
      </c>
      <c r="AY175" s="484">
        <v>862.80799999999988</v>
      </c>
      <c r="AZ175" s="484">
        <v>952.06399999999996</v>
      </c>
      <c r="BA175" s="484">
        <v>535.53599999999994</v>
      </c>
      <c r="BB175" s="349"/>
      <c r="BC175" s="349"/>
      <c r="BD175" s="349"/>
      <c r="BE175" s="349"/>
      <c r="BF175" s="349"/>
    </row>
    <row r="176" spans="4:58" outlineLevel="1">
      <c r="D176" s="526" t="s">
        <v>454</v>
      </c>
      <c r="E176" s="329" t="s">
        <v>508</v>
      </c>
      <c r="F176" s="484">
        <v>1869371</v>
      </c>
      <c r="G176" s="484">
        <v>1508064</v>
      </c>
      <c r="H176" s="484">
        <v>2010752</v>
      </c>
      <c r="I176" s="484">
        <v>1696572</v>
      </c>
      <c r="J176" s="484">
        <v>1602318</v>
      </c>
      <c r="K176" s="484">
        <v>1570900</v>
      </c>
      <c r="L176" s="349"/>
      <c r="M176" s="349"/>
      <c r="N176" s="349"/>
      <c r="O176" s="349"/>
      <c r="P176" s="349"/>
      <c r="R176" s="526" t="s">
        <v>454</v>
      </c>
      <c r="S176" s="329" t="s">
        <v>508</v>
      </c>
      <c r="T176" s="484">
        <v>1649445</v>
      </c>
      <c r="U176" s="484">
        <v>1837953</v>
      </c>
      <c r="V176" s="484">
        <v>1775116.9999999998</v>
      </c>
      <c r="W176" s="484">
        <v>1979334</v>
      </c>
      <c r="X176" s="484">
        <v>1586609</v>
      </c>
      <c r="Y176" s="484">
        <v>1665154</v>
      </c>
      <c r="Z176" s="349"/>
      <c r="AA176" s="349"/>
      <c r="AB176" s="349"/>
      <c r="AC176" s="349"/>
      <c r="AD176" s="349"/>
      <c r="AF176" s="526" t="s">
        <v>454</v>
      </c>
      <c r="AG176" s="329" t="s">
        <v>508</v>
      </c>
      <c r="AH176" s="484">
        <v>1618027</v>
      </c>
      <c r="AI176" s="484">
        <v>1209593</v>
      </c>
      <c r="AJ176" s="484">
        <v>2010752</v>
      </c>
      <c r="AK176" s="484">
        <v>1586609</v>
      </c>
      <c r="AL176" s="484">
        <v>2010752</v>
      </c>
      <c r="AM176" s="484">
        <v>1241011</v>
      </c>
      <c r="AN176" s="349"/>
      <c r="AO176" s="349"/>
      <c r="AP176" s="349"/>
      <c r="AQ176" s="349"/>
      <c r="AR176" s="349"/>
      <c r="AT176" s="526" t="s">
        <v>454</v>
      </c>
      <c r="AU176" s="329" t="s">
        <v>508</v>
      </c>
      <c r="AV176" s="484">
        <v>1445228</v>
      </c>
      <c r="AW176" s="484">
        <v>1727990.0000000002</v>
      </c>
      <c r="AX176" s="484">
        <v>1146757</v>
      </c>
      <c r="AY176" s="484">
        <v>2026461</v>
      </c>
      <c r="AZ176" s="484">
        <v>1775116.9999999998</v>
      </c>
      <c r="BA176" s="484">
        <v>1178175</v>
      </c>
      <c r="BB176" s="349"/>
      <c r="BC176" s="349"/>
      <c r="BD176" s="349"/>
      <c r="BE176" s="349"/>
      <c r="BF176" s="349"/>
    </row>
    <row r="177" spans="4:58" outlineLevel="1">
      <c r="D177" s="527"/>
      <c r="E177" s="329" t="s">
        <v>509</v>
      </c>
      <c r="F177" s="484">
        <v>1859.5</v>
      </c>
      <c r="G177" s="484">
        <v>1859.5</v>
      </c>
      <c r="H177" s="484">
        <v>1915.2850000000001</v>
      </c>
      <c r="I177" s="484">
        <v>1803.7149999999999</v>
      </c>
      <c r="J177" s="484">
        <v>1971.0700000000002</v>
      </c>
      <c r="K177" s="484">
        <v>2064.0450000000001</v>
      </c>
      <c r="L177" s="349"/>
      <c r="M177" s="349"/>
      <c r="N177" s="349"/>
      <c r="O177" s="349"/>
      <c r="P177" s="349"/>
      <c r="R177" s="527"/>
      <c r="S177" s="329" t="s">
        <v>509</v>
      </c>
      <c r="T177" s="484">
        <v>2157.02</v>
      </c>
      <c r="U177" s="484">
        <v>1376.03</v>
      </c>
      <c r="V177" s="484">
        <v>2008.2600000000002</v>
      </c>
      <c r="W177" s="484">
        <v>2324.375</v>
      </c>
      <c r="X177" s="484">
        <v>1636.36</v>
      </c>
      <c r="Y177" s="484">
        <v>1878.095</v>
      </c>
      <c r="Z177" s="349"/>
      <c r="AA177" s="349"/>
      <c r="AB177" s="349"/>
      <c r="AC177" s="349"/>
      <c r="AD177" s="349"/>
      <c r="AF177" s="527"/>
      <c r="AG177" s="329" t="s">
        <v>509</v>
      </c>
      <c r="AH177" s="484">
        <v>1971.0700000000002</v>
      </c>
      <c r="AI177" s="484">
        <v>2212.8049999999998</v>
      </c>
      <c r="AJ177" s="484">
        <v>2064.0450000000001</v>
      </c>
      <c r="AK177" s="484">
        <v>1785.12</v>
      </c>
      <c r="AL177" s="484">
        <v>2157.02</v>
      </c>
      <c r="AM177" s="484">
        <v>2324.375</v>
      </c>
      <c r="AN177" s="349"/>
      <c r="AO177" s="349"/>
      <c r="AP177" s="349"/>
      <c r="AQ177" s="349"/>
      <c r="AR177" s="349"/>
      <c r="AT177" s="527"/>
      <c r="AU177" s="329" t="s">
        <v>509</v>
      </c>
      <c r="AV177" s="484">
        <v>1859.5</v>
      </c>
      <c r="AW177" s="484">
        <v>1692.145</v>
      </c>
      <c r="AX177" s="484">
        <v>1971.0700000000002</v>
      </c>
      <c r="AY177" s="484">
        <v>1376.03</v>
      </c>
      <c r="AZ177" s="484">
        <v>1394.625</v>
      </c>
      <c r="BA177" s="484">
        <v>2064.0450000000001</v>
      </c>
      <c r="BB177" s="349"/>
      <c r="BC177" s="349"/>
      <c r="BD177" s="349"/>
      <c r="BE177" s="349"/>
      <c r="BF177" s="349"/>
    </row>
    <row r="178" spans="4:58" outlineLevel="1">
      <c r="D178" s="526" t="s">
        <v>455</v>
      </c>
      <c r="E178" s="329" t="s">
        <v>508</v>
      </c>
      <c r="F178" s="484">
        <v>6729735.5999999996</v>
      </c>
      <c r="G178" s="484">
        <v>5661523.6000000006</v>
      </c>
      <c r="H178" s="484">
        <v>5821755.4000000004</v>
      </c>
      <c r="I178" s="484">
        <v>4700132.8</v>
      </c>
      <c r="J178" s="484">
        <v>6195629.5999999996</v>
      </c>
      <c r="K178" s="484">
        <v>5074007</v>
      </c>
      <c r="L178" s="349"/>
      <c r="M178" s="349"/>
      <c r="N178" s="349"/>
      <c r="O178" s="349"/>
      <c r="P178" s="349"/>
      <c r="R178" s="526" t="s">
        <v>455</v>
      </c>
      <c r="S178" s="329" t="s">
        <v>508</v>
      </c>
      <c r="T178" s="484">
        <v>5608113</v>
      </c>
      <c r="U178" s="484">
        <v>5661523.6000000006</v>
      </c>
      <c r="V178" s="484">
        <v>3738741.9999999995</v>
      </c>
      <c r="W178" s="484">
        <v>5501291.7999999998</v>
      </c>
      <c r="X178" s="484">
        <v>6943378</v>
      </c>
      <c r="Y178" s="484">
        <v>5554702.4000000004</v>
      </c>
      <c r="Z178" s="349"/>
      <c r="AA178" s="349"/>
      <c r="AB178" s="349"/>
      <c r="AC178" s="349"/>
      <c r="AD178" s="349"/>
      <c r="AF178" s="526" t="s">
        <v>455</v>
      </c>
      <c r="AG178" s="329" t="s">
        <v>508</v>
      </c>
      <c r="AH178" s="484">
        <v>4913775.2</v>
      </c>
      <c r="AI178" s="484">
        <v>5661523.6000000006</v>
      </c>
      <c r="AJ178" s="484">
        <v>5501291.7999999998</v>
      </c>
      <c r="AK178" s="484">
        <v>4753543.4000000004</v>
      </c>
      <c r="AL178" s="484">
        <v>5074007</v>
      </c>
      <c r="AM178" s="484">
        <v>3738741.9999999995</v>
      </c>
      <c r="AN178" s="349"/>
      <c r="AO178" s="349"/>
      <c r="AP178" s="349"/>
      <c r="AQ178" s="349"/>
      <c r="AR178" s="349"/>
      <c r="AT178" s="526" t="s">
        <v>455</v>
      </c>
      <c r="AU178" s="329" t="s">
        <v>508</v>
      </c>
      <c r="AV178" s="484">
        <v>6943378</v>
      </c>
      <c r="AW178" s="484">
        <v>5875166.0000000009</v>
      </c>
      <c r="AX178" s="484">
        <v>4059205.6</v>
      </c>
      <c r="AY178" s="484">
        <v>4806954</v>
      </c>
      <c r="AZ178" s="484">
        <v>6622914.4000000004</v>
      </c>
      <c r="BA178" s="484">
        <v>4059205.6</v>
      </c>
      <c r="BB178" s="349"/>
      <c r="BC178" s="349"/>
      <c r="BD178" s="349"/>
      <c r="BE178" s="349"/>
      <c r="BF178" s="349"/>
    </row>
    <row r="179" spans="4:58" outlineLevel="1">
      <c r="D179" s="527"/>
      <c r="E179" s="329" t="s">
        <v>509</v>
      </c>
      <c r="F179" s="484">
        <v>4994.38</v>
      </c>
      <c r="G179" s="484">
        <v>6069.12</v>
      </c>
      <c r="H179" s="484">
        <v>7902.5</v>
      </c>
      <c r="I179" s="484">
        <v>4551.84</v>
      </c>
      <c r="J179" s="484">
        <v>6954.2000000000007</v>
      </c>
      <c r="K179" s="484">
        <v>5120.8200000000006</v>
      </c>
      <c r="L179" s="349"/>
      <c r="M179" s="349"/>
      <c r="N179" s="349"/>
      <c r="O179" s="349"/>
      <c r="P179" s="349"/>
      <c r="R179" s="527"/>
      <c r="S179" s="329" t="s">
        <v>509</v>
      </c>
      <c r="T179" s="484">
        <v>6638.1</v>
      </c>
      <c r="U179" s="484">
        <v>7270.2999999999993</v>
      </c>
      <c r="V179" s="484">
        <v>4488.62</v>
      </c>
      <c r="W179" s="484">
        <v>6574.88</v>
      </c>
      <c r="X179" s="484">
        <v>4867.9400000000005</v>
      </c>
      <c r="Y179" s="484">
        <v>4804.72</v>
      </c>
      <c r="Z179" s="349"/>
      <c r="AA179" s="349"/>
      <c r="AB179" s="349"/>
      <c r="AC179" s="349"/>
      <c r="AD179" s="349"/>
      <c r="AF179" s="527"/>
      <c r="AG179" s="329" t="s">
        <v>509</v>
      </c>
      <c r="AH179" s="484">
        <v>7459.96</v>
      </c>
      <c r="AI179" s="484">
        <v>5436.92</v>
      </c>
      <c r="AJ179" s="484">
        <v>6827.76</v>
      </c>
      <c r="AK179" s="484">
        <v>5753.02</v>
      </c>
      <c r="AL179" s="484">
        <v>6448.4400000000005</v>
      </c>
      <c r="AM179" s="484">
        <v>7207.079999999999</v>
      </c>
      <c r="AN179" s="349"/>
      <c r="AO179" s="349"/>
      <c r="AP179" s="349"/>
      <c r="AQ179" s="349"/>
      <c r="AR179" s="349"/>
      <c r="AT179" s="527"/>
      <c r="AU179" s="329" t="s">
        <v>509</v>
      </c>
      <c r="AV179" s="484">
        <v>4678.28</v>
      </c>
      <c r="AW179" s="484">
        <v>5184.04</v>
      </c>
      <c r="AX179" s="484">
        <v>5879.46</v>
      </c>
      <c r="AY179" s="484">
        <v>7712.84</v>
      </c>
      <c r="AZ179" s="484">
        <v>8218.6</v>
      </c>
      <c r="BA179" s="484">
        <v>4804.72</v>
      </c>
      <c r="BB179" s="349"/>
      <c r="BC179" s="349"/>
      <c r="BD179" s="349"/>
      <c r="BE179" s="349"/>
      <c r="BF179" s="349"/>
    </row>
    <row r="180" spans="4:58" outlineLevel="1">
      <c r="D180" s="526" t="s">
        <v>456</v>
      </c>
      <c r="E180" s="329" t="s">
        <v>508</v>
      </c>
      <c r="F180" s="484">
        <v>25423445.599999998</v>
      </c>
      <c r="G180" s="484">
        <v>15168610.399999999</v>
      </c>
      <c r="H180" s="484">
        <v>24996160.799999997</v>
      </c>
      <c r="I180" s="484">
        <v>23073379.200000003</v>
      </c>
      <c r="J180" s="484">
        <v>21150597.600000001</v>
      </c>
      <c r="K180" s="484">
        <v>20082385.599999998</v>
      </c>
      <c r="L180" s="349"/>
      <c r="M180" s="349"/>
      <c r="N180" s="349"/>
      <c r="O180" s="349"/>
      <c r="P180" s="349"/>
      <c r="R180" s="526" t="s">
        <v>632</v>
      </c>
      <c r="S180" s="329" t="s">
        <v>508</v>
      </c>
      <c r="T180" s="484">
        <v>19441458.400000002</v>
      </c>
      <c r="U180" s="484">
        <v>16450464.800000001</v>
      </c>
      <c r="V180" s="484">
        <v>15595895.199999999</v>
      </c>
      <c r="W180" s="484">
        <v>16023180</v>
      </c>
      <c r="X180" s="484">
        <v>19441458.400000002</v>
      </c>
      <c r="Y180" s="484">
        <v>19441458.400000002</v>
      </c>
      <c r="Z180" s="349"/>
      <c r="AA180" s="349"/>
      <c r="AB180" s="349"/>
      <c r="AC180" s="349"/>
      <c r="AD180" s="349"/>
      <c r="AF180" s="526" t="s">
        <v>632</v>
      </c>
      <c r="AG180" s="329" t="s">
        <v>508</v>
      </c>
      <c r="AH180" s="484">
        <v>27346227.199999999</v>
      </c>
      <c r="AI180" s="484">
        <v>16023180</v>
      </c>
      <c r="AJ180" s="484">
        <v>26491657.600000001</v>
      </c>
      <c r="AK180" s="484">
        <v>27773512</v>
      </c>
      <c r="AL180" s="484">
        <v>16664107.200000001</v>
      </c>
      <c r="AM180" s="484">
        <v>16664107.200000001</v>
      </c>
      <c r="AN180" s="349"/>
      <c r="AO180" s="349"/>
      <c r="AP180" s="349"/>
      <c r="AQ180" s="349"/>
      <c r="AR180" s="349"/>
      <c r="AT180" s="526" t="s">
        <v>632</v>
      </c>
      <c r="AU180" s="329" t="s">
        <v>508</v>
      </c>
      <c r="AV180" s="484">
        <v>26705300</v>
      </c>
      <c r="AW180" s="484">
        <v>23287021.600000001</v>
      </c>
      <c r="AX180" s="484">
        <v>19014173.600000001</v>
      </c>
      <c r="AY180" s="484">
        <v>16236822.4</v>
      </c>
      <c r="AZ180" s="484">
        <v>21791524.800000001</v>
      </c>
      <c r="BA180" s="484">
        <v>23714306.400000002</v>
      </c>
      <c r="BB180" s="349"/>
      <c r="BC180" s="349"/>
      <c r="BD180" s="349"/>
      <c r="BE180" s="349"/>
      <c r="BF180" s="349"/>
    </row>
    <row r="181" spans="4:58" outlineLevel="1">
      <c r="D181" s="527"/>
      <c r="E181" s="329" t="s">
        <v>509</v>
      </c>
      <c r="F181" s="484">
        <v>22253.439999999999</v>
      </c>
      <c r="G181" s="484">
        <v>20230.400000000001</v>
      </c>
      <c r="H181" s="484">
        <v>25793.760000000002</v>
      </c>
      <c r="I181" s="484">
        <v>22000.560000000001</v>
      </c>
      <c r="J181" s="484">
        <v>30851.360000000001</v>
      </c>
      <c r="K181" s="484">
        <v>31357.119999999999</v>
      </c>
      <c r="L181" s="349"/>
      <c r="M181" s="349"/>
      <c r="N181" s="349"/>
      <c r="O181" s="349"/>
      <c r="P181" s="349"/>
      <c r="R181" s="527"/>
      <c r="S181" s="329" t="s">
        <v>509</v>
      </c>
      <c r="T181" s="484">
        <v>20230.400000000001</v>
      </c>
      <c r="U181" s="484">
        <v>19724.64</v>
      </c>
      <c r="V181" s="484">
        <v>20230.400000000001</v>
      </c>
      <c r="W181" s="484">
        <v>27563.920000000002</v>
      </c>
      <c r="X181" s="484">
        <v>24276.48</v>
      </c>
      <c r="Y181" s="484">
        <v>23770.719999999998</v>
      </c>
      <c r="Z181" s="349"/>
      <c r="AA181" s="349"/>
      <c r="AB181" s="349"/>
      <c r="AC181" s="349"/>
      <c r="AD181" s="349"/>
      <c r="AF181" s="527"/>
      <c r="AG181" s="329" t="s">
        <v>509</v>
      </c>
      <c r="AH181" s="484">
        <v>26805.280000000002</v>
      </c>
      <c r="AI181" s="484">
        <v>26552.400000000001</v>
      </c>
      <c r="AJ181" s="484">
        <v>18713.12</v>
      </c>
      <c r="AK181" s="484">
        <v>27311.040000000001</v>
      </c>
      <c r="AL181" s="484">
        <v>22000.560000000001</v>
      </c>
      <c r="AM181" s="484">
        <v>29081.199999999997</v>
      </c>
      <c r="AN181" s="349"/>
      <c r="AO181" s="349"/>
      <c r="AP181" s="349"/>
      <c r="AQ181" s="349"/>
      <c r="AR181" s="349"/>
      <c r="AT181" s="527"/>
      <c r="AU181" s="329" t="s">
        <v>509</v>
      </c>
      <c r="AV181" s="484">
        <v>22759.200000000001</v>
      </c>
      <c r="AW181" s="484">
        <v>30345.599999999999</v>
      </c>
      <c r="AX181" s="484">
        <v>32368.639999999999</v>
      </c>
      <c r="AY181" s="484">
        <v>31862.880000000001</v>
      </c>
      <c r="AZ181" s="484">
        <v>32621.52</v>
      </c>
      <c r="BA181" s="484">
        <v>23264.960000000003</v>
      </c>
      <c r="BB181" s="349"/>
      <c r="BC181" s="349"/>
      <c r="BD181" s="349"/>
      <c r="BE181" s="349"/>
      <c r="BF181" s="349"/>
    </row>
    <row r="182" spans="4:58" ht="24" outlineLevel="1">
      <c r="D182" s="520" t="s">
        <v>457</v>
      </c>
      <c r="E182" s="329" t="s">
        <v>508</v>
      </c>
      <c r="F182" s="484" t="s">
        <v>627</v>
      </c>
      <c r="G182" s="484" t="s">
        <v>627</v>
      </c>
      <c r="H182" s="484" t="s">
        <v>627</v>
      </c>
      <c r="I182" s="484" t="s">
        <v>627</v>
      </c>
      <c r="J182" s="484" t="s">
        <v>627</v>
      </c>
      <c r="K182" s="484" t="s">
        <v>627</v>
      </c>
      <c r="L182" s="349"/>
      <c r="M182" s="349"/>
      <c r="N182" s="349"/>
      <c r="O182" s="349"/>
      <c r="P182" s="349"/>
      <c r="R182" s="520" t="s">
        <v>457</v>
      </c>
      <c r="S182" s="329" t="s">
        <v>508</v>
      </c>
      <c r="T182" s="484" t="s">
        <v>627</v>
      </c>
      <c r="U182" s="484" t="s">
        <v>627</v>
      </c>
      <c r="V182" s="484" t="s">
        <v>627</v>
      </c>
      <c r="W182" s="484" t="s">
        <v>627</v>
      </c>
      <c r="X182" s="484" t="s">
        <v>627</v>
      </c>
      <c r="Y182" s="484" t="s">
        <v>627</v>
      </c>
      <c r="Z182" s="349"/>
      <c r="AA182" s="349"/>
      <c r="AB182" s="349"/>
      <c r="AC182" s="349"/>
      <c r="AD182" s="349"/>
      <c r="AF182" s="520" t="s">
        <v>457</v>
      </c>
      <c r="AG182" s="329" t="s">
        <v>508</v>
      </c>
      <c r="AH182" s="484" t="s">
        <v>627</v>
      </c>
      <c r="AI182" s="484" t="s">
        <v>627</v>
      </c>
      <c r="AJ182" s="484" t="s">
        <v>627</v>
      </c>
      <c r="AK182" s="484" t="s">
        <v>627</v>
      </c>
      <c r="AL182" s="484" t="s">
        <v>627</v>
      </c>
      <c r="AM182" s="484" t="s">
        <v>627</v>
      </c>
      <c r="AN182" s="349"/>
      <c r="AO182" s="349"/>
      <c r="AP182" s="349"/>
      <c r="AQ182" s="349"/>
      <c r="AR182" s="349"/>
      <c r="AT182" s="520" t="s">
        <v>457</v>
      </c>
      <c r="AU182" s="329" t="s">
        <v>508</v>
      </c>
      <c r="AV182" s="484" t="s">
        <v>627</v>
      </c>
      <c r="AW182" s="484" t="s">
        <v>627</v>
      </c>
      <c r="AX182" s="484" t="s">
        <v>627</v>
      </c>
      <c r="AY182" s="484" t="s">
        <v>627</v>
      </c>
      <c r="AZ182" s="484" t="s">
        <v>627</v>
      </c>
      <c r="BA182" s="484" t="s">
        <v>627</v>
      </c>
      <c r="BB182" s="349"/>
      <c r="BC182" s="349"/>
      <c r="BD182" s="349"/>
      <c r="BE182" s="349"/>
      <c r="BF182" s="349"/>
    </row>
    <row r="183" spans="4:58" outlineLevel="1">
      <c r="D183" s="521"/>
      <c r="E183" s="329" t="s">
        <v>511</v>
      </c>
      <c r="F183" s="483">
        <v>132.23999999999998</v>
      </c>
      <c r="G183" s="483">
        <v>133.38</v>
      </c>
      <c r="H183" s="483">
        <v>102.60000000000001</v>
      </c>
      <c r="I183" s="483">
        <v>98.039999999999992</v>
      </c>
      <c r="J183" s="483">
        <v>111.72</v>
      </c>
      <c r="K183" s="483">
        <v>143.64000000000001</v>
      </c>
      <c r="L183" s="349"/>
      <c r="M183" s="349"/>
      <c r="N183" s="349"/>
      <c r="O183" s="349"/>
      <c r="P183" s="349"/>
      <c r="R183" s="521"/>
      <c r="S183" s="329" t="s">
        <v>509</v>
      </c>
      <c r="T183" s="483">
        <v>136.79999999999998</v>
      </c>
      <c r="U183" s="483">
        <v>99.179999999999993</v>
      </c>
      <c r="V183" s="483">
        <v>98.039999999999992</v>
      </c>
      <c r="W183" s="483">
        <v>84.36</v>
      </c>
      <c r="X183" s="483">
        <v>109.44</v>
      </c>
      <c r="Y183" s="483">
        <v>136.79999999999998</v>
      </c>
      <c r="Z183" s="349"/>
      <c r="AA183" s="349"/>
      <c r="AB183" s="349"/>
      <c r="AC183" s="349"/>
      <c r="AD183" s="349"/>
      <c r="AF183" s="521"/>
      <c r="AG183" s="329" t="s">
        <v>509</v>
      </c>
      <c r="AH183" s="483">
        <v>137.94</v>
      </c>
      <c r="AI183" s="483">
        <v>125.4</v>
      </c>
      <c r="AJ183" s="483">
        <v>106.02000000000001</v>
      </c>
      <c r="AK183" s="483">
        <v>99.179999999999993</v>
      </c>
      <c r="AL183" s="483">
        <v>84.36</v>
      </c>
      <c r="AM183" s="483">
        <v>143.64000000000001</v>
      </c>
      <c r="AN183" s="349"/>
      <c r="AO183" s="349"/>
      <c r="AP183" s="349"/>
      <c r="AQ183" s="349"/>
      <c r="AR183" s="349"/>
      <c r="AT183" s="521"/>
      <c r="AU183" s="329" t="s">
        <v>509</v>
      </c>
      <c r="AV183" s="483">
        <v>79.8</v>
      </c>
      <c r="AW183" s="483">
        <v>109.44</v>
      </c>
      <c r="AX183" s="483">
        <v>132.23999999999998</v>
      </c>
      <c r="AY183" s="483">
        <v>90.06</v>
      </c>
      <c r="AZ183" s="483">
        <v>131.1</v>
      </c>
      <c r="BA183" s="483">
        <v>116.28</v>
      </c>
      <c r="BB183" s="349"/>
      <c r="BC183" s="349"/>
      <c r="BD183" s="349"/>
      <c r="BE183" s="349"/>
      <c r="BF183" s="349"/>
    </row>
    <row r="184" spans="4:58" ht="24" outlineLevel="1">
      <c r="D184" s="522" t="s">
        <v>458</v>
      </c>
      <c r="E184" s="329" t="s">
        <v>508</v>
      </c>
      <c r="F184" s="484" t="s">
        <v>627</v>
      </c>
      <c r="G184" s="484" t="s">
        <v>627</v>
      </c>
      <c r="H184" s="484" t="s">
        <v>627</v>
      </c>
      <c r="I184" s="484" t="s">
        <v>627</v>
      </c>
      <c r="J184" s="484" t="s">
        <v>627</v>
      </c>
      <c r="K184" s="484" t="s">
        <v>627</v>
      </c>
      <c r="L184" s="349"/>
      <c r="M184" s="349"/>
      <c r="N184" s="349"/>
      <c r="O184" s="349"/>
      <c r="P184" s="349"/>
      <c r="R184" s="522" t="s">
        <v>458</v>
      </c>
      <c r="S184" s="329" t="s">
        <v>508</v>
      </c>
      <c r="T184" s="484" t="s">
        <v>627</v>
      </c>
      <c r="U184" s="484" t="s">
        <v>627</v>
      </c>
      <c r="V184" s="484" t="s">
        <v>627</v>
      </c>
      <c r="W184" s="484" t="s">
        <v>627</v>
      </c>
      <c r="X184" s="484" t="s">
        <v>627</v>
      </c>
      <c r="Y184" s="484" t="s">
        <v>627</v>
      </c>
      <c r="Z184" s="349"/>
      <c r="AA184" s="349"/>
      <c r="AB184" s="349"/>
      <c r="AC184" s="349"/>
      <c r="AD184" s="349"/>
      <c r="AF184" s="522" t="s">
        <v>458</v>
      </c>
      <c r="AG184" s="329" t="s">
        <v>508</v>
      </c>
      <c r="AH184" s="484" t="s">
        <v>627</v>
      </c>
      <c r="AI184" s="484" t="s">
        <v>627</v>
      </c>
      <c r="AJ184" s="484" t="s">
        <v>627</v>
      </c>
      <c r="AK184" s="484" t="s">
        <v>627</v>
      </c>
      <c r="AL184" s="484" t="s">
        <v>627</v>
      </c>
      <c r="AM184" s="484" t="s">
        <v>627</v>
      </c>
      <c r="AN184" s="349"/>
      <c r="AO184" s="349"/>
      <c r="AP184" s="349"/>
      <c r="AQ184" s="349"/>
      <c r="AR184" s="349"/>
      <c r="AT184" s="522" t="s">
        <v>458</v>
      </c>
      <c r="AU184" s="329" t="s">
        <v>508</v>
      </c>
      <c r="AV184" s="484" t="s">
        <v>627</v>
      </c>
      <c r="AW184" s="484" t="s">
        <v>627</v>
      </c>
      <c r="AX184" s="484" t="s">
        <v>627</v>
      </c>
      <c r="AY184" s="484" t="s">
        <v>627</v>
      </c>
      <c r="AZ184" s="484" t="s">
        <v>627</v>
      </c>
      <c r="BA184" s="484" t="s">
        <v>627</v>
      </c>
      <c r="BB184" s="349"/>
      <c r="BC184" s="349"/>
      <c r="BD184" s="349"/>
      <c r="BE184" s="349"/>
      <c r="BF184" s="349"/>
    </row>
    <row r="185" spans="4:58" outlineLevel="1">
      <c r="D185" s="523"/>
      <c r="E185" s="329" t="s">
        <v>511</v>
      </c>
      <c r="F185" s="483">
        <v>108</v>
      </c>
      <c r="G185" s="483">
        <v>118.8</v>
      </c>
      <c r="H185" s="483">
        <v>135.6</v>
      </c>
      <c r="I185" s="483">
        <v>111.60000000000001</v>
      </c>
      <c r="J185" s="483">
        <v>86.399999999999991</v>
      </c>
      <c r="K185" s="483">
        <v>129.60000000000002</v>
      </c>
      <c r="L185" s="349"/>
      <c r="M185" s="349"/>
      <c r="N185" s="349"/>
      <c r="O185" s="349"/>
      <c r="P185" s="349"/>
      <c r="R185" s="523"/>
      <c r="S185" s="329" t="s">
        <v>509</v>
      </c>
      <c r="T185" s="483">
        <v>132</v>
      </c>
      <c r="U185" s="483">
        <v>156</v>
      </c>
      <c r="V185" s="483">
        <v>99.6</v>
      </c>
      <c r="W185" s="483">
        <v>127.2</v>
      </c>
      <c r="X185" s="483">
        <v>127.2</v>
      </c>
      <c r="Y185" s="483">
        <v>152.4</v>
      </c>
      <c r="Z185" s="349"/>
      <c r="AA185" s="349"/>
      <c r="AB185" s="349"/>
      <c r="AC185" s="349"/>
      <c r="AD185" s="349"/>
      <c r="AF185" s="523"/>
      <c r="AG185" s="329" t="s">
        <v>509</v>
      </c>
      <c r="AH185" s="483">
        <v>112.8</v>
      </c>
      <c r="AI185" s="483">
        <v>87.6</v>
      </c>
      <c r="AJ185" s="483">
        <v>115.19999999999999</v>
      </c>
      <c r="AK185" s="483">
        <v>146.4</v>
      </c>
      <c r="AL185" s="483">
        <v>129.60000000000002</v>
      </c>
      <c r="AM185" s="483">
        <v>87.6</v>
      </c>
      <c r="AN185" s="349"/>
      <c r="AO185" s="349"/>
      <c r="AP185" s="349"/>
      <c r="AQ185" s="349"/>
      <c r="AR185" s="349"/>
      <c r="AT185" s="523"/>
      <c r="AU185" s="329" t="s">
        <v>509</v>
      </c>
      <c r="AV185" s="483">
        <v>112.8</v>
      </c>
      <c r="AW185" s="483">
        <v>94.800000000000011</v>
      </c>
      <c r="AX185" s="483">
        <v>147.6</v>
      </c>
      <c r="AY185" s="483">
        <v>117.6</v>
      </c>
      <c r="AZ185" s="483">
        <v>120</v>
      </c>
      <c r="BA185" s="483">
        <v>100.8</v>
      </c>
      <c r="BB185" s="349"/>
      <c r="BC185" s="349"/>
      <c r="BD185" s="349"/>
      <c r="BE185" s="349"/>
      <c r="BF185" s="349"/>
    </row>
    <row r="186" spans="4:58" ht="24" outlineLevel="1">
      <c r="D186" s="522" t="s">
        <v>459</v>
      </c>
      <c r="E186" s="329" t="s">
        <v>508</v>
      </c>
      <c r="F186" s="484" t="s">
        <v>627</v>
      </c>
      <c r="G186" s="484" t="s">
        <v>627</v>
      </c>
      <c r="H186" s="484" t="s">
        <v>627</v>
      </c>
      <c r="I186" s="484" t="s">
        <v>627</v>
      </c>
      <c r="J186" s="484" t="s">
        <v>627</v>
      </c>
      <c r="K186" s="484" t="s">
        <v>627</v>
      </c>
      <c r="L186" s="349"/>
      <c r="M186" s="349"/>
      <c r="N186" s="349"/>
      <c r="O186" s="349"/>
      <c r="P186" s="349"/>
      <c r="R186" s="522" t="s">
        <v>459</v>
      </c>
      <c r="S186" s="329" t="s">
        <v>508</v>
      </c>
      <c r="T186" s="484" t="s">
        <v>627</v>
      </c>
      <c r="U186" s="484" t="s">
        <v>627</v>
      </c>
      <c r="V186" s="484" t="s">
        <v>627</v>
      </c>
      <c r="W186" s="484" t="s">
        <v>627</v>
      </c>
      <c r="X186" s="484" t="s">
        <v>627</v>
      </c>
      <c r="Y186" s="484" t="s">
        <v>627</v>
      </c>
      <c r="Z186" s="349"/>
      <c r="AA186" s="349"/>
      <c r="AB186" s="349"/>
      <c r="AC186" s="349"/>
      <c r="AD186" s="349"/>
      <c r="AF186" s="522" t="s">
        <v>459</v>
      </c>
      <c r="AG186" s="329" t="s">
        <v>508</v>
      </c>
      <c r="AH186" s="484" t="s">
        <v>627</v>
      </c>
      <c r="AI186" s="484" t="s">
        <v>627</v>
      </c>
      <c r="AJ186" s="484" t="s">
        <v>627</v>
      </c>
      <c r="AK186" s="484" t="s">
        <v>627</v>
      </c>
      <c r="AL186" s="484" t="s">
        <v>627</v>
      </c>
      <c r="AM186" s="484" t="s">
        <v>627</v>
      </c>
      <c r="AN186" s="349"/>
      <c r="AO186" s="349"/>
      <c r="AP186" s="349"/>
      <c r="AQ186" s="349"/>
      <c r="AR186" s="349"/>
      <c r="AT186" s="522" t="s">
        <v>459</v>
      </c>
      <c r="AU186" s="329" t="s">
        <v>508</v>
      </c>
      <c r="AV186" s="484" t="s">
        <v>627</v>
      </c>
      <c r="AW186" s="484" t="s">
        <v>627</v>
      </c>
      <c r="AX186" s="484" t="s">
        <v>627</v>
      </c>
      <c r="AY186" s="484" t="s">
        <v>627</v>
      </c>
      <c r="AZ186" s="484" t="s">
        <v>627</v>
      </c>
      <c r="BA186" s="484" t="s">
        <v>627</v>
      </c>
      <c r="BB186" s="349"/>
      <c r="BC186" s="349"/>
      <c r="BD186" s="349"/>
      <c r="BE186" s="349"/>
      <c r="BF186" s="349"/>
    </row>
    <row r="187" spans="4:58" outlineLevel="1">
      <c r="D187" s="523"/>
      <c r="E187" s="329" t="s">
        <v>511</v>
      </c>
      <c r="F187" s="483">
        <v>106.4</v>
      </c>
      <c r="G187" s="483">
        <v>148.4</v>
      </c>
      <c r="H187" s="483">
        <v>152.60000000000002</v>
      </c>
      <c r="I187" s="483">
        <v>162.39999999999998</v>
      </c>
      <c r="J187" s="483">
        <v>175</v>
      </c>
      <c r="K187" s="483">
        <v>152.60000000000002</v>
      </c>
      <c r="L187" s="349"/>
      <c r="M187" s="349"/>
      <c r="N187" s="349"/>
      <c r="O187" s="349"/>
      <c r="P187" s="349"/>
      <c r="R187" s="523"/>
      <c r="S187" s="329" t="s">
        <v>509</v>
      </c>
      <c r="T187" s="483">
        <v>151.20000000000002</v>
      </c>
      <c r="U187" s="483">
        <v>134.4</v>
      </c>
      <c r="V187" s="483">
        <v>161</v>
      </c>
      <c r="W187" s="483">
        <v>99.399999999999991</v>
      </c>
      <c r="X187" s="483">
        <v>123.2</v>
      </c>
      <c r="Y187" s="483">
        <v>169.4</v>
      </c>
      <c r="Z187" s="349"/>
      <c r="AA187" s="349"/>
      <c r="AB187" s="349"/>
      <c r="AC187" s="349"/>
      <c r="AD187" s="349"/>
      <c r="AF187" s="523"/>
      <c r="AG187" s="329" t="s">
        <v>509</v>
      </c>
      <c r="AH187" s="483">
        <v>151.20000000000002</v>
      </c>
      <c r="AI187" s="483">
        <v>100.8</v>
      </c>
      <c r="AJ187" s="483">
        <v>131.6</v>
      </c>
      <c r="AK187" s="483">
        <v>152.60000000000002</v>
      </c>
      <c r="AL187" s="483">
        <v>112</v>
      </c>
      <c r="AM187" s="483">
        <v>135.79999999999998</v>
      </c>
      <c r="AN187" s="349"/>
      <c r="AO187" s="349"/>
      <c r="AP187" s="349"/>
      <c r="AQ187" s="349"/>
      <c r="AR187" s="349"/>
      <c r="AT187" s="523"/>
      <c r="AU187" s="329" t="s">
        <v>509</v>
      </c>
      <c r="AV187" s="483">
        <v>177.8</v>
      </c>
      <c r="AW187" s="483">
        <v>154</v>
      </c>
      <c r="AX187" s="483">
        <v>145.6</v>
      </c>
      <c r="AY187" s="483">
        <v>126</v>
      </c>
      <c r="AZ187" s="483">
        <v>177.8</v>
      </c>
      <c r="BA187" s="483">
        <v>151.20000000000002</v>
      </c>
      <c r="BB187" s="349"/>
      <c r="BC187" s="349"/>
      <c r="BD187" s="349"/>
      <c r="BE187" s="349"/>
      <c r="BF187" s="349"/>
    </row>
    <row r="188" spans="4:58" ht="24" outlineLevel="1">
      <c r="D188" s="522" t="s">
        <v>460</v>
      </c>
      <c r="E188" s="329" t="s">
        <v>508</v>
      </c>
      <c r="F188" s="484" t="s">
        <v>627</v>
      </c>
      <c r="G188" s="484" t="s">
        <v>627</v>
      </c>
      <c r="H188" s="484" t="s">
        <v>627</v>
      </c>
      <c r="I188" s="484" t="s">
        <v>627</v>
      </c>
      <c r="J188" s="484" t="s">
        <v>627</v>
      </c>
      <c r="K188" s="484" t="s">
        <v>627</v>
      </c>
      <c r="L188" s="349"/>
      <c r="M188" s="349"/>
      <c r="N188" s="349"/>
      <c r="O188" s="349"/>
      <c r="P188" s="349"/>
      <c r="R188" s="522" t="s">
        <v>460</v>
      </c>
      <c r="S188" s="329" t="s">
        <v>508</v>
      </c>
      <c r="T188" s="484" t="s">
        <v>627</v>
      </c>
      <c r="U188" s="484" t="s">
        <v>627</v>
      </c>
      <c r="V188" s="484" t="s">
        <v>627</v>
      </c>
      <c r="W188" s="484" t="s">
        <v>627</v>
      </c>
      <c r="X188" s="484" t="s">
        <v>627</v>
      </c>
      <c r="Y188" s="484" t="s">
        <v>627</v>
      </c>
      <c r="Z188" s="349"/>
      <c r="AA188" s="349"/>
      <c r="AB188" s="349"/>
      <c r="AC188" s="349"/>
      <c r="AD188" s="349"/>
      <c r="AF188" s="522" t="s">
        <v>460</v>
      </c>
      <c r="AG188" s="329" t="s">
        <v>508</v>
      </c>
      <c r="AH188" s="484" t="s">
        <v>627</v>
      </c>
      <c r="AI188" s="484" t="s">
        <v>627</v>
      </c>
      <c r="AJ188" s="484" t="s">
        <v>627</v>
      </c>
      <c r="AK188" s="484" t="s">
        <v>627</v>
      </c>
      <c r="AL188" s="484" t="s">
        <v>627</v>
      </c>
      <c r="AM188" s="484" t="s">
        <v>627</v>
      </c>
      <c r="AN188" s="349"/>
      <c r="AO188" s="349"/>
      <c r="AP188" s="349"/>
      <c r="AQ188" s="349"/>
      <c r="AR188" s="349"/>
      <c r="AT188" s="522" t="s">
        <v>460</v>
      </c>
      <c r="AU188" s="329" t="s">
        <v>508</v>
      </c>
      <c r="AV188" s="484" t="s">
        <v>627</v>
      </c>
      <c r="AW188" s="484" t="s">
        <v>627</v>
      </c>
      <c r="AX188" s="484" t="s">
        <v>627</v>
      </c>
      <c r="AY188" s="484" t="s">
        <v>627</v>
      </c>
      <c r="AZ188" s="484" t="s">
        <v>627</v>
      </c>
      <c r="BA188" s="484" t="s">
        <v>627</v>
      </c>
      <c r="BB188" s="349"/>
      <c r="BC188" s="349"/>
      <c r="BD188" s="349"/>
      <c r="BE188" s="349"/>
      <c r="BF188" s="349"/>
    </row>
    <row r="189" spans="4:58" outlineLevel="1">
      <c r="D189" s="523"/>
      <c r="E189" s="329" t="s">
        <v>511</v>
      </c>
      <c r="F189" s="483">
        <v>127.91999999999999</v>
      </c>
      <c r="G189" s="483">
        <v>196.56</v>
      </c>
      <c r="H189" s="483">
        <v>159.12</v>
      </c>
      <c r="I189" s="483">
        <v>179.39999999999998</v>
      </c>
      <c r="J189" s="483">
        <v>134.16</v>
      </c>
      <c r="K189" s="483">
        <v>135.72</v>
      </c>
      <c r="L189" s="349"/>
      <c r="M189" s="349"/>
      <c r="N189" s="349"/>
      <c r="O189" s="349"/>
      <c r="P189" s="349"/>
      <c r="R189" s="523"/>
      <c r="S189" s="329" t="s">
        <v>509</v>
      </c>
      <c r="T189" s="483">
        <v>154.44</v>
      </c>
      <c r="U189" s="483">
        <v>157.56</v>
      </c>
      <c r="V189" s="483">
        <v>196.56</v>
      </c>
      <c r="W189" s="483">
        <v>112.32</v>
      </c>
      <c r="X189" s="483">
        <v>157.56</v>
      </c>
      <c r="Y189" s="483">
        <v>198.12</v>
      </c>
      <c r="Z189" s="349"/>
      <c r="AA189" s="349"/>
      <c r="AB189" s="349"/>
      <c r="AC189" s="349"/>
      <c r="AD189" s="349"/>
      <c r="AF189" s="523"/>
      <c r="AG189" s="329" t="s">
        <v>509</v>
      </c>
      <c r="AH189" s="483">
        <v>168.48000000000002</v>
      </c>
      <c r="AI189" s="483">
        <v>118.56</v>
      </c>
      <c r="AJ189" s="483">
        <v>187.2</v>
      </c>
      <c r="AK189" s="483">
        <v>140.4</v>
      </c>
      <c r="AL189" s="483">
        <v>201.24</v>
      </c>
      <c r="AM189" s="483">
        <v>190.32</v>
      </c>
      <c r="AN189" s="349"/>
      <c r="AO189" s="349"/>
      <c r="AP189" s="349"/>
      <c r="AQ189" s="349"/>
      <c r="AR189" s="349"/>
      <c r="AT189" s="523"/>
      <c r="AU189" s="329" t="s">
        <v>509</v>
      </c>
      <c r="AV189" s="483">
        <v>191.88</v>
      </c>
      <c r="AW189" s="483">
        <v>113.88</v>
      </c>
      <c r="AX189" s="483">
        <v>109.19999999999999</v>
      </c>
      <c r="AY189" s="483">
        <v>148.19999999999999</v>
      </c>
      <c r="AZ189" s="483">
        <v>138.84</v>
      </c>
      <c r="BA189" s="483">
        <v>177.83999999999997</v>
      </c>
      <c r="BB189" s="349"/>
      <c r="BC189" s="349"/>
      <c r="BD189" s="349"/>
      <c r="BE189" s="349"/>
      <c r="BF189" s="349"/>
    </row>
    <row r="190" spans="4:58" ht="24" outlineLevel="1">
      <c r="D190" s="522" t="s">
        <v>461</v>
      </c>
      <c r="E190" s="329" t="s">
        <v>508</v>
      </c>
      <c r="F190" s="484" t="s">
        <v>627</v>
      </c>
      <c r="G190" s="484" t="s">
        <v>627</v>
      </c>
      <c r="H190" s="484" t="s">
        <v>627</v>
      </c>
      <c r="I190" s="484" t="s">
        <v>627</v>
      </c>
      <c r="J190" s="484" t="s">
        <v>627</v>
      </c>
      <c r="K190" s="484" t="s">
        <v>627</v>
      </c>
      <c r="L190" s="349"/>
      <c r="M190" s="349"/>
      <c r="N190" s="349"/>
      <c r="O190" s="349"/>
      <c r="P190" s="349"/>
      <c r="R190" s="522" t="s">
        <v>461</v>
      </c>
      <c r="S190" s="329" t="s">
        <v>508</v>
      </c>
      <c r="T190" s="484" t="s">
        <v>627</v>
      </c>
      <c r="U190" s="484" t="s">
        <v>627</v>
      </c>
      <c r="V190" s="484" t="s">
        <v>627</v>
      </c>
      <c r="W190" s="484" t="s">
        <v>627</v>
      </c>
      <c r="X190" s="484" t="s">
        <v>627</v>
      </c>
      <c r="Y190" s="484" t="s">
        <v>627</v>
      </c>
      <c r="Z190" s="349"/>
      <c r="AA190" s="349"/>
      <c r="AB190" s="349"/>
      <c r="AC190" s="349"/>
      <c r="AD190" s="349"/>
      <c r="AF190" s="522" t="s">
        <v>461</v>
      </c>
      <c r="AG190" s="329" t="s">
        <v>508</v>
      </c>
      <c r="AH190" s="484" t="s">
        <v>627</v>
      </c>
      <c r="AI190" s="484" t="s">
        <v>627</v>
      </c>
      <c r="AJ190" s="484" t="s">
        <v>627</v>
      </c>
      <c r="AK190" s="484" t="s">
        <v>627</v>
      </c>
      <c r="AL190" s="484" t="s">
        <v>627</v>
      </c>
      <c r="AM190" s="484" t="s">
        <v>627</v>
      </c>
      <c r="AN190" s="349"/>
      <c r="AO190" s="349"/>
      <c r="AP190" s="349"/>
      <c r="AQ190" s="349"/>
      <c r="AR190" s="349"/>
      <c r="AT190" s="522" t="s">
        <v>461</v>
      </c>
      <c r="AU190" s="329" t="s">
        <v>508</v>
      </c>
      <c r="AV190" s="484" t="s">
        <v>627</v>
      </c>
      <c r="AW190" s="484" t="s">
        <v>627</v>
      </c>
      <c r="AX190" s="484" t="s">
        <v>627</v>
      </c>
      <c r="AY190" s="484" t="s">
        <v>627</v>
      </c>
      <c r="AZ190" s="484" t="s">
        <v>627</v>
      </c>
      <c r="BA190" s="484" t="s">
        <v>627</v>
      </c>
      <c r="BB190" s="349"/>
      <c r="BC190" s="349"/>
      <c r="BD190" s="349"/>
      <c r="BE190" s="349"/>
      <c r="BF190" s="349"/>
    </row>
    <row r="191" spans="4:58" outlineLevel="1">
      <c r="D191" s="523"/>
      <c r="E191" s="329" t="s">
        <v>511</v>
      </c>
      <c r="F191" s="483">
        <v>136.80000000000001</v>
      </c>
      <c r="G191" s="483">
        <v>140.4</v>
      </c>
      <c r="H191" s="483">
        <v>232.20000000000002</v>
      </c>
      <c r="I191" s="483">
        <v>183.6</v>
      </c>
      <c r="J191" s="483">
        <v>153</v>
      </c>
      <c r="K191" s="483">
        <v>144</v>
      </c>
      <c r="L191" s="349"/>
      <c r="M191" s="349"/>
      <c r="N191" s="349"/>
      <c r="O191" s="349"/>
      <c r="P191" s="349"/>
      <c r="R191" s="523"/>
      <c r="S191" s="329" t="s">
        <v>509</v>
      </c>
      <c r="T191" s="483">
        <v>230.4</v>
      </c>
      <c r="U191" s="483">
        <v>198.00000000000003</v>
      </c>
      <c r="V191" s="483">
        <v>212.39999999999998</v>
      </c>
      <c r="W191" s="483">
        <v>199.8</v>
      </c>
      <c r="X191" s="483">
        <v>232.20000000000002</v>
      </c>
      <c r="Y191" s="483">
        <v>133.19999999999999</v>
      </c>
      <c r="Z191" s="349"/>
      <c r="AA191" s="349"/>
      <c r="AB191" s="349"/>
      <c r="AC191" s="349"/>
      <c r="AD191" s="349"/>
      <c r="AF191" s="523"/>
      <c r="AG191" s="329" t="s">
        <v>509</v>
      </c>
      <c r="AH191" s="483">
        <v>165.6</v>
      </c>
      <c r="AI191" s="483">
        <v>214.2</v>
      </c>
      <c r="AJ191" s="483">
        <v>223.2</v>
      </c>
      <c r="AK191" s="483">
        <v>199.8</v>
      </c>
      <c r="AL191" s="483">
        <v>163.80000000000001</v>
      </c>
      <c r="AM191" s="483">
        <v>203.39999999999998</v>
      </c>
      <c r="AN191" s="349"/>
      <c r="AO191" s="349"/>
      <c r="AP191" s="349"/>
      <c r="AQ191" s="349"/>
      <c r="AR191" s="349"/>
      <c r="AT191" s="523"/>
      <c r="AU191" s="329" t="s">
        <v>509</v>
      </c>
      <c r="AV191" s="483">
        <v>214.2</v>
      </c>
      <c r="AW191" s="483">
        <v>167.4</v>
      </c>
      <c r="AX191" s="483">
        <v>156.6</v>
      </c>
      <c r="AY191" s="483">
        <v>144</v>
      </c>
      <c r="AZ191" s="483">
        <v>185.4</v>
      </c>
      <c r="BA191" s="483">
        <v>174.6</v>
      </c>
      <c r="BB191" s="349"/>
      <c r="BC191" s="349"/>
      <c r="BD191" s="349"/>
      <c r="BE191" s="349"/>
      <c r="BF191" s="349"/>
    </row>
    <row r="192" spans="4:58" ht="24" outlineLevel="1">
      <c r="D192" s="522" t="s">
        <v>462</v>
      </c>
      <c r="E192" s="329" t="s">
        <v>508</v>
      </c>
      <c r="F192" s="484" t="s">
        <v>627</v>
      </c>
      <c r="G192" s="484" t="s">
        <v>627</v>
      </c>
      <c r="H192" s="484" t="s">
        <v>627</v>
      </c>
      <c r="I192" s="484" t="s">
        <v>627</v>
      </c>
      <c r="J192" s="484" t="s">
        <v>627</v>
      </c>
      <c r="K192" s="484" t="s">
        <v>627</v>
      </c>
      <c r="L192" s="349"/>
      <c r="M192" s="349"/>
      <c r="N192" s="349"/>
      <c r="O192" s="349"/>
      <c r="P192" s="349"/>
      <c r="R192" s="522" t="s">
        <v>462</v>
      </c>
      <c r="S192" s="329" t="s">
        <v>508</v>
      </c>
      <c r="T192" s="484" t="s">
        <v>627</v>
      </c>
      <c r="U192" s="484" t="s">
        <v>627</v>
      </c>
      <c r="V192" s="484" t="s">
        <v>627</v>
      </c>
      <c r="W192" s="484" t="s">
        <v>627</v>
      </c>
      <c r="X192" s="484" t="s">
        <v>627</v>
      </c>
      <c r="Y192" s="484" t="s">
        <v>627</v>
      </c>
      <c r="Z192" s="349"/>
      <c r="AA192" s="349"/>
      <c r="AB192" s="349"/>
      <c r="AC192" s="349"/>
      <c r="AD192" s="349"/>
      <c r="AF192" s="522" t="s">
        <v>462</v>
      </c>
      <c r="AG192" s="329" t="s">
        <v>508</v>
      </c>
      <c r="AH192" s="484" t="s">
        <v>627</v>
      </c>
      <c r="AI192" s="484" t="s">
        <v>627</v>
      </c>
      <c r="AJ192" s="484" t="s">
        <v>627</v>
      </c>
      <c r="AK192" s="484" t="s">
        <v>627</v>
      </c>
      <c r="AL192" s="484" t="s">
        <v>627</v>
      </c>
      <c r="AM192" s="484" t="s">
        <v>627</v>
      </c>
      <c r="AN192" s="349"/>
      <c r="AO192" s="349"/>
      <c r="AP192" s="349"/>
      <c r="AQ192" s="349"/>
      <c r="AR192" s="349"/>
      <c r="AT192" s="522" t="s">
        <v>462</v>
      </c>
      <c r="AU192" s="329" t="s">
        <v>508</v>
      </c>
      <c r="AV192" s="484" t="s">
        <v>627</v>
      </c>
      <c r="AW192" s="484" t="s">
        <v>627</v>
      </c>
      <c r="AX192" s="484" t="s">
        <v>627</v>
      </c>
      <c r="AY192" s="484" t="s">
        <v>627</v>
      </c>
      <c r="AZ192" s="484" t="s">
        <v>627</v>
      </c>
      <c r="BA192" s="484" t="s">
        <v>627</v>
      </c>
      <c r="BB192" s="349"/>
      <c r="BC192" s="349"/>
      <c r="BD192" s="349"/>
      <c r="BE192" s="349"/>
      <c r="BF192" s="349"/>
    </row>
    <row r="193" spans="4:58" outlineLevel="1">
      <c r="D193" s="523"/>
      <c r="E193" s="329" t="s">
        <v>511</v>
      </c>
      <c r="F193" s="483">
        <v>251.46</v>
      </c>
      <c r="G193" s="483">
        <v>188.1</v>
      </c>
      <c r="H193" s="483">
        <v>253.44</v>
      </c>
      <c r="I193" s="483">
        <v>199.98</v>
      </c>
      <c r="J193" s="483">
        <v>160.38000000000002</v>
      </c>
      <c r="K193" s="483">
        <v>198</v>
      </c>
      <c r="L193" s="349"/>
      <c r="M193" s="349"/>
      <c r="N193" s="349"/>
      <c r="O193" s="349"/>
      <c r="P193" s="349"/>
      <c r="R193" s="523"/>
      <c r="S193" s="329" t="s">
        <v>509</v>
      </c>
      <c r="T193" s="483">
        <v>247.5</v>
      </c>
      <c r="U193" s="483">
        <v>148.5</v>
      </c>
      <c r="V193" s="483">
        <v>215.82000000000002</v>
      </c>
      <c r="W193" s="483">
        <v>194.04</v>
      </c>
      <c r="X193" s="483">
        <v>154.44</v>
      </c>
      <c r="Y193" s="483">
        <v>199.98</v>
      </c>
      <c r="Z193" s="349"/>
      <c r="AA193" s="349"/>
      <c r="AB193" s="349"/>
      <c r="AC193" s="349"/>
      <c r="AD193" s="349"/>
      <c r="AF193" s="523"/>
      <c r="AG193" s="329" t="s">
        <v>509</v>
      </c>
      <c r="AH193" s="483">
        <v>144.54</v>
      </c>
      <c r="AI193" s="483">
        <v>154.44</v>
      </c>
      <c r="AJ193" s="483">
        <v>249.48</v>
      </c>
      <c r="AK193" s="483">
        <v>164.34</v>
      </c>
      <c r="AL193" s="483">
        <v>188.1</v>
      </c>
      <c r="AM193" s="483">
        <v>237.6</v>
      </c>
      <c r="AN193" s="349"/>
      <c r="AO193" s="349"/>
      <c r="AP193" s="349"/>
      <c r="AQ193" s="349"/>
      <c r="AR193" s="349"/>
      <c r="AT193" s="523"/>
      <c r="AU193" s="329" t="s">
        <v>509</v>
      </c>
      <c r="AV193" s="483">
        <v>172.26</v>
      </c>
      <c r="AW193" s="483">
        <v>203.94</v>
      </c>
      <c r="AX193" s="483">
        <v>192.06</v>
      </c>
      <c r="AY193" s="483">
        <v>211.86</v>
      </c>
      <c r="AZ193" s="483">
        <v>190.07999999999998</v>
      </c>
      <c r="BA193" s="483">
        <v>162.35999999999999</v>
      </c>
      <c r="BB193" s="349"/>
      <c r="BC193" s="349"/>
      <c r="BD193" s="349"/>
      <c r="BE193" s="349"/>
      <c r="BF193" s="349"/>
    </row>
    <row r="194" spans="4:58" ht="24" outlineLevel="1">
      <c r="D194" s="522" t="s">
        <v>463</v>
      </c>
      <c r="E194" s="329" t="s">
        <v>508</v>
      </c>
      <c r="F194" s="484" t="s">
        <v>627</v>
      </c>
      <c r="G194" s="484" t="s">
        <v>627</v>
      </c>
      <c r="H194" s="484" t="s">
        <v>627</v>
      </c>
      <c r="I194" s="484" t="s">
        <v>627</v>
      </c>
      <c r="J194" s="484" t="s">
        <v>627</v>
      </c>
      <c r="K194" s="484" t="s">
        <v>627</v>
      </c>
      <c r="L194" s="349"/>
      <c r="M194" s="349"/>
      <c r="N194" s="349"/>
      <c r="O194" s="349"/>
      <c r="P194" s="349"/>
      <c r="R194" s="522" t="s">
        <v>463</v>
      </c>
      <c r="S194" s="329" t="s">
        <v>508</v>
      </c>
      <c r="T194" s="484" t="s">
        <v>627</v>
      </c>
      <c r="U194" s="484" t="s">
        <v>627</v>
      </c>
      <c r="V194" s="484" t="s">
        <v>627</v>
      </c>
      <c r="W194" s="484" t="s">
        <v>627</v>
      </c>
      <c r="X194" s="484" t="s">
        <v>627</v>
      </c>
      <c r="Y194" s="484" t="s">
        <v>627</v>
      </c>
      <c r="Z194" s="349"/>
      <c r="AA194" s="349"/>
      <c r="AB194" s="349"/>
      <c r="AC194" s="349"/>
      <c r="AD194" s="349"/>
      <c r="AF194" s="522" t="s">
        <v>463</v>
      </c>
      <c r="AG194" s="329" t="s">
        <v>508</v>
      </c>
      <c r="AH194" s="484" t="s">
        <v>627</v>
      </c>
      <c r="AI194" s="484" t="s">
        <v>627</v>
      </c>
      <c r="AJ194" s="484" t="s">
        <v>627</v>
      </c>
      <c r="AK194" s="484" t="s">
        <v>627</v>
      </c>
      <c r="AL194" s="484" t="s">
        <v>627</v>
      </c>
      <c r="AM194" s="484" t="s">
        <v>627</v>
      </c>
      <c r="AN194" s="349"/>
      <c r="AO194" s="349"/>
      <c r="AP194" s="349"/>
      <c r="AQ194" s="349"/>
      <c r="AR194" s="349"/>
      <c r="AT194" s="522" t="s">
        <v>463</v>
      </c>
      <c r="AU194" s="329" t="s">
        <v>508</v>
      </c>
      <c r="AV194" s="484" t="s">
        <v>627</v>
      </c>
      <c r="AW194" s="484" t="s">
        <v>627</v>
      </c>
      <c r="AX194" s="484" t="s">
        <v>627</v>
      </c>
      <c r="AY194" s="484" t="s">
        <v>627</v>
      </c>
      <c r="AZ194" s="484" t="s">
        <v>627</v>
      </c>
      <c r="BA194" s="484" t="s">
        <v>627</v>
      </c>
      <c r="BB194" s="349"/>
      <c r="BC194" s="349"/>
      <c r="BD194" s="349"/>
      <c r="BE194" s="349"/>
      <c r="BF194" s="349"/>
    </row>
    <row r="195" spans="4:58" outlineLevel="1">
      <c r="D195" s="523"/>
      <c r="E195" s="329" t="s">
        <v>511</v>
      </c>
      <c r="F195" s="483">
        <v>220.5</v>
      </c>
      <c r="G195" s="483">
        <v>189</v>
      </c>
      <c r="H195" s="483">
        <v>170.10000000000002</v>
      </c>
      <c r="I195" s="483">
        <v>195.3</v>
      </c>
      <c r="J195" s="483">
        <v>210</v>
      </c>
      <c r="K195" s="483">
        <v>214.20000000000002</v>
      </c>
      <c r="L195" s="349"/>
      <c r="M195" s="349"/>
      <c r="N195" s="349"/>
      <c r="O195" s="349"/>
      <c r="P195" s="349"/>
      <c r="R195" s="523"/>
      <c r="S195" s="329" t="s">
        <v>509</v>
      </c>
      <c r="T195" s="483">
        <v>170.10000000000002</v>
      </c>
      <c r="U195" s="483">
        <v>266.7</v>
      </c>
      <c r="V195" s="483">
        <v>201.6</v>
      </c>
      <c r="W195" s="483">
        <v>264.60000000000002</v>
      </c>
      <c r="X195" s="483">
        <v>161.70000000000002</v>
      </c>
      <c r="Y195" s="483">
        <v>245.7</v>
      </c>
      <c r="Z195" s="349"/>
      <c r="AA195" s="349"/>
      <c r="AB195" s="349"/>
      <c r="AC195" s="349"/>
      <c r="AD195" s="349"/>
      <c r="AF195" s="523"/>
      <c r="AG195" s="329" t="s">
        <v>509</v>
      </c>
      <c r="AH195" s="483">
        <v>249.89999999999998</v>
      </c>
      <c r="AI195" s="483">
        <v>239.39999999999998</v>
      </c>
      <c r="AJ195" s="483">
        <v>182.7</v>
      </c>
      <c r="AK195" s="483">
        <v>239.39999999999998</v>
      </c>
      <c r="AL195" s="483">
        <v>260.39999999999998</v>
      </c>
      <c r="AM195" s="483">
        <v>273</v>
      </c>
      <c r="AN195" s="349"/>
      <c r="AO195" s="349"/>
      <c r="AP195" s="349"/>
      <c r="AQ195" s="349"/>
      <c r="AR195" s="349"/>
      <c r="AT195" s="523"/>
      <c r="AU195" s="329" t="s">
        <v>509</v>
      </c>
      <c r="AV195" s="483">
        <v>205.79999999999998</v>
      </c>
      <c r="AW195" s="483">
        <v>184.8</v>
      </c>
      <c r="AX195" s="483">
        <v>159.6</v>
      </c>
      <c r="AY195" s="483">
        <v>189</v>
      </c>
      <c r="AZ195" s="483">
        <v>243.6</v>
      </c>
      <c r="BA195" s="483">
        <v>256.2</v>
      </c>
      <c r="BB195" s="349"/>
      <c r="BC195" s="349"/>
      <c r="BD195" s="349"/>
      <c r="BE195" s="349"/>
      <c r="BF195" s="349"/>
    </row>
    <row r="196" spans="4:58" ht="24" outlineLevel="1">
      <c r="D196" s="522" t="s">
        <v>464</v>
      </c>
      <c r="E196" s="329" t="s">
        <v>508</v>
      </c>
      <c r="F196" s="484" t="s">
        <v>627</v>
      </c>
      <c r="G196" s="484" t="s">
        <v>627</v>
      </c>
      <c r="H196" s="484" t="s">
        <v>627</v>
      </c>
      <c r="I196" s="484" t="s">
        <v>627</v>
      </c>
      <c r="J196" s="484" t="s">
        <v>627</v>
      </c>
      <c r="K196" s="484" t="s">
        <v>627</v>
      </c>
      <c r="L196" s="349"/>
      <c r="M196" s="349"/>
      <c r="N196" s="349"/>
      <c r="O196" s="349"/>
      <c r="P196" s="349"/>
      <c r="R196" s="522" t="s">
        <v>464</v>
      </c>
      <c r="S196" s="329" t="s">
        <v>508</v>
      </c>
      <c r="T196" s="484" t="s">
        <v>627</v>
      </c>
      <c r="U196" s="484" t="s">
        <v>627</v>
      </c>
      <c r="V196" s="484" t="s">
        <v>627</v>
      </c>
      <c r="W196" s="484" t="s">
        <v>627</v>
      </c>
      <c r="X196" s="484" t="s">
        <v>627</v>
      </c>
      <c r="Y196" s="484" t="s">
        <v>627</v>
      </c>
      <c r="Z196" s="349"/>
      <c r="AA196" s="349"/>
      <c r="AB196" s="349"/>
      <c r="AC196" s="349"/>
      <c r="AD196" s="349"/>
      <c r="AF196" s="522" t="s">
        <v>464</v>
      </c>
      <c r="AG196" s="329" t="s">
        <v>508</v>
      </c>
      <c r="AH196" s="484" t="s">
        <v>627</v>
      </c>
      <c r="AI196" s="484" t="s">
        <v>627</v>
      </c>
      <c r="AJ196" s="484" t="s">
        <v>627</v>
      </c>
      <c r="AK196" s="484" t="s">
        <v>627</v>
      </c>
      <c r="AL196" s="484" t="s">
        <v>627</v>
      </c>
      <c r="AM196" s="484" t="s">
        <v>627</v>
      </c>
      <c r="AN196" s="349"/>
      <c r="AO196" s="349"/>
      <c r="AP196" s="349"/>
      <c r="AQ196" s="349"/>
      <c r="AR196" s="349"/>
      <c r="AT196" s="522" t="s">
        <v>464</v>
      </c>
      <c r="AU196" s="329" t="s">
        <v>508</v>
      </c>
      <c r="AV196" s="484" t="s">
        <v>627</v>
      </c>
      <c r="AW196" s="484" t="s">
        <v>627</v>
      </c>
      <c r="AX196" s="484" t="s">
        <v>627</v>
      </c>
      <c r="AY196" s="484" t="s">
        <v>627</v>
      </c>
      <c r="AZ196" s="484" t="s">
        <v>627</v>
      </c>
      <c r="BA196" s="484" t="s">
        <v>627</v>
      </c>
      <c r="BB196" s="349"/>
      <c r="BC196" s="349"/>
      <c r="BD196" s="349"/>
      <c r="BE196" s="349"/>
      <c r="BF196" s="349"/>
    </row>
    <row r="197" spans="4:58" outlineLevel="1">
      <c r="D197" s="523"/>
      <c r="E197" s="329" t="s">
        <v>511</v>
      </c>
      <c r="F197" s="483">
        <v>194.4</v>
      </c>
      <c r="G197" s="483">
        <v>192.24</v>
      </c>
      <c r="H197" s="483">
        <v>205.2</v>
      </c>
      <c r="I197" s="483">
        <v>246.23999999999998</v>
      </c>
      <c r="J197" s="483">
        <v>198.72</v>
      </c>
      <c r="K197" s="483">
        <v>226.8</v>
      </c>
      <c r="L197" s="349"/>
      <c r="M197" s="349"/>
      <c r="N197" s="349"/>
      <c r="O197" s="349"/>
      <c r="P197" s="349"/>
      <c r="R197" s="523"/>
      <c r="S197" s="329" t="s">
        <v>509</v>
      </c>
      <c r="T197" s="483">
        <v>157.68</v>
      </c>
      <c r="U197" s="483">
        <v>196.56</v>
      </c>
      <c r="V197" s="483">
        <v>205.2</v>
      </c>
      <c r="W197" s="483">
        <v>207.35999999999999</v>
      </c>
      <c r="X197" s="483">
        <v>190.08</v>
      </c>
      <c r="Y197" s="483">
        <v>213.84</v>
      </c>
      <c r="Z197" s="349"/>
      <c r="AA197" s="349"/>
      <c r="AB197" s="349"/>
      <c r="AC197" s="349"/>
      <c r="AD197" s="349"/>
      <c r="AF197" s="523"/>
      <c r="AG197" s="329" t="s">
        <v>509</v>
      </c>
      <c r="AH197" s="483">
        <v>272.16000000000003</v>
      </c>
      <c r="AI197" s="483">
        <v>233.28000000000003</v>
      </c>
      <c r="AJ197" s="483">
        <v>196.56</v>
      </c>
      <c r="AK197" s="483">
        <v>162</v>
      </c>
      <c r="AL197" s="483">
        <v>205.2</v>
      </c>
      <c r="AM197" s="483">
        <v>261.36</v>
      </c>
      <c r="AN197" s="349"/>
      <c r="AO197" s="349"/>
      <c r="AP197" s="349"/>
      <c r="AQ197" s="349"/>
      <c r="AR197" s="349"/>
      <c r="AT197" s="523"/>
      <c r="AU197" s="329" t="s">
        <v>509</v>
      </c>
      <c r="AV197" s="483">
        <v>239.76000000000002</v>
      </c>
      <c r="AW197" s="483">
        <v>254.88</v>
      </c>
      <c r="AX197" s="483">
        <v>267.83999999999997</v>
      </c>
      <c r="AY197" s="483">
        <v>213.84</v>
      </c>
      <c r="AZ197" s="483">
        <v>237.60000000000002</v>
      </c>
      <c r="BA197" s="483">
        <v>228.96</v>
      </c>
      <c r="BB197" s="349"/>
      <c r="BC197" s="349"/>
      <c r="BD197" s="349"/>
      <c r="BE197" s="349"/>
      <c r="BF197" s="349"/>
    </row>
    <row r="198" spans="4:58" ht="24" outlineLevel="1">
      <c r="D198" s="522" t="s">
        <v>465</v>
      </c>
      <c r="E198" s="329" t="s">
        <v>508</v>
      </c>
      <c r="F198" s="484" t="s">
        <v>627</v>
      </c>
      <c r="G198" s="484" t="s">
        <v>627</v>
      </c>
      <c r="H198" s="484" t="s">
        <v>627</v>
      </c>
      <c r="I198" s="484" t="s">
        <v>627</v>
      </c>
      <c r="J198" s="484" t="s">
        <v>627</v>
      </c>
      <c r="K198" s="484" t="s">
        <v>627</v>
      </c>
      <c r="L198" s="349"/>
      <c r="M198" s="349"/>
      <c r="N198" s="349"/>
      <c r="O198" s="349"/>
      <c r="P198" s="349"/>
      <c r="R198" s="522" t="s">
        <v>465</v>
      </c>
      <c r="S198" s="329" t="s">
        <v>508</v>
      </c>
      <c r="T198" s="484" t="s">
        <v>627</v>
      </c>
      <c r="U198" s="484" t="s">
        <v>627</v>
      </c>
      <c r="V198" s="484" t="s">
        <v>627</v>
      </c>
      <c r="W198" s="484" t="s">
        <v>627</v>
      </c>
      <c r="X198" s="484" t="s">
        <v>627</v>
      </c>
      <c r="Y198" s="484" t="s">
        <v>627</v>
      </c>
      <c r="Z198" s="349"/>
      <c r="AA198" s="349"/>
      <c r="AB198" s="349"/>
      <c r="AC198" s="349"/>
      <c r="AD198" s="349"/>
      <c r="AF198" s="522" t="s">
        <v>465</v>
      </c>
      <c r="AG198" s="329" t="s">
        <v>508</v>
      </c>
      <c r="AH198" s="484" t="s">
        <v>627</v>
      </c>
      <c r="AI198" s="484" t="s">
        <v>627</v>
      </c>
      <c r="AJ198" s="484" t="s">
        <v>627</v>
      </c>
      <c r="AK198" s="484" t="s">
        <v>627</v>
      </c>
      <c r="AL198" s="484" t="s">
        <v>627</v>
      </c>
      <c r="AM198" s="484" t="s">
        <v>627</v>
      </c>
      <c r="AN198" s="349"/>
      <c r="AO198" s="349"/>
      <c r="AP198" s="349"/>
      <c r="AQ198" s="349"/>
      <c r="AR198" s="349"/>
      <c r="AT198" s="522" t="s">
        <v>465</v>
      </c>
      <c r="AU198" s="329" t="s">
        <v>508</v>
      </c>
      <c r="AV198" s="484" t="s">
        <v>627</v>
      </c>
      <c r="AW198" s="484" t="s">
        <v>627</v>
      </c>
      <c r="AX198" s="484" t="s">
        <v>627</v>
      </c>
      <c r="AY198" s="484" t="s">
        <v>627</v>
      </c>
      <c r="AZ198" s="484" t="s">
        <v>627</v>
      </c>
      <c r="BA198" s="484" t="s">
        <v>627</v>
      </c>
      <c r="BB198" s="349"/>
      <c r="BC198" s="349"/>
      <c r="BD198" s="349"/>
      <c r="BE198" s="349"/>
      <c r="BF198" s="349"/>
    </row>
    <row r="199" spans="4:58" outlineLevel="1">
      <c r="D199" s="523"/>
      <c r="E199" s="329" t="s">
        <v>511</v>
      </c>
      <c r="F199" s="483">
        <v>237.60000000000002</v>
      </c>
      <c r="G199" s="483">
        <v>270.60000000000002</v>
      </c>
      <c r="H199" s="483">
        <v>193.6</v>
      </c>
      <c r="I199" s="483">
        <v>220</v>
      </c>
      <c r="J199" s="483">
        <v>277.2</v>
      </c>
      <c r="K199" s="483">
        <v>178.20000000000002</v>
      </c>
      <c r="L199" s="349"/>
      <c r="M199" s="349"/>
      <c r="N199" s="349"/>
      <c r="O199" s="349"/>
      <c r="P199" s="349"/>
      <c r="R199" s="523"/>
      <c r="S199" s="329" t="s">
        <v>509</v>
      </c>
      <c r="T199" s="483">
        <v>169.4</v>
      </c>
      <c r="U199" s="483">
        <v>204.60000000000002</v>
      </c>
      <c r="V199" s="483">
        <v>266.2</v>
      </c>
      <c r="W199" s="483">
        <v>231</v>
      </c>
      <c r="X199" s="483">
        <v>266.2</v>
      </c>
      <c r="Y199" s="483">
        <v>228.8</v>
      </c>
      <c r="Z199" s="349"/>
      <c r="AA199" s="349"/>
      <c r="AB199" s="349"/>
      <c r="AC199" s="349"/>
      <c r="AD199" s="349"/>
      <c r="AF199" s="523"/>
      <c r="AG199" s="329" t="s">
        <v>509</v>
      </c>
      <c r="AH199" s="483">
        <v>193.6</v>
      </c>
      <c r="AI199" s="483">
        <v>156.19999999999999</v>
      </c>
      <c r="AJ199" s="483">
        <v>198</v>
      </c>
      <c r="AK199" s="483">
        <v>286</v>
      </c>
      <c r="AL199" s="483">
        <v>173.8</v>
      </c>
      <c r="AM199" s="483">
        <v>198</v>
      </c>
      <c r="AN199" s="349"/>
      <c r="AO199" s="349"/>
      <c r="AP199" s="349"/>
      <c r="AQ199" s="349"/>
      <c r="AR199" s="349"/>
      <c r="AT199" s="523"/>
      <c r="AU199" s="329" t="s">
        <v>509</v>
      </c>
      <c r="AV199" s="483">
        <v>279.39999999999998</v>
      </c>
      <c r="AW199" s="483">
        <v>261.8</v>
      </c>
      <c r="AX199" s="483">
        <v>176</v>
      </c>
      <c r="AY199" s="483">
        <v>266.2</v>
      </c>
      <c r="AZ199" s="483">
        <v>270.60000000000002</v>
      </c>
      <c r="BA199" s="483">
        <v>235.4</v>
      </c>
      <c r="BB199" s="349"/>
      <c r="BC199" s="349"/>
      <c r="BD199" s="349"/>
      <c r="BE199" s="349"/>
      <c r="BF199" s="349"/>
    </row>
    <row r="200" spans="4:58" ht="24" outlineLevel="1">
      <c r="D200" s="522" t="s">
        <v>466</v>
      </c>
      <c r="E200" s="329" t="s">
        <v>508</v>
      </c>
      <c r="F200" s="484" t="s">
        <v>627</v>
      </c>
      <c r="G200" s="484" t="s">
        <v>627</v>
      </c>
      <c r="H200" s="484" t="s">
        <v>627</v>
      </c>
      <c r="I200" s="484" t="s">
        <v>627</v>
      </c>
      <c r="J200" s="484" t="s">
        <v>627</v>
      </c>
      <c r="K200" s="484" t="s">
        <v>627</v>
      </c>
      <c r="L200" s="349"/>
      <c r="M200" s="349"/>
      <c r="N200" s="349"/>
      <c r="O200" s="349"/>
      <c r="P200" s="349"/>
      <c r="R200" s="522" t="s">
        <v>633</v>
      </c>
      <c r="S200" s="329" t="s">
        <v>508</v>
      </c>
      <c r="T200" s="484" t="s">
        <v>627</v>
      </c>
      <c r="U200" s="484" t="s">
        <v>627</v>
      </c>
      <c r="V200" s="484" t="s">
        <v>627</v>
      </c>
      <c r="W200" s="484" t="s">
        <v>627</v>
      </c>
      <c r="X200" s="484" t="s">
        <v>627</v>
      </c>
      <c r="Y200" s="484" t="s">
        <v>627</v>
      </c>
      <c r="Z200" s="349"/>
      <c r="AA200" s="349"/>
      <c r="AB200" s="349"/>
      <c r="AC200" s="349"/>
      <c r="AD200" s="349"/>
      <c r="AF200" s="522" t="s">
        <v>633</v>
      </c>
      <c r="AG200" s="329" t="s">
        <v>508</v>
      </c>
      <c r="AH200" s="484" t="s">
        <v>627</v>
      </c>
      <c r="AI200" s="484" t="s">
        <v>627</v>
      </c>
      <c r="AJ200" s="484" t="s">
        <v>627</v>
      </c>
      <c r="AK200" s="484" t="s">
        <v>627</v>
      </c>
      <c r="AL200" s="484" t="s">
        <v>627</v>
      </c>
      <c r="AM200" s="484" t="s">
        <v>627</v>
      </c>
      <c r="AN200" s="349"/>
      <c r="AO200" s="349"/>
      <c r="AP200" s="349"/>
      <c r="AQ200" s="349"/>
      <c r="AR200" s="349"/>
      <c r="AT200" s="522" t="s">
        <v>633</v>
      </c>
      <c r="AU200" s="329" t="s">
        <v>508</v>
      </c>
      <c r="AV200" s="484" t="s">
        <v>627</v>
      </c>
      <c r="AW200" s="484" t="s">
        <v>627</v>
      </c>
      <c r="AX200" s="484" t="s">
        <v>627</v>
      </c>
      <c r="AY200" s="484" t="s">
        <v>627</v>
      </c>
      <c r="AZ200" s="484" t="s">
        <v>627</v>
      </c>
      <c r="BA200" s="484" t="s">
        <v>627</v>
      </c>
      <c r="BB200" s="349"/>
      <c r="BC200" s="349"/>
      <c r="BD200" s="349"/>
      <c r="BE200" s="349"/>
      <c r="BF200" s="349"/>
    </row>
    <row r="201" spans="4:58" outlineLevel="1">
      <c r="D201" s="523"/>
      <c r="E201" s="329" t="s">
        <v>511</v>
      </c>
      <c r="F201" s="483">
        <v>218.25</v>
      </c>
      <c r="G201" s="483">
        <v>270</v>
      </c>
      <c r="H201" s="483">
        <v>157.5</v>
      </c>
      <c r="I201" s="483">
        <v>157.5</v>
      </c>
      <c r="J201" s="483">
        <v>164.25</v>
      </c>
      <c r="K201" s="483">
        <v>166.5</v>
      </c>
      <c r="L201" s="349"/>
      <c r="M201" s="349"/>
      <c r="N201" s="349"/>
      <c r="O201" s="349"/>
      <c r="P201" s="349"/>
      <c r="R201" s="523"/>
      <c r="S201" s="329" t="s">
        <v>509</v>
      </c>
      <c r="T201" s="483">
        <v>200.25</v>
      </c>
      <c r="U201" s="483">
        <v>173.25</v>
      </c>
      <c r="V201" s="483">
        <v>159.75</v>
      </c>
      <c r="W201" s="483">
        <v>175.5</v>
      </c>
      <c r="X201" s="483">
        <v>281.25</v>
      </c>
      <c r="Y201" s="483">
        <v>247.50000000000003</v>
      </c>
      <c r="Z201" s="349"/>
      <c r="AA201" s="349"/>
      <c r="AB201" s="349"/>
      <c r="AC201" s="349"/>
      <c r="AD201" s="349"/>
      <c r="AF201" s="523"/>
      <c r="AG201" s="329" t="s">
        <v>509</v>
      </c>
      <c r="AH201" s="483">
        <v>281.25</v>
      </c>
      <c r="AI201" s="483">
        <v>225</v>
      </c>
      <c r="AJ201" s="483">
        <v>247.50000000000003</v>
      </c>
      <c r="AK201" s="483">
        <v>195.75</v>
      </c>
      <c r="AL201" s="483">
        <v>162</v>
      </c>
      <c r="AM201" s="483">
        <v>225</v>
      </c>
      <c r="AN201" s="349"/>
      <c r="AO201" s="349"/>
      <c r="AP201" s="349"/>
      <c r="AQ201" s="349"/>
      <c r="AR201" s="349"/>
      <c r="AT201" s="523"/>
      <c r="AU201" s="329" t="s">
        <v>509</v>
      </c>
      <c r="AV201" s="483">
        <v>245.25000000000003</v>
      </c>
      <c r="AW201" s="483">
        <v>258.75</v>
      </c>
      <c r="AX201" s="483">
        <v>211.5</v>
      </c>
      <c r="AY201" s="483">
        <v>240.75</v>
      </c>
      <c r="AZ201" s="483">
        <v>274.5</v>
      </c>
      <c r="BA201" s="483">
        <v>220.5</v>
      </c>
      <c r="BB201" s="349"/>
      <c r="BC201" s="349"/>
      <c r="BD201" s="349"/>
      <c r="BE201" s="349"/>
      <c r="BF201" s="349"/>
    </row>
    <row r="202" spans="4:58" ht="24" outlineLevel="1">
      <c r="D202" s="522" t="s">
        <v>467</v>
      </c>
      <c r="E202" s="329" t="s">
        <v>508</v>
      </c>
      <c r="F202" s="484" t="s">
        <v>627</v>
      </c>
      <c r="G202" s="484" t="s">
        <v>627</v>
      </c>
      <c r="H202" s="484" t="s">
        <v>627</v>
      </c>
      <c r="I202" s="484" t="s">
        <v>627</v>
      </c>
      <c r="J202" s="484" t="s">
        <v>627</v>
      </c>
      <c r="K202" s="484" t="s">
        <v>627</v>
      </c>
      <c r="L202" s="349"/>
      <c r="M202" s="349"/>
      <c r="N202" s="349"/>
      <c r="O202" s="349"/>
      <c r="P202" s="349"/>
      <c r="R202" s="522" t="s">
        <v>467</v>
      </c>
      <c r="S202" s="329" t="s">
        <v>508</v>
      </c>
      <c r="T202" s="484" t="s">
        <v>627</v>
      </c>
      <c r="U202" s="484" t="s">
        <v>627</v>
      </c>
      <c r="V202" s="484" t="s">
        <v>627</v>
      </c>
      <c r="W202" s="484" t="s">
        <v>627</v>
      </c>
      <c r="X202" s="484" t="s">
        <v>627</v>
      </c>
      <c r="Y202" s="484" t="s">
        <v>627</v>
      </c>
      <c r="Z202" s="349"/>
      <c r="AA202" s="349"/>
      <c r="AB202" s="349"/>
      <c r="AC202" s="349"/>
      <c r="AD202" s="349"/>
      <c r="AF202" s="522" t="s">
        <v>467</v>
      </c>
      <c r="AG202" s="329" t="s">
        <v>508</v>
      </c>
      <c r="AH202" s="484" t="s">
        <v>627</v>
      </c>
      <c r="AI202" s="484" t="s">
        <v>627</v>
      </c>
      <c r="AJ202" s="484" t="s">
        <v>627</v>
      </c>
      <c r="AK202" s="484" t="s">
        <v>627</v>
      </c>
      <c r="AL202" s="484" t="s">
        <v>627</v>
      </c>
      <c r="AM202" s="484" t="s">
        <v>627</v>
      </c>
      <c r="AN202" s="349"/>
      <c r="AO202" s="349"/>
      <c r="AP202" s="349"/>
      <c r="AQ202" s="349"/>
      <c r="AR202" s="349"/>
      <c r="AT202" s="522" t="s">
        <v>467</v>
      </c>
      <c r="AU202" s="329" t="s">
        <v>508</v>
      </c>
      <c r="AV202" s="484" t="s">
        <v>627</v>
      </c>
      <c r="AW202" s="484" t="s">
        <v>627</v>
      </c>
      <c r="AX202" s="484" t="s">
        <v>627</v>
      </c>
      <c r="AY202" s="484" t="s">
        <v>627</v>
      </c>
      <c r="AZ202" s="484" t="s">
        <v>627</v>
      </c>
      <c r="BA202" s="484" t="s">
        <v>627</v>
      </c>
      <c r="BB202" s="349"/>
      <c r="BC202" s="349"/>
      <c r="BD202" s="349"/>
      <c r="BE202" s="349"/>
      <c r="BF202" s="349"/>
    </row>
    <row r="203" spans="4:58" outlineLevel="1">
      <c r="D203" s="523"/>
      <c r="E203" s="329" t="s">
        <v>511</v>
      </c>
      <c r="F203" s="483">
        <v>318.14999999999998</v>
      </c>
      <c r="G203" s="483">
        <v>330.75</v>
      </c>
      <c r="H203" s="483">
        <v>255.15</v>
      </c>
      <c r="I203" s="483">
        <v>245.70000000000002</v>
      </c>
      <c r="J203" s="483">
        <v>280.35000000000002</v>
      </c>
      <c r="K203" s="483">
        <v>299.25</v>
      </c>
      <c r="L203" s="349"/>
      <c r="M203" s="349"/>
      <c r="N203" s="349"/>
      <c r="O203" s="349"/>
      <c r="P203" s="349"/>
      <c r="R203" s="523"/>
      <c r="S203" s="329" t="s">
        <v>509</v>
      </c>
      <c r="T203" s="483">
        <v>387.45</v>
      </c>
      <c r="U203" s="483">
        <v>270.89999999999998</v>
      </c>
      <c r="V203" s="483">
        <v>242.55</v>
      </c>
      <c r="W203" s="483">
        <v>270.89999999999998</v>
      </c>
      <c r="X203" s="483">
        <v>327.60000000000002</v>
      </c>
      <c r="Y203" s="483">
        <v>396.9</v>
      </c>
      <c r="Z203" s="349"/>
      <c r="AA203" s="349"/>
      <c r="AB203" s="349"/>
      <c r="AC203" s="349"/>
      <c r="AD203" s="349"/>
      <c r="AF203" s="523"/>
      <c r="AG203" s="329" t="s">
        <v>509</v>
      </c>
      <c r="AH203" s="483">
        <v>248.85000000000002</v>
      </c>
      <c r="AI203" s="483">
        <v>255.15</v>
      </c>
      <c r="AJ203" s="483">
        <v>400.05</v>
      </c>
      <c r="AK203" s="483">
        <v>302.39999999999998</v>
      </c>
      <c r="AL203" s="483">
        <v>324.45</v>
      </c>
      <c r="AM203" s="483">
        <v>349.65000000000003</v>
      </c>
      <c r="AN203" s="349"/>
      <c r="AO203" s="349"/>
      <c r="AP203" s="349"/>
      <c r="AQ203" s="349"/>
      <c r="AR203" s="349"/>
      <c r="AT203" s="523"/>
      <c r="AU203" s="329" t="s">
        <v>509</v>
      </c>
      <c r="AV203" s="483">
        <v>365.4</v>
      </c>
      <c r="AW203" s="483">
        <v>258.3</v>
      </c>
      <c r="AX203" s="483">
        <v>390.6</v>
      </c>
      <c r="AY203" s="483">
        <v>333.90000000000003</v>
      </c>
      <c r="AZ203" s="483">
        <v>252</v>
      </c>
      <c r="BA203" s="483">
        <v>283.5</v>
      </c>
      <c r="BB203" s="349"/>
      <c r="BC203" s="349"/>
      <c r="BD203" s="349"/>
      <c r="BE203" s="349"/>
      <c r="BF203" s="349"/>
    </row>
    <row r="204" spans="4:58" ht="24" outlineLevel="1">
      <c r="D204" s="522" t="s">
        <v>468</v>
      </c>
      <c r="E204" s="329" t="s">
        <v>508</v>
      </c>
      <c r="F204" s="484" t="s">
        <v>627</v>
      </c>
      <c r="G204" s="484" t="s">
        <v>627</v>
      </c>
      <c r="H204" s="484" t="s">
        <v>627</v>
      </c>
      <c r="I204" s="484" t="s">
        <v>627</v>
      </c>
      <c r="J204" s="484" t="s">
        <v>627</v>
      </c>
      <c r="K204" s="484" t="s">
        <v>627</v>
      </c>
      <c r="L204" s="349"/>
      <c r="M204" s="349"/>
      <c r="N204" s="349"/>
      <c r="O204" s="349"/>
      <c r="P204" s="349"/>
      <c r="R204" s="522" t="s">
        <v>468</v>
      </c>
      <c r="S204" s="329" t="s">
        <v>508</v>
      </c>
      <c r="T204" s="484" t="s">
        <v>627</v>
      </c>
      <c r="U204" s="484" t="s">
        <v>627</v>
      </c>
      <c r="V204" s="484" t="s">
        <v>627</v>
      </c>
      <c r="W204" s="484" t="s">
        <v>627</v>
      </c>
      <c r="X204" s="484" t="s">
        <v>627</v>
      </c>
      <c r="Y204" s="484" t="s">
        <v>627</v>
      </c>
      <c r="Z204" s="349"/>
      <c r="AA204" s="349"/>
      <c r="AB204" s="349"/>
      <c r="AC204" s="349"/>
      <c r="AD204" s="349"/>
      <c r="AF204" s="522" t="s">
        <v>468</v>
      </c>
      <c r="AG204" s="329" t="s">
        <v>508</v>
      </c>
      <c r="AH204" s="484" t="s">
        <v>627</v>
      </c>
      <c r="AI204" s="484" t="s">
        <v>627</v>
      </c>
      <c r="AJ204" s="484" t="s">
        <v>627</v>
      </c>
      <c r="AK204" s="484" t="s">
        <v>627</v>
      </c>
      <c r="AL204" s="484" t="s">
        <v>627</v>
      </c>
      <c r="AM204" s="484" t="s">
        <v>627</v>
      </c>
      <c r="AN204" s="349"/>
      <c r="AO204" s="349"/>
      <c r="AP204" s="349"/>
      <c r="AQ204" s="349"/>
      <c r="AR204" s="349"/>
      <c r="AT204" s="522" t="s">
        <v>468</v>
      </c>
      <c r="AU204" s="329" t="s">
        <v>508</v>
      </c>
      <c r="AV204" s="484" t="s">
        <v>627</v>
      </c>
      <c r="AW204" s="484" t="s">
        <v>627</v>
      </c>
      <c r="AX204" s="484" t="s">
        <v>627</v>
      </c>
      <c r="AY204" s="484" t="s">
        <v>627</v>
      </c>
      <c r="AZ204" s="484" t="s">
        <v>627</v>
      </c>
      <c r="BA204" s="484" t="s">
        <v>627</v>
      </c>
      <c r="BB204" s="349"/>
      <c r="BC204" s="349"/>
      <c r="BD204" s="349"/>
      <c r="BE204" s="349"/>
      <c r="BF204" s="349"/>
    </row>
    <row r="205" spans="4:58" outlineLevel="1">
      <c r="D205" s="523"/>
      <c r="E205" s="329" t="s">
        <v>511</v>
      </c>
      <c r="F205" s="483">
        <v>508.2</v>
      </c>
      <c r="G205" s="483">
        <v>432.6</v>
      </c>
      <c r="H205" s="483">
        <v>478.79999999999995</v>
      </c>
      <c r="I205" s="483">
        <v>348.59999999999997</v>
      </c>
      <c r="J205" s="483">
        <v>457.8</v>
      </c>
      <c r="K205" s="483">
        <v>420</v>
      </c>
      <c r="L205" s="349"/>
      <c r="M205" s="349"/>
      <c r="N205" s="349"/>
      <c r="O205" s="349"/>
      <c r="P205" s="349"/>
      <c r="R205" s="523"/>
      <c r="S205" s="329" t="s">
        <v>509</v>
      </c>
      <c r="T205" s="483">
        <v>424.2</v>
      </c>
      <c r="U205" s="483">
        <v>462.00000000000006</v>
      </c>
      <c r="V205" s="483">
        <v>411.59999999999997</v>
      </c>
      <c r="W205" s="483">
        <v>449.40000000000003</v>
      </c>
      <c r="X205" s="483">
        <v>436.8</v>
      </c>
      <c r="Y205" s="483">
        <v>525</v>
      </c>
      <c r="Z205" s="349"/>
      <c r="AA205" s="349"/>
      <c r="AB205" s="349"/>
      <c r="AC205" s="349"/>
      <c r="AD205" s="349"/>
      <c r="AF205" s="523"/>
      <c r="AG205" s="329" t="s">
        <v>509</v>
      </c>
      <c r="AH205" s="483">
        <v>365.4</v>
      </c>
      <c r="AI205" s="483">
        <v>424.2</v>
      </c>
      <c r="AJ205" s="483">
        <v>394.79999999999995</v>
      </c>
      <c r="AK205" s="483">
        <v>369.6</v>
      </c>
      <c r="AL205" s="483">
        <v>294</v>
      </c>
      <c r="AM205" s="483">
        <v>466.20000000000005</v>
      </c>
      <c r="AN205" s="349"/>
      <c r="AO205" s="349"/>
      <c r="AP205" s="349"/>
      <c r="AQ205" s="349"/>
      <c r="AR205" s="349"/>
      <c r="AT205" s="523"/>
      <c r="AU205" s="329" t="s">
        <v>509</v>
      </c>
      <c r="AV205" s="483">
        <v>378</v>
      </c>
      <c r="AW205" s="483">
        <v>411.59999999999997</v>
      </c>
      <c r="AX205" s="483">
        <v>298.2</v>
      </c>
      <c r="AY205" s="483">
        <v>428.40000000000003</v>
      </c>
      <c r="AZ205" s="483">
        <v>415.8</v>
      </c>
      <c r="BA205" s="483">
        <v>428.40000000000003</v>
      </c>
      <c r="BB205" s="349"/>
      <c r="BC205" s="349"/>
      <c r="BD205" s="349"/>
      <c r="BE205" s="349"/>
      <c r="BF205" s="349"/>
    </row>
    <row r="206" spans="4:58" ht="24" outlineLevel="1">
      <c r="D206" s="522" t="s">
        <v>469</v>
      </c>
      <c r="E206" s="329" t="s">
        <v>508</v>
      </c>
      <c r="F206" s="484" t="s">
        <v>627</v>
      </c>
      <c r="G206" s="484" t="s">
        <v>627</v>
      </c>
      <c r="H206" s="484" t="s">
        <v>627</v>
      </c>
      <c r="I206" s="484" t="s">
        <v>627</v>
      </c>
      <c r="J206" s="484" t="s">
        <v>627</v>
      </c>
      <c r="K206" s="484" t="s">
        <v>627</v>
      </c>
      <c r="L206" s="349"/>
      <c r="M206" s="349"/>
      <c r="N206" s="349"/>
      <c r="O206" s="349"/>
      <c r="P206" s="349"/>
      <c r="R206" s="522" t="s">
        <v>469</v>
      </c>
      <c r="S206" s="329" t="s">
        <v>508</v>
      </c>
      <c r="T206" s="484" t="s">
        <v>627</v>
      </c>
      <c r="U206" s="484" t="s">
        <v>627</v>
      </c>
      <c r="V206" s="484" t="s">
        <v>627</v>
      </c>
      <c r="W206" s="484" t="s">
        <v>627</v>
      </c>
      <c r="X206" s="484" t="s">
        <v>627</v>
      </c>
      <c r="Y206" s="484" t="s">
        <v>627</v>
      </c>
      <c r="Z206" s="349"/>
      <c r="AA206" s="349"/>
      <c r="AB206" s="349"/>
      <c r="AC206" s="349"/>
      <c r="AD206" s="349"/>
      <c r="AF206" s="522" t="s">
        <v>469</v>
      </c>
      <c r="AG206" s="329" t="s">
        <v>508</v>
      </c>
      <c r="AH206" s="484" t="s">
        <v>627</v>
      </c>
      <c r="AI206" s="484" t="s">
        <v>627</v>
      </c>
      <c r="AJ206" s="484" t="s">
        <v>627</v>
      </c>
      <c r="AK206" s="484" t="s">
        <v>627</v>
      </c>
      <c r="AL206" s="484" t="s">
        <v>627</v>
      </c>
      <c r="AM206" s="484" t="s">
        <v>627</v>
      </c>
      <c r="AN206" s="349"/>
      <c r="AO206" s="349"/>
      <c r="AP206" s="349"/>
      <c r="AQ206" s="349"/>
      <c r="AR206" s="349"/>
      <c r="AT206" s="522" t="s">
        <v>469</v>
      </c>
      <c r="AU206" s="329" t="s">
        <v>508</v>
      </c>
      <c r="AV206" s="484" t="s">
        <v>627</v>
      </c>
      <c r="AW206" s="484" t="s">
        <v>627</v>
      </c>
      <c r="AX206" s="484" t="s">
        <v>627</v>
      </c>
      <c r="AY206" s="484" t="s">
        <v>627</v>
      </c>
      <c r="AZ206" s="484" t="s">
        <v>627</v>
      </c>
      <c r="BA206" s="484" t="s">
        <v>627</v>
      </c>
      <c r="BB206" s="349"/>
      <c r="BC206" s="349"/>
      <c r="BD206" s="349"/>
      <c r="BE206" s="349"/>
      <c r="BF206" s="349"/>
    </row>
    <row r="207" spans="4:58" outlineLevel="1">
      <c r="D207" s="523"/>
      <c r="E207" s="329" t="s">
        <v>511</v>
      </c>
      <c r="F207" s="483">
        <v>458.71999999999997</v>
      </c>
      <c r="G207" s="483">
        <v>605.12</v>
      </c>
      <c r="H207" s="483">
        <v>619.76</v>
      </c>
      <c r="I207" s="483">
        <v>414.8</v>
      </c>
      <c r="J207" s="483">
        <v>619.76</v>
      </c>
      <c r="K207" s="483">
        <v>468.47999999999996</v>
      </c>
      <c r="L207" s="349"/>
      <c r="M207" s="349"/>
      <c r="N207" s="349"/>
      <c r="O207" s="349"/>
      <c r="P207" s="349"/>
      <c r="R207" s="523"/>
      <c r="S207" s="329" t="s">
        <v>509</v>
      </c>
      <c r="T207" s="483">
        <v>488</v>
      </c>
      <c r="U207" s="483">
        <v>341.59999999999997</v>
      </c>
      <c r="V207" s="483">
        <v>590.48</v>
      </c>
      <c r="W207" s="483">
        <v>434.32</v>
      </c>
      <c r="X207" s="483">
        <v>380.64</v>
      </c>
      <c r="Y207" s="483">
        <v>390.40000000000003</v>
      </c>
      <c r="Z207" s="349"/>
      <c r="AA207" s="349"/>
      <c r="AB207" s="349"/>
      <c r="AC207" s="349"/>
      <c r="AD207" s="349"/>
      <c r="AF207" s="523"/>
      <c r="AG207" s="329" t="s">
        <v>509</v>
      </c>
      <c r="AH207" s="483">
        <v>610</v>
      </c>
      <c r="AI207" s="483">
        <v>580.72</v>
      </c>
      <c r="AJ207" s="483">
        <v>468.47999999999996</v>
      </c>
      <c r="AK207" s="483">
        <v>414.8</v>
      </c>
      <c r="AL207" s="483">
        <v>585.6</v>
      </c>
      <c r="AM207" s="483">
        <v>507.52000000000004</v>
      </c>
      <c r="AN207" s="349"/>
      <c r="AO207" s="349"/>
      <c r="AP207" s="349"/>
      <c r="AQ207" s="349"/>
      <c r="AR207" s="349"/>
      <c r="AT207" s="523"/>
      <c r="AU207" s="329" t="s">
        <v>509</v>
      </c>
      <c r="AV207" s="483">
        <v>585.6</v>
      </c>
      <c r="AW207" s="483">
        <v>468.47999999999996</v>
      </c>
      <c r="AX207" s="483">
        <v>434.32</v>
      </c>
      <c r="AY207" s="483">
        <v>356.24</v>
      </c>
      <c r="AZ207" s="483">
        <v>619.76</v>
      </c>
      <c r="BA207" s="483">
        <v>531.92000000000007</v>
      </c>
      <c r="BB207" s="349"/>
      <c r="BC207" s="349"/>
      <c r="BD207" s="349"/>
      <c r="BE207" s="349"/>
      <c r="BF207" s="349"/>
    </row>
    <row r="208" spans="4:58" ht="24" outlineLevel="1">
      <c r="D208" s="522" t="s">
        <v>470</v>
      </c>
      <c r="E208" s="329" t="s">
        <v>508</v>
      </c>
      <c r="F208" s="484" t="s">
        <v>627</v>
      </c>
      <c r="G208" s="484" t="s">
        <v>627</v>
      </c>
      <c r="H208" s="484" t="s">
        <v>627</v>
      </c>
      <c r="I208" s="484" t="s">
        <v>627</v>
      </c>
      <c r="J208" s="484" t="s">
        <v>627</v>
      </c>
      <c r="K208" s="484" t="s">
        <v>627</v>
      </c>
      <c r="L208" s="349"/>
      <c r="M208" s="349"/>
      <c r="N208" s="349"/>
      <c r="O208" s="349"/>
      <c r="P208" s="349"/>
      <c r="R208" s="522" t="s">
        <v>470</v>
      </c>
      <c r="S208" s="329" t="s">
        <v>508</v>
      </c>
      <c r="T208" s="484" t="s">
        <v>627</v>
      </c>
      <c r="U208" s="484" t="s">
        <v>627</v>
      </c>
      <c r="V208" s="484" t="s">
        <v>627</v>
      </c>
      <c r="W208" s="484" t="s">
        <v>627</v>
      </c>
      <c r="X208" s="484" t="s">
        <v>627</v>
      </c>
      <c r="Y208" s="484" t="s">
        <v>627</v>
      </c>
      <c r="Z208" s="349"/>
      <c r="AA208" s="349"/>
      <c r="AB208" s="349"/>
      <c r="AC208" s="349"/>
      <c r="AD208" s="349"/>
      <c r="AF208" s="522" t="s">
        <v>470</v>
      </c>
      <c r="AG208" s="329" t="s">
        <v>508</v>
      </c>
      <c r="AH208" s="484" t="s">
        <v>627</v>
      </c>
      <c r="AI208" s="484" t="s">
        <v>627</v>
      </c>
      <c r="AJ208" s="484" t="s">
        <v>627</v>
      </c>
      <c r="AK208" s="484" t="s">
        <v>627</v>
      </c>
      <c r="AL208" s="484" t="s">
        <v>627</v>
      </c>
      <c r="AM208" s="484" t="s">
        <v>627</v>
      </c>
      <c r="AN208" s="349"/>
      <c r="AO208" s="349"/>
      <c r="AP208" s="349"/>
      <c r="AQ208" s="349"/>
      <c r="AR208" s="349"/>
      <c r="AT208" s="522" t="s">
        <v>470</v>
      </c>
      <c r="AU208" s="329" t="s">
        <v>508</v>
      </c>
      <c r="AV208" s="484" t="s">
        <v>627</v>
      </c>
      <c r="AW208" s="484" t="s">
        <v>627</v>
      </c>
      <c r="AX208" s="484" t="s">
        <v>627</v>
      </c>
      <c r="AY208" s="484" t="s">
        <v>627</v>
      </c>
      <c r="AZ208" s="484" t="s">
        <v>627</v>
      </c>
      <c r="BA208" s="484" t="s">
        <v>627</v>
      </c>
      <c r="BB208" s="349"/>
      <c r="BC208" s="349"/>
      <c r="BD208" s="349"/>
      <c r="BE208" s="349"/>
      <c r="BF208" s="349"/>
    </row>
    <row r="209" spans="4:58" outlineLevel="1">
      <c r="D209" s="523"/>
      <c r="E209" s="329" t="s">
        <v>511</v>
      </c>
      <c r="F209" s="483">
        <v>602.55000000000007</v>
      </c>
      <c r="G209" s="483">
        <v>713.69999999999993</v>
      </c>
      <c r="H209" s="483">
        <v>754.65</v>
      </c>
      <c r="I209" s="483">
        <v>573.29999999999995</v>
      </c>
      <c r="J209" s="483">
        <v>596.70000000000005</v>
      </c>
      <c r="K209" s="483">
        <v>573.29999999999995</v>
      </c>
      <c r="L209" s="349"/>
      <c r="M209" s="349"/>
      <c r="N209" s="349"/>
      <c r="O209" s="349"/>
      <c r="P209" s="349"/>
      <c r="R209" s="523"/>
      <c r="S209" s="329" t="s">
        <v>509</v>
      </c>
      <c r="T209" s="483">
        <v>678.59999999999991</v>
      </c>
      <c r="U209" s="483">
        <v>602.55000000000007</v>
      </c>
      <c r="V209" s="483">
        <v>427.05</v>
      </c>
      <c r="W209" s="483">
        <v>643.5</v>
      </c>
      <c r="X209" s="483">
        <v>520.65</v>
      </c>
      <c r="Y209" s="483">
        <v>748.80000000000007</v>
      </c>
      <c r="Z209" s="349"/>
      <c r="AA209" s="349"/>
      <c r="AB209" s="349"/>
      <c r="AC209" s="349"/>
      <c r="AD209" s="349"/>
      <c r="AF209" s="523"/>
      <c r="AG209" s="329" t="s">
        <v>509</v>
      </c>
      <c r="AH209" s="483">
        <v>602.55000000000007</v>
      </c>
      <c r="AI209" s="483">
        <v>678.59999999999991</v>
      </c>
      <c r="AJ209" s="483">
        <v>748.80000000000007</v>
      </c>
      <c r="AK209" s="483">
        <v>737.1</v>
      </c>
      <c r="AL209" s="483">
        <v>508.95</v>
      </c>
      <c r="AM209" s="483">
        <v>409.5</v>
      </c>
      <c r="AN209" s="349"/>
      <c r="AO209" s="349"/>
      <c r="AP209" s="349"/>
      <c r="AQ209" s="349"/>
      <c r="AR209" s="349"/>
      <c r="AT209" s="523"/>
      <c r="AU209" s="329" t="s">
        <v>509</v>
      </c>
      <c r="AV209" s="483">
        <v>666.9</v>
      </c>
      <c r="AW209" s="483">
        <v>719.55</v>
      </c>
      <c r="AX209" s="483">
        <v>602.55000000000007</v>
      </c>
      <c r="AY209" s="483">
        <v>625.95000000000005</v>
      </c>
      <c r="AZ209" s="483">
        <v>719.55</v>
      </c>
      <c r="BA209" s="483">
        <v>555.75</v>
      </c>
      <c r="BB209" s="349"/>
      <c r="BC209" s="349"/>
      <c r="BD209" s="349"/>
      <c r="BE209" s="349"/>
      <c r="BF209" s="349"/>
    </row>
    <row r="210" spans="4:58" ht="24" outlineLevel="1">
      <c r="D210" s="522" t="s">
        <v>471</v>
      </c>
      <c r="E210" s="329" t="s">
        <v>508</v>
      </c>
      <c r="F210" s="484" t="s">
        <v>627</v>
      </c>
      <c r="G210" s="484" t="s">
        <v>627</v>
      </c>
      <c r="H210" s="484" t="s">
        <v>627</v>
      </c>
      <c r="I210" s="484" t="s">
        <v>627</v>
      </c>
      <c r="J210" s="484" t="s">
        <v>627</v>
      </c>
      <c r="K210" s="484" t="s">
        <v>627</v>
      </c>
      <c r="L210" s="349"/>
      <c r="M210" s="349"/>
      <c r="N210" s="349"/>
      <c r="O210" s="349"/>
      <c r="P210" s="349"/>
      <c r="R210" s="522" t="s">
        <v>471</v>
      </c>
      <c r="S210" s="329" t="s">
        <v>508</v>
      </c>
      <c r="T210" s="484" t="s">
        <v>627</v>
      </c>
      <c r="U210" s="484" t="s">
        <v>627</v>
      </c>
      <c r="V210" s="484" t="s">
        <v>627</v>
      </c>
      <c r="W210" s="484" t="s">
        <v>627</v>
      </c>
      <c r="X210" s="484" t="s">
        <v>627</v>
      </c>
      <c r="Y210" s="484" t="s">
        <v>627</v>
      </c>
      <c r="Z210" s="349"/>
      <c r="AA210" s="349"/>
      <c r="AB210" s="349"/>
      <c r="AC210" s="349"/>
      <c r="AD210" s="349"/>
      <c r="AF210" s="522" t="s">
        <v>471</v>
      </c>
      <c r="AG210" s="329" t="s">
        <v>508</v>
      </c>
      <c r="AH210" s="484" t="s">
        <v>627</v>
      </c>
      <c r="AI210" s="484" t="s">
        <v>627</v>
      </c>
      <c r="AJ210" s="484" t="s">
        <v>627</v>
      </c>
      <c r="AK210" s="484" t="s">
        <v>627</v>
      </c>
      <c r="AL210" s="484" t="s">
        <v>627</v>
      </c>
      <c r="AM210" s="484" t="s">
        <v>627</v>
      </c>
      <c r="AN210" s="349"/>
      <c r="AO210" s="349"/>
      <c r="AP210" s="349"/>
      <c r="AQ210" s="349"/>
      <c r="AR210" s="349"/>
      <c r="AT210" s="522" t="s">
        <v>471</v>
      </c>
      <c r="AU210" s="329" t="s">
        <v>508</v>
      </c>
      <c r="AV210" s="484" t="s">
        <v>627</v>
      </c>
      <c r="AW210" s="484" t="s">
        <v>627</v>
      </c>
      <c r="AX210" s="484" t="s">
        <v>627</v>
      </c>
      <c r="AY210" s="484" t="s">
        <v>627</v>
      </c>
      <c r="AZ210" s="484" t="s">
        <v>627</v>
      </c>
      <c r="BA210" s="484" t="s">
        <v>627</v>
      </c>
      <c r="BB210" s="349"/>
      <c r="BC210" s="349"/>
      <c r="BD210" s="349"/>
      <c r="BE210" s="349"/>
      <c r="BF210" s="349"/>
    </row>
    <row r="211" spans="4:58" outlineLevel="1">
      <c r="D211" s="523"/>
      <c r="E211" s="329" t="s">
        <v>511</v>
      </c>
      <c r="F211" s="483">
        <v>560.05999999999995</v>
      </c>
      <c r="G211" s="483">
        <v>648.85</v>
      </c>
      <c r="H211" s="483">
        <v>505.42</v>
      </c>
      <c r="I211" s="483">
        <v>553.23</v>
      </c>
      <c r="J211" s="483">
        <v>478.09999999999997</v>
      </c>
      <c r="K211" s="483">
        <v>703.49</v>
      </c>
      <c r="L211" s="349"/>
      <c r="M211" s="349"/>
      <c r="N211" s="349"/>
      <c r="O211" s="349"/>
      <c r="P211" s="349"/>
      <c r="R211" s="523"/>
      <c r="S211" s="329" t="s">
        <v>509</v>
      </c>
      <c r="T211" s="483">
        <v>860.58</v>
      </c>
      <c r="U211" s="483">
        <v>553.23</v>
      </c>
      <c r="V211" s="483">
        <v>478.09999999999997</v>
      </c>
      <c r="W211" s="483">
        <v>846.92</v>
      </c>
      <c r="X211" s="483">
        <v>723.98</v>
      </c>
      <c r="Y211" s="483">
        <v>601.04</v>
      </c>
      <c r="Z211" s="349"/>
      <c r="AA211" s="349"/>
      <c r="AB211" s="349"/>
      <c r="AC211" s="349"/>
      <c r="AD211" s="349"/>
      <c r="AF211" s="523"/>
      <c r="AG211" s="329" t="s">
        <v>509</v>
      </c>
      <c r="AH211" s="483">
        <v>887.9</v>
      </c>
      <c r="AI211" s="483">
        <v>723.98</v>
      </c>
      <c r="AJ211" s="483">
        <v>648.85</v>
      </c>
      <c r="AK211" s="483">
        <v>601.04</v>
      </c>
      <c r="AL211" s="483">
        <v>580.54999999999995</v>
      </c>
      <c r="AM211" s="483">
        <v>594.21</v>
      </c>
      <c r="AN211" s="349"/>
      <c r="AO211" s="349"/>
      <c r="AP211" s="349"/>
      <c r="AQ211" s="349"/>
      <c r="AR211" s="349"/>
      <c r="AT211" s="523"/>
      <c r="AU211" s="329" t="s">
        <v>509</v>
      </c>
      <c r="AV211" s="483">
        <v>532.74</v>
      </c>
      <c r="AW211" s="483">
        <v>887.9</v>
      </c>
      <c r="AX211" s="483">
        <v>812.77</v>
      </c>
      <c r="AY211" s="483">
        <v>758.13000000000011</v>
      </c>
      <c r="AZ211" s="483">
        <v>676.17</v>
      </c>
      <c r="BA211" s="483">
        <v>764.96</v>
      </c>
      <c r="BB211" s="349"/>
      <c r="BC211" s="349"/>
      <c r="BD211" s="349"/>
      <c r="BE211" s="349"/>
      <c r="BF211" s="349"/>
    </row>
    <row r="212" spans="4:58" ht="24" outlineLevel="1">
      <c r="D212" s="522" t="s">
        <v>472</v>
      </c>
      <c r="E212" s="329" t="s">
        <v>508</v>
      </c>
      <c r="F212" s="484" t="s">
        <v>627</v>
      </c>
      <c r="G212" s="484" t="s">
        <v>627</v>
      </c>
      <c r="H212" s="484" t="s">
        <v>627</v>
      </c>
      <c r="I212" s="484" t="s">
        <v>627</v>
      </c>
      <c r="J212" s="484" t="s">
        <v>627</v>
      </c>
      <c r="K212" s="484" t="s">
        <v>627</v>
      </c>
      <c r="L212" s="349"/>
      <c r="M212" s="349"/>
      <c r="N212" s="349"/>
      <c r="O212" s="349"/>
      <c r="P212" s="349"/>
      <c r="R212" s="522" t="s">
        <v>472</v>
      </c>
      <c r="S212" s="329" t="s">
        <v>508</v>
      </c>
      <c r="T212" s="484" t="s">
        <v>627</v>
      </c>
      <c r="U212" s="484" t="s">
        <v>627</v>
      </c>
      <c r="V212" s="484" t="s">
        <v>627</v>
      </c>
      <c r="W212" s="484" t="s">
        <v>627</v>
      </c>
      <c r="X212" s="484" t="s">
        <v>627</v>
      </c>
      <c r="Y212" s="484" t="s">
        <v>627</v>
      </c>
      <c r="Z212" s="349"/>
      <c r="AA212" s="349"/>
      <c r="AB212" s="349"/>
      <c r="AC212" s="349"/>
      <c r="AD212" s="349"/>
      <c r="AF212" s="522" t="s">
        <v>472</v>
      </c>
      <c r="AG212" s="329" t="s">
        <v>508</v>
      </c>
      <c r="AH212" s="484" t="s">
        <v>627</v>
      </c>
      <c r="AI212" s="484" t="s">
        <v>627</v>
      </c>
      <c r="AJ212" s="484" t="s">
        <v>627</v>
      </c>
      <c r="AK212" s="484" t="s">
        <v>627</v>
      </c>
      <c r="AL212" s="484" t="s">
        <v>627</v>
      </c>
      <c r="AM212" s="484" t="s">
        <v>627</v>
      </c>
      <c r="AN212" s="349"/>
      <c r="AO212" s="349"/>
      <c r="AP212" s="349"/>
      <c r="AQ212" s="349"/>
      <c r="AR212" s="349"/>
      <c r="AT212" s="522" t="s">
        <v>472</v>
      </c>
      <c r="AU212" s="329" t="s">
        <v>508</v>
      </c>
      <c r="AV212" s="484" t="s">
        <v>627</v>
      </c>
      <c r="AW212" s="484" t="s">
        <v>627</v>
      </c>
      <c r="AX212" s="484" t="s">
        <v>627</v>
      </c>
      <c r="AY212" s="484" t="s">
        <v>627</v>
      </c>
      <c r="AZ212" s="484" t="s">
        <v>627</v>
      </c>
      <c r="BA212" s="484" t="s">
        <v>627</v>
      </c>
      <c r="BB212" s="349"/>
      <c r="BC212" s="349"/>
      <c r="BD212" s="349"/>
      <c r="BE212" s="349"/>
      <c r="BF212" s="349"/>
    </row>
    <row r="213" spans="4:58" outlineLevel="1">
      <c r="D213" s="523"/>
      <c r="E213" s="329" t="s">
        <v>511</v>
      </c>
      <c r="F213" s="483">
        <v>733.19999999999993</v>
      </c>
      <c r="G213" s="483">
        <v>842.40000000000009</v>
      </c>
      <c r="H213" s="483">
        <v>569.4</v>
      </c>
      <c r="I213" s="483">
        <v>663</v>
      </c>
      <c r="J213" s="483">
        <v>577.20000000000005</v>
      </c>
      <c r="K213" s="483">
        <v>616.20000000000005</v>
      </c>
      <c r="L213" s="349"/>
      <c r="M213" s="349"/>
      <c r="N213" s="349"/>
      <c r="O213" s="349"/>
      <c r="P213" s="349"/>
      <c r="R213" s="523"/>
      <c r="S213" s="329" t="s">
        <v>509</v>
      </c>
      <c r="T213" s="483">
        <v>858.00000000000011</v>
      </c>
      <c r="U213" s="483">
        <v>787.8</v>
      </c>
      <c r="V213" s="483">
        <v>920.4</v>
      </c>
      <c r="W213" s="483">
        <v>733.19999999999993</v>
      </c>
      <c r="X213" s="483">
        <v>959.4</v>
      </c>
      <c r="Y213" s="483">
        <v>717.6</v>
      </c>
      <c r="Z213" s="349"/>
      <c r="AA213" s="349"/>
      <c r="AB213" s="349"/>
      <c r="AC213" s="349"/>
      <c r="AD213" s="349"/>
      <c r="AF213" s="523"/>
      <c r="AG213" s="329" t="s">
        <v>509</v>
      </c>
      <c r="AH213" s="483">
        <v>616.20000000000005</v>
      </c>
      <c r="AI213" s="483">
        <v>865.80000000000007</v>
      </c>
      <c r="AJ213" s="483">
        <v>865.80000000000007</v>
      </c>
      <c r="AK213" s="483">
        <v>592.79999999999995</v>
      </c>
      <c r="AL213" s="483">
        <v>959.4</v>
      </c>
      <c r="AM213" s="483">
        <v>858.00000000000011</v>
      </c>
      <c r="AN213" s="349"/>
      <c r="AO213" s="349"/>
      <c r="AP213" s="349"/>
      <c r="AQ213" s="349"/>
      <c r="AR213" s="349"/>
      <c r="AT213" s="523"/>
      <c r="AU213" s="329" t="s">
        <v>509</v>
      </c>
      <c r="AV213" s="483">
        <v>951.6</v>
      </c>
      <c r="AW213" s="483">
        <v>943.8</v>
      </c>
      <c r="AX213" s="483">
        <v>764.4</v>
      </c>
      <c r="AY213" s="483">
        <v>889.19999999999993</v>
      </c>
      <c r="AZ213" s="483">
        <v>577.20000000000005</v>
      </c>
      <c r="BA213" s="483">
        <v>982.8</v>
      </c>
      <c r="BB213" s="349"/>
      <c r="BC213" s="349"/>
      <c r="BD213" s="349"/>
      <c r="BE213" s="349"/>
      <c r="BF213" s="349"/>
    </row>
    <row r="214" spans="4:58" ht="24" outlineLevel="1">
      <c r="D214" s="522" t="s">
        <v>473</v>
      </c>
      <c r="E214" s="329" t="s">
        <v>508</v>
      </c>
      <c r="F214" s="484" t="s">
        <v>627</v>
      </c>
      <c r="G214" s="484" t="s">
        <v>627</v>
      </c>
      <c r="H214" s="484" t="s">
        <v>627</v>
      </c>
      <c r="I214" s="484" t="s">
        <v>627</v>
      </c>
      <c r="J214" s="484" t="s">
        <v>627</v>
      </c>
      <c r="K214" s="484" t="s">
        <v>627</v>
      </c>
      <c r="L214" s="349"/>
      <c r="M214" s="349"/>
      <c r="N214" s="349"/>
      <c r="O214" s="349"/>
      <c r="P214" s="349"/>
      <c r="R214" s="522" t="s">
        <v>473</v>
      </c>
      <c r="S214" s="329" t="s">
        <v>508</v>
      </c>
      <c r="T214" s="484" t="s">
        <v>627</v>
      </c>
      <c r="U214" s="484" t="s">
        <v>627</v>
      </c>
      <c r="V214" s="484" t="s">
        <v>627</v>
      </c>
      <c r="W214" s="484" t="s">
        <v>627</v>
      </c>
      <c r="X214" s="484" t="s">
        <v>627</v>
      </c>
      <c r="Y214" s="484" t="s">
        <v>627</v>
      </c>
      <c r="Z214" s="349"/>
      <c r="AA214" s="349"/>
      <c r="AB214" s="349"/>
      <c r="AC214" s="349"/>
      <c r="AD214" s="349"/>
      <c r="AF214" s="522" t="s">
        <v>473</v>
      </c>
      <c r="AG214" s="329" t="s">
        <v>508</v>
      </c>
      <c r="AH214" s="484" t="s">
        <v>627</v>
      </c>
      <c r="AI214" s="484" t="s">
        <v>627</v>
      </c>
      <c r="AJ214" s="484" t="s">
        <v>627</v>
      </c>
      <c r="AK214" s="484" t="s">
        <v>627</v>
      </c>
      <c r="AL214" s="484" t="s">
        <v>627</v>
      </c>
      <c r="AM214" s="484" t="s">
        <v>627</v>
      </c>
      <c r="AN214" s="349"/>
      <c r="AO214" s="349"/>
      <c r="AP214" s="349"/>
      <c r="AQ214" s="349"/>
      <c r="AR214" s="349"/>
      <c r="AT214" s="522" t="s">
        <v>473</v>
      </c>
      <c r="AU214" s="329" t="s">
        <v>508</v>
      </c>
      <c r="AV214" s="484" t="s">
        <v>627</v>
      </c>
      <c r="AW214" s="484" t="s">
        <v>627</v>
      </c>
      <c r="AX214" s="484" t="s">
        <v>627</v>
      </c>
      <c r="AY214" s="484" t="s">
        <v>627</v>
      </c>
      <c r="AZ214" s="484" t="s">
        <v>627</v>
      </c>
      <c r="BA214" s="484" t="s">
        <v>627</v>
      </c>
      <c r="BB214" s="349"/>
      <c r="BC214" s="349"/>
      <c r="BD214" s="349"/>
      <c r="BE214" s="349"/>
      <c r="BF214" s="349"/>
    </row>
    <row r="215" spans="4:58" outlineLevel="1">
      <c r="D215" s="523"/>
      <c r="E215" s="329" t="s">
        <v>511</v>
      </c>
      <c r="F215" s="483">
        <v>1027.26</v>
      </c>
      <c r="G215" s="483">
        <v>676.06000000000006</v>
      </c>
      <c r="H215" s="483">
        <v>825.31999999999994</v>
      </c>
      <c r="I215" s="483">
        <v>719.95999999999992</v>
      </c>
      <c r="J215" s="483">
        <v>1062.3799999999999</v>
      </c>
      <c r="K215" s="483">
        <v>1132.6200000000001</v>
      </c>
      <c r="L215" s="349"/>
      <c r="M215" s="349"/>
      <c r="N215" s="349"/>
      <c r="O215" s="349"/>
      <c r="P215" s="349"/>
      <c r="R215" s="523"/>
      <c r="S215" s="329" t="s">
        <v>509</v>
      </c>
      <c r="T215" s="483">
        <v>772.64</v>
      </c>
      <c r="U215" s="483">
        <v>711.18000000000006</v>
      </c>
      <c r="V215" s="483">
        <v>1097.5</v>
      </c>
      <c r="W215" s="483">
        <v>886.78</v>
      </c>
      <c r="X215" s="483">
        <v>1071.1600000000001</v>
      </c>
      <c r="Y215" s="483">
        <v>728.74</v>
      </c>
      <c r="Z215" s="349"/>
      <c r="AA215" s="349"/>
      <c r="AB215" s="349"/>
      <c r="AC215" s="349"/>
      <c r="AD215" s="349"/>
      <c r="AF215" s="523"/>
      <c r="AG215" s="329" t="s">
        <v>509</v>
      </c>
      <c r="AH215" s="483">
        <v>1115.06</v>
      </c>
      <c r="AI215" s="483">
        <v>684.84</v>
      </c>
      <c r="AJ215" s="483">
        <v>1071.1600000000001</v>
      </c>
      <c r="AK215" s="483">
        <v>921.90000000000009</v>
      </c>
      <c r="AL215" s="483">
        <v>632.16</v>
      </c>
      <c r="AM215" s="483">
        <v>658.5</v>
      </c>
      <c r="AN215" s="349"/>
      <c r="AO215" s="349"/>
      <c r="AP215" s="349"/>
      <c r="AQ215" s="349"/>
      <c r="AR215" s="349"/>
      <c r="AT215" s="523"/>
      <c r="AU215" s="329" t="s">
        <v>509</v>
      </c>
      <c r="AV215" s="483">
        <v>1018.4799999999999</v>
      </c>
      <c r="AW215" s="483">
        <v>1036.04</v>
      </c>
      <c r="AX215" s="483">
        <v>869.22</v>
      </c>
      <c r="AY215" s="483">
        <v>1141.4000000000001</v>
      </c>
      <c r="AZ215" s="483">
        <v>719.95999999999992</v>
      </c>
      <c r="BA215" s="483">
        <v>1106.28</v>
      </c>
      <c r="BB215" s="349"/>
      <c r="BC215" s="349"/>
      <c r="BD215" s="349"/>
      <c r="BE215" s="349"/>
      <c r="BF215" s="349"/>
    </row>
    <row r="216" spans="4:58" ht="24" outlineLevel="1">
      <c r="D216" s="522" t="s">
        <v>474</v>
      </c>
      <c r="E216" s="329" t="s">
        <v>508</v>
      </c>
      <c r="F216" s="484" t="s">
        <v>627</v>
      </c>
      <c r="G216" s="484" t="s">
        <v>627</v>
      </c>
      <c r="H216" s="484" t="s">
        <v>627</v>
      </c>
      <c r="I216" s="484" t="s">
        <v>627</v>
      </c>
      <c r="J216" s="484" t="s">
        <v>627</v>
      </c>
      <c r="K216" s="484" t="s">
        <v>627</v>
      </c>
      <c r="L216" s="349"/>
      <c r="M216" s="349"/>
      <c r="N216" s="349"/>
      <c r="O216" s="349"/>
      <c r="P216" s="349"/>
      <c r="R216" s="522" t="s">
        <v>474</v>
      </c>
      <c r="S216" s="329" t="s">
        <v>508</v>
      </c>
      <c r="T216" s="484" t="s">
        <v>627</v>
      </c>
      <c r="U216" s="484" t="s">
        <v>627</v>
      </c>
      <c r="V216" s="484" t="s">
        <v>627</v>
      </c>
      <c r="W216" s="484" t="s">
        <v>627</v>
      </c>
      <c r="X216" s="484" t="s">
        <v>627</v>
      </c>
      <c r="Y216" s="484" t="s">
        <v>627</v>
      </c>
      <c r="Z216" s="349"/>
      <c r="AA216" s="349"/>
      <c r="AB216" s="349"/>
      <c r="AC216" s="349"/>
      <c r="AD216" s="349"/>
      <c r="AF216" s="522" t="s">
        <v>474</v>
      </c>
      <c r="AG216" s="329" t="s">
        <v>508</v>
      </c>
      <c r="AH216" s="484" t="s">
        <v>627</v>
      </c>
      <c r="AI216" s="484" t="s">
        <v>627</v>
      </c>
      <c r="AJ216" s="484" t="s">
        <v>627</v>
      </c>
      <c r="AK216" s="484" t="s">
        <v>627</v>
      </c>
      <c r="AL216" s="484" t="s">
        <v>627</v>
      </c>
      <c r="AM216" s="484" t="s">
        <v>627</v>
      </c>
      <c r="AN216" s="349"/>
      <c r="AO216" s="349"/>
      <c r="AP216" s="349"/>
      <c r="AQ216" s="349"/>
      <c r="AR216" s="349"/>
      <c r="AT216" s="522" t="s">
        <v>474</v>
      </c>
      <c r="AU216" s="329" t="s">
        <v>508</v>
      </c>
      <c r="AV216" s="484" t="s">
        <v>627</v>
      </c>
      <c r="AW216" s="484" t="s">
        <v>627</v>
      </c>
      <c r="AX216" s="484" t="s">
        <v>627</v>
      </c>
      <c r="AY216" s="484" t="s">
        <v>627</v>
      </c>
      <c r="AZ216" s="484" t="s">
        <v>627</v>
      </c>
      <c r="BA216" s="484" t="s">
        <v>627</v>
      </c>
      <c r="BB216" s="349"/>
      <c r="BC216" s="349"/>
      <c r="BD216" s="349"/>
      <c r="BE216" s="349"/>
      <c r="BF216" s="349"/>
    </row>
    <row r="217" spans="4:58" outlineLevel="1">
      <c r="D217" s="523"/>
      <c r="E217" s="329" t="s">
        <v>511</v>
      </c>
      <c r="F217" s="483">
        <v>1072.8</v>
      </c>
      <c r="G217" s="483">
        <v>1099.6199999999999</v>
      </c>
      <c r="H217" s="483">
        <v>679.44</v>
      </c>
      <c r="I217" s="483">
        <v>876.12</v>
      </c>
      <c r="J217" s="483">
        <v>974.46</v>
      </c>
      <c r="K217" s="483">
        <v>1019.16</v>
      </c>
      <c r="L217" s="349"/>
      <c r="M217" s="349"/>
      <c r="N217" s="349"/>
      <c r="O217" s="349"/>
      <c r="P217" s="349"/>
      <c r="R217" s="523"/>
      <c r="S217" s="329" t="s">
        <v>509</v>
      </c>
      <c r="T217" s="483">
        <v>777.78</v>
      </c>
      <c r="U217" s="483">
        <v>885.06</v>
      </c>
      <c r="V217" s="483">
        <v>1037.04</v>
      </c>
      <c r="W217" s="483">
        <v>1037.04</v>
      </c>
      <c r="X217" s="483">
        <v>831.42000000000007</v>
      </c>
      <c r="Y217" s="483">
        <v>840.3599999999999</v>
      </c>
      <c r="Z217" s="349"/>
      <c r="AA217" s="349"/>
      <c r="AB217" s="349"/>
      <c r="AC217" s="349"/>
      <c r="AD217" s="349"/>
      <c r="AF217" s="523"/>
      <c r="AG217" s="329" t="s">
        <v>509</v>
      </c>
      <c r="AH217" s="483">
        <v>1072.8</v>
      </c>
      <c r="AI217" s="483">
        <v>804.6</v>
      </c>
      <c r="AJ217" s="483">
        <v>1019.16</v>
      </c>
      <c r="AK217" s="483">
        <v>1162.2</v>
      </c>
      <c r="AL217" s="483">
        <v>1135.3800000000001</v>
      </c>
      <c r="AM217" s="483">
        <v>625.79999999999995</v>
      </c>
      <c r="AN217" s="349"/>
      <c r="AO217" s="349"/>
      <c r="AP217" s="349"/>
      <c r="AQ217" s="349"/>
      <c r="AR217" s="349"/>
      <c r="AT217" s="523"/>
      <c r="AU217" s="329" t="s">
        <v>509</v>
      </c>
      <c r="AV217" s="483">
        <v>1063.8599999999999</v>
      </c>
      <c r="AW217" s="483">
        <v>1099.6199999999999</v>
      </c>
      <c r="AX217" s="483">
        <v>1162.2</v>
      </c>
      <c r="AY217" s="483">
        <v>992.34</v>
      </c>
      <c r="AZ217" s="483">
        <v>929.76</v>
      </c>
      <c r="BA217" s="483">
        <v>759.9</v>
      </c>
      <c r="BB217" s="349"/>
      <c r="BC217" s="349"/>
      <c r="BD217" s="349"/>
      <c r="BE217" s="349"/>
      <c r="BF217" s="349"/>
    </row>
    <row r="218" spans="4:58" ht="24" outlineLevel="1">
      <c r="D218" s="522" t="s">
        <v>475</v>
      </c>
      <c r="E218" s="329" t="s">
        <v>508</v>
      </c>
      <c r="F218" s="484" t="s">
        <v>627</v>
      </c>
      <c r="G218" s="484" t="s">
        <v>627</v>
      </c>
      <c r="H218" s="484" t="s">
        <v>627</v>
      </c>
      <c r="I218" s="484" t="s">
        <v>627</v>
      </c>
      <c r="J218" s="484" t="s">
        <v>627</v>
      </c>
      <c r="K218" s="484" t="s">
        <v>627</v>
      </c>
      <c r="L218" s="349"/>
      <c r="M218" s="349"/>
      <c r="N218" s="349"/>
      <c r="O218" s="349"/>
      <c r="P218" s="349"/>
      <c r="R218" s="522" t="s">
        <v>475</v>
      </c>
      <c r="S218" s="329" t="s">
        <v>508</v>
      </c>
      <c r="T218" s="484" t="s">
        <v>627</v>
      </c>
      <c r="U218" s="484" t="s">
        <v>627</v>
      </c>
      <c r="V218" s="484" t="s">
        <v>627</v>
      </c>
      <c r="W218" s="484" t="s">
        <v>627</v>
      </c>
      <c r="X218" s="484" t="s">
        <v>627</v>
      </c>
      <c r="Y218" s="484" t="s">
        <v>627</v>
      </c>
      <c r="Z218" s="349"/>
      <c r="AA218" s="349"/>
      <c r="AB218" s="349"/>
      <c r="AC218" s="349"/>
      <c r="AD218" s="349"/>
      <c r="AF218" s="522" t="s">
        <v>475</v>
      </c>
      <c r="AG218" s="329" t="s">
        <v>508</v>
      </c>
      <c r="AH218" s="484" t="s">
        <v>627</v>
      </c>
      <c r="AI218" s="484" t="s">
        <v>627</v>
      </c>
      <c r="AJ218" s="484" t="s">
        <v>627</v>
      </c>
      <c r="AK218" s="484" t="s">
        <v>627</v>
      </c>
      <c r="AL218" s="484" t="s">
        <v>627</v>
      </c>
      <c r="AM218" s="484" t="s">
        <v>627</v>
      </c>
      <c r="AN218" s="349"/>
      <c r="AO218" s="349"/>
      <c r="AP218" s="349"/>
      <c r="AQ218" s="349"/>
      <c r="AR218" s="349"/>
      <c r="AT218" s="522" t="s">
        <v>475</v>
      </c>
      <c r="AU218" s="329" t="s">
        <v>508</v>
      </c>
      <c r="AV218" s="484" t="s">
        <v>627</v>
      </c>
      <c r="AW218" s="484" t="s">
        <v>627</v>
      </c>
      <c r="AX218" s="484" t="s">
        <v>627</v>
      </c>
      <c r="AY218" s="484" t="s">
        <v>627</v>
      </c>
      <c r="AZ218" s="484" t="s">
        <v>627</v>
      </c>
      <c r="BA218" s="484" t="s">
        <v>627</v>
      </c>
      <c r="BB218" s="349"/>
      <c r="BC218" s="349"/>
      <c r="BD218" s="349"/>
      <c r="BE218" s="349"/>
      <c r="BF218" s="349"/>
    </row>
    <row r="219" spans="4:58" outlineLevel="1">
      <c r="D219" s="523"/>
      <c r="E219" s="329" t="s">
        <v>511</v>
      </c>
      <c r="F219" s="483">
        <v>894.53000000000009</v>
      </c>
      <c r="G219" s="483">
        <v>865.04</v>
      </c>
      <c r="H219" s="483">
        <v>1277.9000000000001</v>
      </c>
      <c r="I219" s="483">
        <v>992.83</v>
      </c>
      <c r="J219" s="483">
        <v>1022.32</v>
      </c>
      <c r="K219" s="483">
        <v>1150.1099999999999</v>
      </c>
      <c r="L219" s="349"/>
      <c r="M219" s="349"/>
      <c r="N219" s="349"/>
      <c r="O219" s="349"/>
      <c r="P219" s="349"/>
      <c r="R219" s="523"/>
      <c r="S219" s="329" t="s">
        <v>509</v>
      </c>
      <c r="T219" s="483">
        <v>1120.6199999999999</v>
      </c>
      <c r="U219" s="483">
        <v>835.55</v>
      </c>
      <c r="V219" s="483">
        <v>1061.6400000000001</v>
      </c>
      <c r="W219" s="483">
        <v>1091.1300000000001</v>
      </c>
      <c r="X219" s="483">
        <v>1012.49</v>
      </c>
      <c r="Y219" s="483">
        <v>1081.3000000000002</v>
      </c>
      <c r="Z219" s="349"/>
      <c r="AA219" s="349"/>
      <c r="AB219" s="349"/>
      <c r="AC219" s="349"/>
      <c r="AD219" s="349"/>
      <c r="AF219" s="523"/>
      <c r="AG219" s="329" t="s">
        <v>509</v>
      </c>
      <c r="AH219" s="483">
        <v>756.91</v>
      </c>
      <c r="AI219" s="483">
        <v>756.91</v>
      </c>
      <c r="AJ219" s="483">
        <v>815.89</v>
      </c>
      <c r="AK219" s="483">
        <v>1277.9000000000001</v>
      </c>
      <c r="AL219" s="483">
        <v>983</v>
      </c>
      <c r="AM219" s="483">
        <v>1150.1099999999999</v>
      </c>
      <c r="AN219" s="349"/>
      <c r="AO219" s="349"/>
      <c r="AP219" s="349"/>
      <c r="AQ219" s="349"/>
      <c r="AR219" s="349"/>
      <c r="AT219" s="523"/>
      <c r="AU219" s="329" t="s">
        <v>509</v>
      </c>
      <c r="AV219" s="483">
        <v>1100.96</v>
      </c>
      <c r="AW219" s="483">
        <v>796.23</v>
      </c>
      <c r="AX219" s="483">
        <v>1002.66</v>
      </c>
      <c r="AY219" s="483">
        <v>963.34</v>
      </c>
      <c r="AZ219" s="483">
        <v>1032.1500000000001</v>
      </c>
      <c r="BA219" s="483">
        <v>1032.1500000000001</v>
      </c>
      <c r="BB219" s="349"/>
      <c r="BC219" s="349"/>
      <c r="BD219" s="349"/>
      <c r="BE219" s="349"/>
      <c r="BF219" s="349"/>
    </row>
    <row r="220" spans="4:58" ht="24" outlineLevel="1">
      <c r="D220" s="522" t="s">
        <v>476</v>
      </c>
      <c r="E220" s="329" t="s">
        <v>508</v>
      </c>
      <c r="F220" s="484" t="s">
        <v>627</v>
      </c>
      <c r="G220" s="484" t="s">
        <v>627</v>
      </c>
      <c r="H220" s="484" t="s">
        <v>627</v>
      </c>
      <c r="I220" s="484" t="s">
        <v>627</v>
      </c>
      <c r="J220" s="484" t="s">
        <v>627</v>
      </c>
      <c r="K220" s="484" t="s">
        <v>627</v>
      </c>
      <c r="L220" s="349"/>
      <c r="M220" s="349"/>
      <c r="N220" s="349"/>
      <c r="O220" s="349"/>
      <c r="P220" s="349"/>
      <c r="R220" s="522" t="s">
        <v>476</v>
      </c>
      <c r="S220" s="329" t="s">
        <v>508</v>
      </c>
      <c r="T220" s="484" t="s">
        <v>627</v>
      </c>
      <c r="U220" s="484" t="s">
        <v>627</v>
      </c>
      <c r="V220" s="484" t="s">
        <v>627</v>
      </c>
      <c r="W220" s="484" t="s">
        <v>627</v>
      </c>
      <c r="X220" s="484" t="s">
        <v>627</v>
      </c>
      <c r="Y220" s="484" t="s">
        <v>627</v>
      </c>
      <c r="Z220" s="349"/>
      <c r="AA220" s="349"/>
      <c r="AB220" s="349"/>
      <c r="AC220" s="349"/>
      <c r="AD220" s="349"/>
      <c r="AF220" s="522" t="s">
        <v>476</v>
      </c>
      <c r="AG220" s="329" t="s">
        <v>508</v>
      </c>
      <c r="AH220" s="484" t="s">
        <v>627</v>
      </c>
      <c r="AI220" s="484" t="s">
        <v>627</v>
      </c>
      <c r="AJ220" s="484" t="s">
        <v>627</v>
      </c>
      <c r="AK220" s="484" t="s">
        <v>627</v>
      </c>
      <c r="AL220" s="484" t="s">
        <v>627</v>
      </c>
      <c r="AM220" s="484" t="s">
        <v>627</v>
      </c>
      <c r="AN220" s="349"/>
      <c r="AO220" s="349"/>
      <c r="AP220" s="349"/>
      <c r="AQ220" s="349"/>
      <c r="AR220" s="349"/>
      <c r="AT220" s="522" t="s">
        <v>476</v>
      </c>
      <c r="AU220" s="329" t="s">
        <v>508</v>
      </c>
      <c r="AV220" s="484" t="s">
        <v>627</v>
      </c>
      <c r="AW220" s="484" t="s">
        <v>627</v>
      </c>
      <c r="AX220" s="484" t="s">
        <v>627</v>
      </c>
      <c r="AY220" s="484" t="s">
        <v>627</v>
      </c>
      <c r="AZ220" s="484" t="s">
        <v>627</v>
      </c>
      <c r="BA220" s="484" t="s">
        <v>627</v>
      </c>
      <c r="BB220" s="349"/>
      <c r="BC220" s="349"/>
      <c r="BD220" s="349"/>
      <c r="BE220" s="349"/>
      <c r="BF220" s="349"/>
    </row>
    <row r="221" spans="4:58" outlineLevel="1">
      <c r="D221" s="523"/>
      <c r="E221" s="329" t="s">
        <v>511</v>
      </c>
      <c r="F221" s="483">
        <v>912.05</v>
      </c>
      <c r="G221" s="483">
        <v>1137.3800000000001</v>
      </c>
      <c r="H221" s="483">
        <v>1083.73</v>
      </c>
      <c r="I221" s="483">
        <v>1351.98</v>
      </c>
      <c r="J221" s="483">
        <v>1030.08</v>
      </c>
      <c r="K221" s="483">
        <v>976.43000000000006</v>
      </c>
      <c r="L221" s="349"/>
      <c r="M221" s="349"/>
      <c r="N221" s="349"/>
      <c r="O221" s="349"/>
      <c r="P221" s="349"/>
      <c r="R221" s="523"/>
      <c r="S221" s="329" t="s">
        <v>509</v>
      </c>
      <c r="T221" s="483">
        <v>1191.0300000000002</v>
      </c>
      <c r="U221" s="483">
        <v>890.58999999999992</v>
      </c>
      <c r="V221" s="483">
        <v>1373.44</v>
      </c>
      <c r="W221" s="483">
        <v>1319.79</v>
      </c>
      <c r="X221" s="483">
        <v>1083.73</v>
      </c>
      <c r="Y221" s="483">
        <v>1384.17</v>
      </c>
      <c r="Z221" s="349"/>
      <c r="AA221" s="349"/>
      <c r="AB221" s="349"/>
      <c r="AC221" s="349"/>
      <c r="AD221" s="349"/>
      <c r="AF221" s="523"/>
      <c r="AG221" s="329" t="s">
        <v>509</v>
      </c>
      <c r="AH221" s="483">
        <v>944.24</v>
      </c>
      <c r="AI221" s="483">
        <v>858.40000000000009</v>
      </c>
      <c r="AJ221" s="483">
        <v>1115.92</v>
      </c>
      <c r="AK221" s="483">
        <v>1276.8699999999999</v>
      </c>
      <c r="AL221" s="483">
        <v>761.82999999999993</v>
      </c>
      <c r="AM221" s="483">
        <v>890.58999999999992</v>
      </c>
      <c r="AN221" s="349"/>
      <c r="AO221" s="349"/>
      <c r="AP221" s="349"/>
      <c r="AQ221" s="349"/>
      <c r="AR221" s="349"/>
      <c r="AT221" s="523"/>
      <c r="AU221" s="329" t="s">
        <v>509</v>
      </c>
      <c r="AV221" s="483">
        <v>772.56</v>
      </c>
      <c r="AW221" s="483">
        <v>751.09999999999991</v>
      </c>
      <c r="AX221" s="483">
        <v>1233.9499999999998</v>
      </c>
      <c r="AY221" s="483">
        <v>976.43000000000006</v>
      </c>
      <c r="AZ221" s="483">
        <v>1062.27</v>
      </c>
      <c r="BA221" s="483">
        <v>1030.08</v>
      </c>
      <c r="BB221" s="349"/>
      <c r="BC221" s="349"/>
      <c r="BD221" s="349"/>
      <c r="BE221" s="349"/>
      <c r="BF221" s="349"/>
    </row>
    <row r="222" spans="4:58" ht="24" outlineLevel="1">
      <c r="D222" s="522" t="s">
        <v>477</v>
      </c>
      <c r="E222" s="329" t="s">
        <v>508</v>
      </c>
      <c r="F222" s="484" t="s">
        <v>627</v>
      </c>
      <c r="G222" s="484" t="s">
        <v>627</v>
      </c>
      <c r="H222" s="484" t="s">
        <v>627</v>
      </c>
      <c r="I222" s="484" t="s">
        <v>627</v>
      </c>
      <c r="J222" s="484" t="s">
        <v>627</v>
      </c>
      <c r="K222" s="484" t="s">
        <v>627</v>
      </c>
      <c r="L222" s="349"/>
      <c r="M222" s="349"/>
      <c r="N222" s="349"/>
      <c r="O222" s="349"/>
      <c r="P222" s="349"/>
      <c r="R222" s="522" t="s">
        <v>477</v>
      </c>
      <c r="S222" s="329" t="s">
        <v>508</v>
      </c>
      <c r="T222" s="484" t="s">
        <v>627</v>
      </c>
      <c r="U222" s="484" t="s">
        <v>627</v>
      </c>
      <c r="V222" s="484" t="s">
        <v>627</v>
      </c>
      <c r="W222" s="484" t="s">
        <v>627</v>
      </c>
      <c r="X222" s="484" t="s">
        <v>627</v>
      </c>
      <c r="Y222" s="484" t="s">
        <v>627</v>
      </c>
      <c r="Z222" s="349"/>
      <c r="AA222" s="349"/>
      <c r="AB222" s="349"/>
      <c r="AC222" s="349"/>
      <c r="AD222" s="349"/>
      <c r="AF222" s="522" t="s">
        <v>477</v>
      </c>
      <c r="AG222" s="329" t="s">
        <v>508</v>
      </c>
      <c r="AH222" s="484" t="s">
        <v>627</v>
      </c>
      <c r="AI222" s="484" t="s">
        <v>627</v>
      </c>
      <c r="AJ222" s="484" t="s">
        <v>627</v>
      </c>
      <c r="AK222" s="484" t="s">
        <v>627</v>
      </c>
      <c r="AL222" s="484" t="s">
        <v>627</v>
      </c>
      <c r="AM222" s="484" t="s">
        <v>627</v>
      </c>
      <c r="AN222" s="349"/>
      <c r="AO222" s="349"/>
      <c r="AP222" s="349"/>
      <c r="AQ222" s="349"/>
      <c r="AR222" s="349"/>
      <c r="AT222" s="522" t="s">
        <v>477</v>
      </c>
      <c r="AU222" s="329" t="s">
        <v>508</v>
      </c>
      <c r="AV222" s="484" t="s">
        <v>627</v>
      </c>
      <c r="AW222" s="484" t="s">
        <v>627</v>
      </c>
      <c r="AX222" s="484" t="s">
        <v>627</v>
      </c>
      <c r="AY222" s="484" t="s">
        <v>627</v>
      </c>
      <c r="AZ222" s="484" t="s">
        <v>627</v>
      </c>
      <c r="BA222" s="484" t="s">
        <v>627</v>
      </c>
      <c r="BB222" s="349"/>
      <c r="BC222" s="349"/>
      <c r="BD222" s="349"/>
      <c r="BE222" s="349"/>
      <c r="BF222" s="349"/>
    </row>
    <row r="223" spans="4:58" outlineLevel="1">
      <c r="D223" s="523"/>
      <c r="E223" s="329" t="s">
        <v>511</v>
      </c>
      <c r="F223" s="483">
        <v>1703.07</v>
      </c>
      <c r="G223" s="483">
        <v>1314.18</v>
      </c>
      <c r="H223" s="483">
        <v>1676.25</v>
      </c>
      <c r="I223" s="483">
        <v>1220.31</v>
      </c>
      <c r="J223" s="483">
        <v>1743.3</v>
      </c>
      <c r="K223" s="483">
        <v>965.52</v>
      </c>
      <c r="L223" s="349"/>
      <c r="M223" s="349"/>
      <c r="N223" s="349"/>
      <c r="O223" s="349"/>
      <c r="P223" s="349"/>
      <c r="R223" s="523"/>
      <c r="S223" s="329" t="s">
        <v>509</v>
      </c>
      <c r="T223" s="483">
        <v>1622.61</v>
      </c>
      <c r="U223" s="483">
        <v>1515.33</v>
      </c>
      <c r="V223" s="483">
        <v>1703.07</v>
      </c>
      <c r="W223" s="483">
        <v>1568.9699999999998</v>
      </c>
      <c r="X223" s="483">
        <v>1475.1000000000001</v>
      </c>
      <c r="Y223" s="483">
        <v>1743.3</v>
      </c>
      <c r="Z223" s="349"/>
      <c r="AA223" s="349"/>
      <c r="AB223" s="349"/>
      <c r="AC223" s="349"/>
      <c r="AD223" s="349"/>
      <c r="AF223" s="523"/>
      <c r="AG223" s="329" t="s">
        <v>509</v>
      </c>
      <c r="AH223" s="483">
        <v>1448.2800000000002</v>
      </c>
      <c r="AI223" s="483">
        <v>1045.98</v>
      </c>
      <c r="AJ223" s="483">
        <v>1126.44</v>
      </c>
      <c r="AK223" s="483">
        <v>1059.3900000000001</v>
      </c>
      <c r="AL223" s="483">
        <v>1287.3599999999999</v>
      </c>
      <c r="AM223" s="483">
        <v>1180.08</v>
      </c>
      <c r="AN223" s="349"/>
      <c r="AO223" s="349"/>
      <c r="AP223" s="349"/>
      <c r="AQ223" s="349"/>
      <c r="AR223" s="349"/>
      <c r="AT223" s="523"/>
      <c r="AU223" s="329" t="s">
        <v>509</v>
      </c>
      <c r="AV223" s="483">
        <v>1461.69</v>
      </c>
      <c r="AW223" s="483">
        <v>1166.67</v>
      </c>
      <c r="AX223" s="483">
        <v>1260.54</v>
      </c>
      <c r="AY223" s="483">
        <v>1662.84</v>
      </c>
      <c r="AZ223" s="483">
        <v>1461.69</v>
      </c>
      <c r="BA223" s="483">
        <v>1381.23</v>
      </c>
      <c r="BB223" s="349"/>
      <c r="BC223" s="349"/>
      <c r="BD223" s="349"/>
      <c r="BE223" s="349"/>
      <c r="BF223" s="349"/>
    </row>
    <row r="224" spans="4:58" ht="24" outlineLevel="1">
      <c r="D224" s="522" t="s">
        <v>478</v>
      </c>
      <c r="E224" s="329" t="s">
        <v>508</v>
      </c>
      <c r="F224" s="484" t="s">
        <v>627</v>
      </c>
      <c r="G224" s="484" t="s">
        <v>627</v>
      </c>
      <c r="H224" s="484" t="s">
        <v>627</v>
      </c>
      <c r="I224" s="484" t="s">
        <v>627</v>
      </c>
      <c r="J224" s="484" t="s">
        <v>627</v>
      </c>
      <c r="K224" s="484" t="s">
        <v>627</v>
      </c>
      <c r="L224" s="349"/>
      <c r="M224" s="349"/>
      <c r="N224" s="349"/>
      <c r="O224" s="349"/>
      <c r="P224" s="349"/>
      <c r="R224" s="522" t="s">
        <v>478</v>
      </c>
      <c r="S224" s="329" t="s">
        <v>508</v>
      </c>
      <c r="T224" s="484" t="s">
        <v>627</v>
      </c>
      <c r="U224" s="484" t="s">
        <v>627</v>
      </c>
      <c r="V224" s="484" t="s">
        <v>627</v>
      </c>
      <c r="W224" s="484" t="s">
        <v>627</v>
      </c>
      <c r="X224" s="484" t="s">
        <v>627</v>
      </c>
      <c r="Y224" s="484" t="s">
        <v>627</v>
      </c>
      <c r="Z224" s="349"/>
      <c r="AA224" s="349"/>
      <c r="AB224" s="349"/>
      <c r="AC224" s="349"/>
      <c r="AD224" s="349"/>
      <c r="AF224" s="522" t="s">
        <v>478</v>
      </c>
      <c r="AG224" s="329" t="s">
        <v>508</v>
      </c>
      <c r="AH224" s="484" t="s">
        <v>627</v>
      </c>
      <c r="AI224" s="484" t="s">
        <v>627</v>
      </c>
      <c r="AJ224" s="484" t="s">
        <v>627</v>
      </c>
      <c r="AK224" s="484" t="s">
        <v>627</v>
      </c>
      <c r="AL224" s="484" t="s">
        <v>627</v>
      </c>
      <c r="AM224" s="484" t="s">
        <v>627</v>
      </c>
      <c r="AN224" s="349"/>
      <c r="AO224" s="349"/>
      <c r="AP224" s="349"/>
      <c r="AQ224" s="349"/>
      <c r="AR224" s="349"/>
      <c r="AT224" s="522" t="s">
        <v>478</v>
      </c>
      <c r="AU224" s="329" t="s">
        <v>508</v>
      </c>
      <c r="AV224" s="484" t="s">
        <v>627</v>
      </c>
      <c r="AW224" s="484" t="s">
        <v>627</v>
      </c>
      <c r="AX224" s="484" t="s">
        <v>627</v>
      </c>
      <c r="AY224" s="484" t="s">
        <v>627</v>
      </c>
      <c r="AZ224" s="484" t="s">
        <v>627</v>
      </c>
      <c r="BA224" s="484" t="s">
        <v>627</v>
      </c>
      <c r="BB224" s="349"/>
      <c r="BC224" s="349"/>
      <c r="BD224" s="349"/>
      <c r="BE224" s="349"/>
      <c r="BF224" s="349"/>
    </row>
    <row r="225" spans="4:58">
      <c r="D225" s="523"/>
      <c r="E225" s="329" t="s">
        <v>511</v>
      </c>
      <c r="F225" s="483">
        <v>1413.75</v>
      </c>
      <c r="G225" s="483">
        <v>1901.2499999999998</v>
      </c>
      <c r="H225" s="483">
        <v>1690</v>
      </c>
      <c r="I225" s="483">
        <v>1820.0000000000002</v>
      </c>
      <c r="J225" s="483">
        <v>1381.25</v>
      </c>
      <c r="K225" s="483">
        <v>1218.75</v>
      </c>
      <c r="L225" s="349"/>
      <c r="M225" s="349"/>
      <c r="N225" s="349"/>
      <c r="O225" s="349"/>
      <c r="P225" s="349"/>
      <c r="R225" s="523"/>
      <c r="S225" s="329" t="s">
        <v>509</v>
      </c>
      <c r="T225" s="483">
        <v>2080</v>
      </c>
      <c r="U225" s="483">
        <v>1787.5000000000002</v>
      </c>
      <c r="V225" s="483">
        <v>1803.7500000000002</v>
      </c>
      <c r="W225" s="483">
        <v>1625</v>
      </c>
      <c r="X225" s="483">
        <v>1316.25</v>
      </c>
      <c r="Y225" s="483">
        <v>1413.75</v>
      </c>
      <c r="Z225" s="349"/>
      <c r="AA225" s="349"/>
      <c r="AB225" s="349"/>
      <c r="AC225" s="349"/>
      <c r="AD225" s="349"/>
      <c r="AF225" s="523"/>
      <c r="AG225" s="329" t="s">
        <v>509</v>
      </c>
      <c r="AH225" s="483">
        <v>1560</v>
      </c>
      <c r="AI225" s="483">
        <v>1170</v>
      </c>
      <c r="AJ225" s="483">
        <v>2031.25</v>
      </c>
      <c r="AK225" s="483">
        <v>1560</v>
      </c>
      <c r="AL225" s="483">
        <v>1576.25</v>
      </c>
      <c r="AM225" s="483">
        <v>1153.75</v>
      </c>
      <c r="AN225" s="349"/>
      <c r="AO225" s="349"/>
      <c r="AP225" s="349"/>
      <c r="AQ225" s="349"/>
      <c r="AR225" s="349"/>
      <c r="AT225" s="523"/>
      <c r="AU225" s="329" t="s">
        <v>509</v>
      </c>
      <c r="AV225" s="483">
        <v>1933.75</v>
      </c>
      <c r="AW225" s="483">
        <v>1527.5</v>
      </c>
      <c r="AX225" s="483">
        <v>1153.75</v>
      </c>
      <c r="AY225" s="483">
        <v>2080</v>
      </c>
      <c r="AZ225" s="483">
        <v>1933.75</v>
      </c>
      <c r="BA225" s="483">
        <v>1560</v>
      </c>
      <c r="BB225" s="349"/>
      <c r="BC225" s="349"/>
      <c r="BD225" s="349"/>
      <c r="BE225" s="349"/>
      <c r="BF225" s="349"/>
    </row>
    <row r="226" spans="4:58">
      <c r="AF226" s="69"/>
      <c r="AT226" s="69"/>
    </row>
    <row r="227" spans="4:58" ht="11.25" customHeight="1"/>
    <row r="229" spans="4:58" ht="15.75">
      <c r="Q229" s="33"/>
    </row>
    <row r="230" spans="4:58" ht="15.75">
      <c r="D230" s="33" t="s">
        <v>636</v>
      </c>
    </row>
    <row r="231" spans="4:58">
      <c r="D231" s="119" t="s">
        <v>186</v>
      </c>
    </row>
    <row r="232" spans="4:58">
      <c r="D232" s="565" t="s">
        <v>442</v>
      </c>
      <c r="E232" s="565"/>
      <c r="F232" s="338">
        <v>2009</v>
      </c>
      <c r="G232" s="338">
        <v>2010</v>
      </c>
      <c r="H232" s="338">
        <v>2011</v>
      </c>
      <c r="I232" s="338">
        <v>2012</v>
      </c>
      <c r="J232" s="338">
        <v>2013</v>
      </c>
      <c r="K232" s="338">
        <v>2014</v>
      </c>
      <c r="L232" s="338">
        <v>2015</v>
      </c>
      <c r="M232" s="338">
        <v>2016</v>
      </c>
      <c r="N232" s="338">
        <v>2017</v>
      </c>
      <c r="O232" s="338">
        <v>2018</v>
      </c>
      <c r="P232" s="338">
        <v>2019</v>
      </c>
    </row>
    <row r="233" spans="4:58">
      <c r="D233" s="518" t="s">
        <v>443</v>
      </c>
      <c r="E233" s="329" t="s">
        <v>508</v>
      </c>
      <c r="F233" s="486">
        <v>2778.16</v>
      </c>
      <c r="G233" s="486">
        <v>3788.4</v>
      </c>
      <c r="H233" s="486">
        <v>4040.9600000000005</v>
      </c>
      <c r="I233" s="486">
        <v>3644.08</v>
      </c>
      <c r="J233" s="486">
        <v>4004.8800000000006</v>
      </c>
      <c r="K233" s="486">
        <v>4654.32</v>
      </c>
      <c r="L233" s="349"/>
      <c r="M233" s="349"/>
      <c r="N233" s="349"/>
      <c r="O233" s="349"/>
      <c r="P233" s="349"/>
    </row>
    <row r="234" spans="4:58">
      <c r="D234" s="519"/>
      <c r="E234" s="329" t="s">
        <v>509</v>
      </c>
      <c r="F234" s="487" t="s">
        <v>132</v>
      </c>
      <c r="G234" s="487" t="s">
        <v>132</v>
      </c>
      <c r="H234" s="487" t="s">
        <v>132</v>
      </c>
      <c r="I234" s="487" t="s">
        <v>132</v>
      </c>
      <c r="J234" s="487" t="s">
        <v>132</v>
      </c>
      <c r="K234" s="487" t="s">
        <v>132</v>
      </c>
      <c r="L234" s="349"/>
      <c r="M234" s="349"/>
      <c r="N234" s="349"/>
      <c r="O234" s="349"/>
      <c r="P234" s="349"/>
    </row>
    <row r="235" spans="4:58">
      <c r="D235" s="520" t="s">
        <v>444</v>
      </c>
      <c r="E235" s="329" t="s">
        <v>508</v>
      </c>
      <c r="F235" s="486">
        <v>5106.2400000000007</v>
      </c>
      <c r="G235" s="486">
        <v>6051.84</v>
      </c>
      <c r="H235" s="486">
        <v>5295.3600000000006</v>
      </c>
      <c r="I235" s="486">
        <v>4633.4399999999996</v>
      </c>
      <c r="J235" s="486">
        <v>5579.04</v>
      </c>
      <c r="K235" s="486">
        <v>5389.9199999999992</v>
      </c>
      <c r="L235" s="349"/>
      <c r="M235" s="349"/>
      <c r="N235" s="349"/>
      <c r="O235" s="349"/>
      <c r="P235" s="349"/>
    </row>
    <row r="236" spans="4:58">
      <c r="D236" s="521"/>
      <c r="E236" s="329" t="s">
        <v>509</v>
      </c>
      <c r="F236" s="487" t="s">
        <v>132</v>
      </c>
      <c r="G236" s="487" t="s">
        <v>132</v>
      </c>
      <c r="H236" s="487" t="s">
        <v>132</v>
      </c>
      <c r="I236" s="487" t="s">
        <v>132</v>
      </c>
      <c r="J236" s="487" t="s">
        <v>132</v>
      </c>
      <c r="K236" s="487" t="s">
        <v>132</v>
      </c>
      <c r="L236" s="349"/>
      <c r="M236" s="349"/>
      <c r="N236" s="349"/>
      <c r="O236" s="349"/>
      <c r="P236" s="349"/>
    </row>
    <row r="237" spans="4:58" outlineLevel="1">
      <c r="D237" s="522" t="s">
        <v>445</v>
      </c>
      <c r="E237" s="329" t="s">
        <v>508</v>
      </c>
      <c r="F237" s="487">
        <v>5963.16</v>
      </c>
      <c r="G237" s="487">
        <v>3847.2000000000003</v>
      </c>
      <c r="H237" s="487">
        <v>5674.62</v>
      </c>
      <c r="I237" s="487">
        <v>3751.02</v>
      </c>
      <c r="J237" s="487">
        <v>5097.54</v>
      </c>
      <c r="K237" s="487">
        <v>4712.82</v>
      </c>
      <c r="L237" s="349"/>
      <c r="M237" s="349"/>
      <c r="N237" s="349"/>
      <c r="O237" s="349"/>
      <c r="P237" s="349"/>
    </row>
    <row r="238" spans="4:58" outlineLevel="1">
      <c r="D238" s="523"/>
      <c r="E238" s="329" t="s">
        <v>509</v>
      </c>
      <c r="F238" s="487" t="s">
        <v>132</v>
      </c>
      <c r="G238" s="487" t="s">
        <v>132</v>
      </c>
      <c r="H238" s="487" t="s">
        <v>132</v>
      </c>
      <c r="I238" s="487" t="s">
        <v>132</v>
      </c>
      <c r="J238" s="487" t="s">
        <v>132</v>
      </c>
      <c r="K238" s="487" t="s">
        <v>132</v>
      </c>
      <c r="L238" s="349"/>
      <c r="M238" s="349"/>
      <c r="N238" s="349"/>
      <c r="O238" s="349"/>
      <c r="P238" s="349"/>
    </row>
    <row r="239" spans="4:58" outlineLevel="1">
      <c r="D239" s="522" t="s">
        <v>446</v>
      </c>
      <c r="E239" s="329" t="s">
        <v>508</v>
      </c>
      <c r="F239" s="487">
        <v>5084.5600000000004</v>
      </c>
      <c r="G239" s="487">
        <v>5866.8</v>
      </c>
      <c r="H239" s="487">
        <v>5182.34</v>
      </c>
      <c r="I239" s="487">
        <v>5622.3499999999995</v>
      </c>
      <c r="J239" s="487">
        <v>5182.34</v>
      </c>
      <c r="K239" s="487">
        <v>5231.2300000000005</v>
      </c>
      <c r="L239" s="349"/>
      <c r="M239" s="349"/>
      <c r="N239" s="349"/>
      <c r="O239" s="349"/>
      <c r="P239" s="349"/>
    </row>
    <row r="240" spans="4:58" outlineLevel="1">
      <c r="D240" s="523"/>
      <c r="E240" s="329" t="s">
        <v>509</v>
      </c>
      <c r="F240" s="487" t="s">
        <v>132</v>
      </c>
      <c r="G240" s="487" t="s">
        <v>132</v>
      </c>
      <c r="H240" s="487" t="s">
        <v>132</v>
      </c>
      <c r="I240" s="487" t="s">
        <v>132</v>
      </c>
      <c r="J240" s="487" t="s">
        <v>132</v>
      </c>
      <c r="K240" s="487" t="s">
        <v>132</v>
      </c>
      <c r="L240" s="349"/>
      <c r="M240" s="349"/>
      <c r="N240" s="349"/>
      <c r="O240" s="349"/>
      <c r="P240" s="349"/>
    </row>
    <row r="241" spans="4:16" outlineLevel="1">
      <c r="D241" s="522" t="s">
        <v>447</v>
      </c>
      <c r="E241" s="329" t="s">
        <v>508</v>
      </c>
      <c r="F241" s="487">
        <v>6447.5999999999995</v>
      </c>
      <c r="G241" s="487">
        <v>5158.08</v>
      </c>
      <c r="H241" s="487">
        <v>5211.8099999999995</v>
      </c>
      <c r="I241" s="487">
        <v>6393.87</v>
      </c>
      <c r="J241" s="487">
        <v>5641.6500000000005</v>
      </c>
      <c r="K241" s="487">
        <v>6340.1399999999994</v>
      </c>
      <c r="L241" s="349"/>
      <c r="M241" s="349"/>
      <c r="N241" s="349"/>
      <c r="O241" s="349"/>
      <c r="P241" s="349"/>
    </row>
    <row r="242" spans="4:16" outlineLevel="1">
      <c r="D242" s="523"/>
      <c r="E242" s="329" t="s">
        <v>509</v>
      </c>
      <c r="F242" s="487" t="s">
        <v>132</v>
      </c>
      <c r="G242" s="487" t="s">
        <v>132</v>
      </c>
      <c r="H242" s="487" t="s">
        <v>132</v>
      </c>
      <c r="I242" s="487" t="s">
        <v>132</v>
      </c>
      <c r="J242" s="487" t="s">
        <v>132</v>
      </c>
      <c r="K242" s="487" t="s">
        <v>132</v>
      </c>
      <c r="L242" s="349"/>
      <c r="M242" s="349"/>
      <c r="N242" s="349"/>
      <c r="O242" s="349"/>
      <c r="P242" s="349"/>
    </row>
    <row r="243" spans="4:16" outlineLevel="1">
      <c r="D243" s="522" t="s">
        <v>448</v>
      </c>
      <c r="E243" s="329" t="s">
        <v>508</v>
      </c>
      <c r="F243" s="487">
        <v>4513.5</v>
      </c>
      <c r="G243" s="487">
        <v>6439.26</v>
      </c>
      <c r="H243" s="487">
        <v>5295.84</v>
      </c>
      <c r="I243" s="487">
        <v>6800.3399999999992</v>
      </c>
      <c r="J243" s="487">
        <v>6379.08</v>
      </c>
      <c r="K243" s="487">
        <v>4874.58</v>
      </c>
      <c r="L243" s="349"/>
      <c r="M243" s="349"/>
      <c r="N243" s="349"/>
      <c r="O243" s="349"/>
      <c r="P243" s="349"/>
    </row>
    <row r="244" spans="4:16" outlineLevel="1">
      <c r="D244" s="523"/>
      <c r="E244" s="329" t="s">
        <v>509</v>
      </c>
      <c r="F244" s="487" t="s">
        <v>132</v>
      </c>
      <c r="G244" s="487" t="s">
        <v>132</v>
      </c>
      <c r="H244" s="487" t="s">
        <v>132</v>
      </c>
      <c r="I244" s="487" t="s">
        <v>132</v>
      </c>
      <c r="J244" s="487" t="s">
        <v>132</v>
      </c>
      <c r="K244" s="487" t="s">
        <v>132</v>
      </c>
      <c r="L244" s="349"/>
      <c r="M244" s="349"/>
      <c r="N244" s="349"/>
      <c r="O244" s="349"/>
      <c r="P244" s="349"/>
    </row>
    <row r="245" spans="4:16" outlineLevel="1">
      <c r="D245" s="522" t="s">
        <v>449</v>
      </c>
      <c r="E245" s="329" t="s">
        <v>508</v>
      </c>
      <c r="F245" s="487">
        <v>8870.9500000000007</v>
      </c>
      <c r="G245" s="487">
        <v>6496.05</v>
      </c>
      <c r="H245" s="487">
        <v>6496.05</v>
      </c>
      <c r="I245" s="487">
        <v>6915.15</v>
      </c>
      <c r="J245" s="487">
        <v>7962.9</v>
      </c>
      <c r="K245" s="487">
        <v>6985</v>
      </c>
      <c r="L245" s="349"/>
      <c r="M245" s="349"/>
      <c r="N245" s="349"/>
      <c r="O245" s="349"/>
      <c r="P245" s="349"/>
    </row>
    <row r="246" spans="4:16" outlineLevel="1">
      <c r="D246" s="523"/>
      <c r="E246" s="329" t="s">
        <v>509</v>
      </c>
      <c r="F246" s="487" t="s">
        <v>132</v>
      </c>
      <c r="G246" s="487" t="s">
        <v>132</v>
      </c>
      <c r="H246" s="487" t="s">
        <v>132</v>
      </c>
      <c r="I246" s="487" t="s">
        <v>132</v>
      </c>
      <c r="J246" s="487" t="s">
        <v>132</v>
      </c>
      <c r="K246" s="487" t="s">
        <v>132</v>
      </c>
      <c r="L246" s="349"/>
      <c r="M246" s="349"/>
      <c r="N246" s="349"/>
      <c r="O246" s="349"/>
      <c r="P246" s="349"/>
    </row>
    <row r="247" spans="4:16" outlineLevel="1">
      <c r="D247" s="522" t="s">
        <v>450</v>
      </c>
      <c r="E247" s="329" t="s">
        <v>508</v>
      </c>
      <c r="F247" s="487">
        <v>10708.48</v>
      </c>
      <c r="G247" s="487">
        <v>7696.72</v>
      </c>
      <c r="H247" s="487">
        <v>6776.46</v>
      </c>
      <c r="I247" s="487">
        <v>9871.8799999999992</v>
      </c>
      <c r="J247" s="487">
        <v>10875.800000000001</v>
      </c>
      <c r="K247" s="487">
        <v>7278.42</v>
      </c>
      <c r="L247" s="349"/>
      <c r="M247" s="349"/>
      <c r="N247" s="349"/>
      <c r="O247" s="349"/>
      <c r="P247" s="349"/>
    </row>
    <row r="248" spans="4:16" outlineLevel="1">
      <c r="D248" s="523"/>
      <c r="E248" s="329" t="s">
        <v>509</v>
      </c>
      <c r="F248" s="487" t="s">
        <v>132</v>
      </c>
      <c r="G248" s="487" t="s">
        <v>132</v>
      </c>
      <c r="H248" s="487" t="s">
        <v>132</v>
      </c>
      <c r="I248" s="487" t="s">
        <v>132</v>
      </c>
      <c r="J248" s="487" t="s">
        <v>132</v>
      </c>
      <c r="K248" s="487" t="s">
        <v>132</v>
      </c>
      <c r="L248" s="349"/>
      <c r="M248" s="349"/>
      <c r="N248" s="349"/>
      <c r="O248" s="349"/>
      <c r="P248" s="349"/>
    </row>
    <row r="249" spans="4:16" outlineLevel="1">
      <c r="D249" s="524" t="s">
        <v>451</v>
      </c>
      <c r="E249" s="329" t="s">
        <v>508</v>
      </c>
      <c r="F249" s="487">
        <v>9980.33</v>
      </c>
      <c r="G249" s="487">
        <v>7510.97</v>
      </c>
      <c r="H249" s="487">
        <v>11626.57</v>
      </c>
      <c r="I249" s="487">
        <v>10083.219999999999</v>
      </c>
      <c r="J249" s="487">
        <v>8436.98</v>
      </c>
      <c r="K249" s="487">
        <v>7819.64</v>
      </c>
      <c r="L249" s="349"/>
      <c r="M249" s="349"/>
      <c r="N249" s="349"/>
      <c r="O249" s="349"/>
      <c r="P249" s="349"/>
    </row>
    <row r="250" spans="4:16" outlineLevel="1">
      <c r="D250" s="525"/>
      <c r="E250" s="329" t="s">
        <v>509</v>
      </c>
      <c r="F250" s="487" t="s">
        <v>132</v>
      </c>
      <c r="G250" s="487" t="s">
        <v>132</v>
      </c>
      <c r="H250" s="487" t="s">
        <v>132</v>
      </c>
      <c r="I250" s="487" t="s">
        <v>132</v>
      </c>
      <c r="J250" s="487" t="s">
        <v>132</v>
      </c>
      <c r="K250" s="487" t="s">
        <v>132</v>
      </c>
      <c r="L250" s="349"/>
      <c r="M250" s="349"/>
      <c r="N250" s="349"/>
      <c r="O250" s="349"/>
      <c r="P250" s="349"/>
    </row>
    <row r="251" spans="4:16" outlineLevel="1">
      <c r="D251" s="524" t="s">
        <v>510</v>
      </c>
      <c r="E251" s="329" t="s">
        <v>508</v>
      </c>
      <c r="F251" s="487">
        <v>34982.6</v>
      </c>
      <c r="G251" s="487">
        <v>30455.439999999999</v>
      </c>
      <c r="H251" s="487">
        <v>40332.879999999997</v>
      </c>
      <c r="I251" s="487">
        <v>44036.920000000006</v>
      </c>
      <c r="J251" s="487">
        <v>32101.68</v>
      </c>
      <c r="K251" s="487">
        <v>43625.36</v>
      </c>
      <c r="L251" s="349"/>
      <c r="M251" s="349"/>
      <c r="N251" s="349"/>
      <c r="O251" s="349"/>
      <c r="P251" s="349"/>
    </row>
    <row r="252" spans="4:16" outlineLevel="1">
      <c r="D252" s="525"/>
      <c r="E252" s="329" t="s">
        <v>509</v>
      </c>
      <c r="F252" s="487" t="s">
        <v>132</v>
      </c>
      <c r="G252" s="487" t="s">
        <v>132</v>
      </c>
      <c r="H252" s="487" t="s">
        <v>132</v>
      </c>
      <c r="I252" s="487" t="s">
        <v>132</v>
      </c>
      <c r="J252" s="487" t="s">
        <v>132</v>
      </c>
      <c r="K252" s="487" t="s">
        <v>132</v>
      </c>
      <c r="L252" s="349"/>
      <c r="M252" s="349"/>
      <c r="N252" s="349"/>
      <c r="O252" s="349"/>
      <c r="P252" s="349"/>
    </row>
    <row r="253" spans="4:16" outlineLevel="1">
      <c r="D253" s="524" t="s">
        <v>27</v>
      </c>
      <c r="E253" s="329" t="s">
        <v>508</v>
      </c>
      <c r="F253" s="487" t="s">
        <v>132</v>
      </c>
      <c r="G253" s="487" t="s">
        <v>132</v>
      </c>
      <c r="H253" s="487" t="s">
        <v>132</v>
      </c>
      <c r="I253" s="487" t="s">
        <v>132</v>
      </c>
      <c r="J253" s="487" t="s">
        <v>132</v>
      </c>
      <c r="K253" s="487" t="s">
        <v>132</v>
      </c>
      <c r="L253" s="349"/>
      <c r="M253" s="349"/>
      <c r="N253" s="349"/>
      <c r="O253" s="349"/>
      <c r="P253" s="349"/>
    </row>
    <row r="254" spans="4:16" outlineLevel="1">
      <c r="D254" s="525"/>
      <c r="E254" s="329" t="s">
        <v>509</v>
      </c>
      <c r="F254" s="487" t="s">
        <v>132</v>
      </c>
      <c r="G254" s="487" t="s">
        <v>132</v>
      </c>
      <c r="H254" s="487" t="s">
        <v>132</v>
      </c>
      <c r="I254" s="487" t="s">
        <v>132</v>
      </c>
      <c r="J254" s="487" t="s">
        <v>132</v>
      </c>
      <c r="K254" s="487" t="s">
        <v>132</v>
      </c>
      <c r="L254" s="349"/>
      <c r="M254" s="349"/>
      <c r="N254" s="349"/>
      <c r="O254" s="349"/>
      <c r="P254" s="349"/>
    </row>
    <row r="255" spans="4:16" outlineLevel="1">
      <c r="D255" s="524" t="s">
        <v>28</v>
      </c>
      <c r="E255" s="329" t="s">
        <v>508</v>
      </c>
      <c r="F255" s="487">
        <v>192404.16</v>
      </c>
      <c r="G255" s="487">
        <v>229816.08</v>
      </c>
      <c r="H255" s="487">
        <v>331362.71999999997</v>
      </c>
      <c r="I255" s="487">
        <v>261883.44</v>
      </c>
      <c r="J255" s="487">
        <v>200421</v>
      </c>
      <c r="K255" s="487">
        <v>197748.72</v>
      </c>
      <c r="L255" s="349"/>
      <c r="M255" s="349"/>
      <c r="N255" s="349"/>
      <c r="O255" s="349"/>
      <c r="P255" s="349"/>
    </row>
    <row r="256" spans="4:16" outlineLevel="1">
      <c r="D256" s="525"/>
      <c r="E256" s="329" t="s">
        <v>509</v>
      </c>
      <c r="F256" s="487" t="s">
        <v>132</v>
      </c>
      <c r="G256" s="487" t="s">
        <v>132</v>
      </c>
      <c r="H256" s="487" t="s">
        <v>132</v>
      </c>
      <c r="I256" s="487" t="s">
        <v>132</v>
      </c>
      <c r="J256" s="487" t="s">
        <v>132</v>
      </c>
      <c r="K256" s="487" t="s">
        <v>132</v>
      </c>
      <c r="L256" s="349"/>
      <c r="M256" s="349"/>
      <c r="N256" s="349"/>
      <c r="O256" s="349"/>
      <c r="P256" s="349"/>
    </row>
    <row r="257" spans="4:16" outlineLevel="1">
      <c r="D257" s="526" t="s">
        <v>453</v>
      </c>
      <c r="E257" s="329" t="s">
        <v>508</v>
      </c>
      <c r="F257" s="487">
        <v>917768.14</v>
      </c>
      <c r="G257" s="487">
        <v>1030324.61</v>
      </c>
      <c r="H257" s="487">
        <v>666680.63</v>
      </c>
      <c r="I257" s="487">
        <v>987033.65999999992</v>
      </c>
      <c r="J257" s="487">
        <v>1082273.75</v>
      </c>
      <c r="K257" s="487">
        <v>943742.71000000008</v>
      </c>
      <c r="L257" s="349"/>
      <c r="M257" s="349"/>
      <c r="N257" s="349"/>
      <c r="O257" s="349"/>
      <c r="P257" s="349"/>
    </row>
    <row r="258" spans="4:16" outlineLevel="1">
      <c r="D258" s="527"/>
      <c r="E258" s="329" t="s">
        <v>509</v>
      </c>
      <c r="F258" s="487" t="s">
        <v>132</v>
      </c>
      <c r="G258" s="487" t="s">
        <v>132</v>
      </c>
      <c r="H258" s="487" t="s">
        <v>132</v>
      </c>
      <c r="I258" s="487" t="s">
        <v>132</v>
      </c>
      <c r="J258" s="487" t="s">
        <v>132</v>
      </c>
      <c r="K258" s="487" t="s">
        <v>132</v>
      </c>
      <c r="L258" s="349"/>
      <c r="M258" s="349"/>
      <c r="N258" s="349"/>
      <c r="O258" s="349"/>
      <c r="P258" s="349"/>
    </row>
    <row r="259" spans="4:16" outlineLevel="1">
      <c r="D259" s="526" t="s">
        <v>454</v>
      </c>
      <c r="E259" s="329" t="s">
        <v>508</v>
      </c>
      <c r="F259" s="487">
        <v>1969737.77</v>
      </c>
      <c r="G259" s="487">
        <v>1731637.6</v>
      </c>
      <c r="H259" s="487">
        <v>2489229.0499999998</v>
      </c>
      <c r="I259" s="487">
        <v>1515182.9</v>
      </c>
      <c r="J259" s="487">
        <v>2575810.9299999997</v>
      </c>
      <c r="K259" s="487">
        <v>2207837.94</v>
      </c>
      <c r="L259" s="349"/>
      <c r="M259" s="349"/>
      <c r="N259" s="349"/>
      <c r="O259" s="349"/>
      <c r="P259" s="349"/>
    </row>
    <row r="260" spans="4:16" outlineLevel="1">
      <c r="D260" s="527"/>
      <c r="E260" s="329" t="s">
        <v>509</v>
      </c>
      <c r="F260" s="487" t="s">
        <v>132</v>
      </c>
      <c r="G260" s="487" t="s">
        <v>132</v>
      </c>
      <c r="H260" s="487" t="s">
        <v>132</v>
      </c>
      <c r="I260" s="487" t="s">
        <v>132</v>
      </c>
      <c r="J260" s="487" t="s">
        <v>132</v>
      </c>
      <c r="K260" s="487" t="s">
        <v>132</v>
      </c>
      <c r="L260" s="349"/>
      <c r="M260" s="349"/>
      <c r="N260" s="349"/>
      <c r="O260" s="349"/>
      <c r="P260" s="349"/>
    </row>
    <row r="261" spans="4:16" outlineLevel="1">
      <c r="D261" s="526" t="s">
        <v>455</v>
      </c>
      <c r="E261" s="329" t="s">
        <v>508</v>
      </c>
      <c r="F261" s="487">
        <v>7065082.5599999996</v>
      </c>
      <c r="G261" s="487">
        <v>9199326.25</v>
      </c>
      <c r="H261" s="487">
        <v>6549920.29</v>
      </c>
      <c r="I261" s="487">
        <v>6697109.5099999998</v>
      </c>
      <c r="J261" s="487">
        <v>6181947.2400000002</v>
      </c>
      <c r="K261" s="487">
        <v>6329136.46</v>
      </c>
      <c r="L261" s="349"/>
      <c r="M261" s="349"/>
      <c r="N261" s="349"/>
      <c r="O261" s="349"/>
      <c r="P261" s="349"/>
    </row>
    <row r="262" spans="4:16" outlineLevel="1">
      <c r="D262" s="527"/>
      <c r="E262" s="329" t="s">
        <v>509</v>
      </c>
      <c r="F262" s="487" t="s">
        <v>132</v>
      </c>
      <c r="G262" s="487" t="s">
        <v>132</v>
      </c>
      <c r="H262" s="487" t="s">
        <v>132</v>
      </c>
      <c r="I262" s="487" t="s">
        <v>132</v>
      </c>
      <c r="J262" s="487" t="s">
        <v>132</v>
      </c>
      <c r="K262" s="487" t="s">
        <v>132</v>
      </c>
      <c r="L262" s="349"/>
      <c r="M262" s="349"/>
      <c r="N262" s="349"/>
      <c r="O262" s="349"/>
      <c r="P262" s="349"/>
    </row>
    <row r="263" spans="4:16" outlineLevel="1">
      <c r="D263" s="526" t="s">
        <v>456</v>
      </c>
      <c r="E263" s="329" t="s">
        <v>508</v>
      </c>
      <c r="F263" s="487">
        <v>33264763.719999995</v>
      </c>
      <c r="G263" s="487">
        <v>29732222.440000001</v>
      </c>
      <c r="H263" s="487">
        <v>33264763.719999995</v>
      </c>
      <c r="I263" s="487">
        <v>26788438.039999999</v>
      </c>
      <c r="J263" s="487">
        <v>25610924.280000001</v>
      </c>
      <c r="K263" s="487">
        <v>37974818.759999998</v>
      </c>
      <c r="L263" s="349"/>
      <c r="M263" s="349"/>
      <c r="N263" s="349"/>
      <c r="O263" s="349"/>
      <c r="P263" s="349"/>
    </row>
    <row r="264" spans="4:16" outlineLevel="1">
      <c r="D264" s="527"/>
      <c r="E264" s="329" t="s">
        <v>509</v>
      </c>
      <c r="F264" s="487" t="s">
        <v>132</v>
      </c>
      <c r="G264" s="487" t="s">
        <v>132</v>
      </c>
      <c r="H264" s="487" t="s">
        <v>132</v>
      </c>
      <c r="I264" s="487" t="s">
        <v>132</v>
      </c>
      <c r="J264" s="487" t="s">
        <v>132</v>
      </c>
      <c r="K264" s="487" t="s">
        <v>132</v>
      </c>
      <c r="L264" s="349"/>
      <c r="M264" s="349"/>
      <c r="N264" s="349"/>
      <c r="O264" s="349"/>
      <c r="P264" s="349"/>
    </row>
    <row r="265" spans="4:16" outlineLevel="1">
      <c r="D265" s="520" t="s">
        <v>457</v>
      </c>
      <c r="E265" s="329" t="s">
        <v>508</v>
      </c>
      <c r="F265" s="486">
        <v>23933.78</v>
      </c>
      <c r="G265" s="486">
        <v>41638.22</v>
      </c>
      <c r="H265" s="486">
        <v>31146.699999999997</v>
      </c>
      <c r="I265" s="486">
        <v>35408.880000000005</v>
      </c>
      <c r="J265" s="486">
        <v>34097.440000000002</v>
      </c>
      <c r="K265" s="486">
        <v>27868.1</v>
      </c>
      <c r="L265" s="349"/>
      <c r="M265" s="349"/>
      <c r="N265" s="349"/>
      <c r="O265" s="349"/>
      <c r="P265" s="349"/>
    </row>
    <row r="266" spans="4:16" outlineLevel="1">
      <c r="D266" s="521"/>
      <c r="E266" s="329" t="s">
        <v>511</v>
      </c>
      <c r="F266" s="487" t="s">
        <v>132</v>
      </c>
      <c r="G266" s="487" t="s">
        <v>132</v>
      </c>
      <c r="H266" s="487" t="s">
        <v>132</v>
      </c>
      <c r="I266" s="487" t="s">
        <v>132</v>
      </c>
      <c r="J266" s="487" t="s">
        <v>132</v>
      </c>
      <c r="K266" s="487" t="s">
        <v>132</v>
      </c>
      <c r="L266" s="349"/>
      <c r="M266" s="349"/>
      <c r="N266" s="349"/>
      <c r="O266" s="349"/>
      <c r="P266" s="349"/>
    </row>
    <row r="267" spans="4:16" outlineLevel="1">
      <c r="D267" s="522" t="s">
        <v>458</v>
      </c>
      <c r="E267" s="329" t="s">
        <v>508</v>
      </c>
      <c r="F267" s="486">
        <v>43796.020000000004</v>
      </c>
      <c r="G267" s="486">
        <v>51233.08</v>
      </c>
      <c r="H267" s="486">
        <v>45035.530000000006</v>
      </c>
      <c r="I267" s="486">
        <v>40903.83</v>
      </c>
      <c r="J267" s="486">
        <v>46688.21</v>
      </c>
      <c r="K267" s="486">
        <v>33053.599999999999</v>
      </c>
      <c r="L267" s="349"/>
      <c r="M267" s="349"/>
      <c r="N267" s="349"/>
      <c r="O267" s="349"/>
      <c r="P267" s="349"/>
    </row>
    <row r="268" spans="4:16" outlineLevel="1">
      <c r="D268" s="523"/>
      <c r="E268" s="329" t="s">
        <v>511</v>
      </c>
      <c r="F268" s="487" t="s">
        <v>132</v>
      </c>
      <c r="G268" s="487" t="s">
        <v>132</v>
      </c>
      <c r="H268" s="487" t="s">
        <v>132</v>
      </c>
      <c r="I268" s="487" t="s">
        <v>132</v>
      </c>
      <c r="J268" s="487" t="s">
        <v>132</v>
      </c>
      <c r="K268" s="487" t="s">
        <v>132</v>
      </c>
      <c r="L268" s="349"/>
      <c r="M268" s="349"/>
      <c r="N268" s="349"/>
      <c r="O268" s="349"/>
      <c r="P268" s="349"/>
    </row>
    <row r="269" spans="4:16" outlineLevel="1">
      <c r="D269" s="522" t="s">
        <v>459</v>
      </c>
      <c r="E269" s="329" t="s">
        <v>508</v>
      </c>
      <c r="F269" s="486">
        <v>61298.6</v>
      </c>
      <c r="G269" s="486">
        <v>60792</v>
      </c>
      <c r="H269" s="486">
        <v>65858</v>
      </c>
      <c r="I269" s="486">
        <v>47620.399999999994</v>
      </c>
      <c r="J269" s="486">
        <v>61298.6</v>
      </c>
      <c r="K269" s="486">
        <v>42047.799999999996</v>
      </c>
      <c r="L269" s="349"/>
      <c r="M269" s="349"/>
      <c r="N269" s="349"/>
      <c r="O269" s="349"/>
      <c r="P269" s="349"/>
    </row>
    <row r="270" spans="4:16" outlineLevel="1">
      <c r="D270" s="523"/>
      <c r="E270" s="329" t="s">
        <v>511</v>
      </c>
      <c r="F270" s="487" t="s">
        <v>132</v>
      </c>
      <c r="G270" s="487" t="s">
        <v>132</v>
      </c>
      <c r="H270" s="487" t="s">
        <v>132</v>
      </c>
      <c r="I270" s="487" t="s">
        <v>132</v>
      </c>
      <c r="J270" s="487" t="s">
        <v>132</v>
      </c>
      <c r="K270" s="487" t="s">
        <v>132</v>
      </c>
      <c r="L270" s="349"/>
      <c r="M270" s="349"/>
      <c r="N270" s="349"/>
      <c r="O270" s="349"/>
      <c r="P270" s="349"/>
    </row>
    <row r="271" spans="4:16" outlineLevel="1">
      <c r="D271" s="522" t="s">
        <v>460</v>
      </c>
      <c r="E271" s="329" t="s">
        <v>508</v>
      </c>
      <c r="F271" s="486">
        <v>81715.599999999991</v>
      </c>
      <c r="G271" s="486">
        <v>59612.200000000004</v>
      </c>
      <c r="H271" s="486">
        <v>87074</v>
      </c>
      <c r="I271" s="486">
        <v>65640.399999999994</v>
      </c>
      <c r="J271" s="486">
        <v>52244.4</v>
      </c>
      <c r="K271" s="486">
        <v>68319.600000000006</v>
      </c>
      <c r="L271" s="349"/>
      <c r="M271" s="349"/>
      <c r="N271" s="349"/>
      <c r="O271" s="349"/>
      <c r="P271" s="349"/>
    </row>
    <row r="272" spans="4:16" outlineLevel="1">
      <c r="D272" s="523"/>
      <c r="E272" s="329" t="s">
        <v>511</v>
      </c>
      <c r="F272" s="487" t="s">
        <v>132</v>
      </c>
      <c r="G272" s="487" t="s">
        <v>132</v>
      </c>
      <c r="H272" s="487" t="s">
        <v>132</v>
      </c>
      <c r="I272" s="487" t="s">
        <v>132</v>
      </c>
      <c r="J272" s="487" t="s">
        <v>132</v>
      </c>
      <c r="K272" s="487" t="s">
        <v>132</v>
      </c>
      <c r="L272" s="349"/>
      <c r="M272" s="349"/>
      <c r="N272" s="349"/>
      <c r="O272" s="349"/>
      <c r="P272" s="349"/>
    </row>
    <row r="273" spans="4:16" outlineLevel="1">
      <c r="D273" s="522" t="s">
        <v>461</v>
      </c>
      <c r="E273" s="329" t="s">
        <v>508</v>
      </c>
      <c r="F273" s="486">
        <v>82328.399999999994</v>
      </c>
      <c r="G273" s="486">
        <v>102286.8</v>
      </c>
      <c r="H273" s="486">
        <v>98128.799999999988</v>
      </c>
      <c r="I273" s="486">
        <v>77338.8</v>
      </c>
      <c r="J273" s="486">
        <v>103118.39999999999</v>
      </c>
      <c r="K273" s="486">
        <v>76507.199999999997</v>
      </c>
      <c r="L273" s="349"/>
      <c r="M273" s="349"/>
      <c r="N273" s="349"/>
      <c r="O273" s="349"/>
      <c r="P273" s="349"/>
    </row>
    <row r="274" spans="4:16" outlineLevel="1">
      <c r="D274" s="523"/>
      <c r="E274" s="329" t="s">
        <v>511</v>
      </c>
      <c r="F274" s="487" t="s">
        <v>132</v>
      </c>
      <c r="G274" s="487" t="s">
        <v>132</v>
      </c>
      <c r="H274" s="487" t="s">
        <v>132</v>
      </c>
      <c r="I274" s="487" t="s">
        <v>132</v>
      </c>
      <c r="J274" s="487" t="s">
        <v>132</v>
      </c>
      <c r="K274" s="487" t="s">
        <v>132</v>
      </c>
      <c r="L274" s="349"/>
      <c r="M274" s="349"/>
      <c r="N274" s="349"/>
      <c r="O274" s="349"/>
      <c r="P274" s="349"/>
    </row>
    <row r="275" spans="4:16" outlineLevel="1">
      <c r="D275" s="522" t="s">
        <v>462</v>
      </c>
      <c r="E275" s="329" t="s">
        <v>508</v>
      </c>
      <c r="F275" s="486">
        <v>111364.2</v>
      </c>
      <c r="G275" s="486">
        <v>66094.2</v>
      </c>
      <c r="H275" s="486">
        <v>116796.6</v>
      </c>
      <c r="I275" s="486">
        <v>77864.399999999994</v>
      </c>
      <c r="J275" s="486">
        <v>77864.399999999994</v>
      </c>
      <c r="K275" s="486">
        <v>76959</v>
      </c>
      <c r="L275" s="349"/>
      <c r="M275" s="349"/>
      <c r="N275" s="349"/>
      <c r="O275" s="349"/>
      <c r="P275" s="349"/>
    </row>
    <row r="276" spans="4:16" outlineLevel="1">
      <c r="D276" s="523"/>
      <c r="E276" s="329" t="s">
        <v>511</v>
      </c>
      <c r="F276" s="487" t="s">
        <v>132</v>
      </c>
      <c r="G276" s="487" t="s">
        <v>132</v>
      </c>
      <c r="H276" s="487" t="s">
        <v>132</v>
      </c>
      <c r="I276" s="487" t="s">
        <v>132</v>
      </c>
      <c r="J276" s="487" t="s">
        <v>132</v>
      </c>
      <c r="K276" s="487" t="s">
        <v>132</v>
      </c>
      <c r="L276" s="349"/>
      <c r="M276" s="349"/>
      <c r="N276" s="349"/>
      <c r="O276" s="349"/>
      <c r="P276" s="349"/>
    </row>
    <row r="277" spans="4:16" outlineLevel="1">
      <c r="D277" s="522" t="s">
        <v>463</v>
      </c>
      <c r="E277" s="329" t="s">
        <v>508</v>
      </c>
      <c r="F277" s="486">
        <v>40194</v>
      </c>
      <c r="G277" s="486">
        <v>36366</v>
      </c>
      <c r="H277" s="486">
        <v>29858.400000000001</v>
      </c>
      <c r="I277" s="486">
        <v>39428.400000000001</v>
      </c>
      <c r="J277" s="486">
        <v>36748.799999999996</v>
      </c>
      <c r="K277" s="486">
        <v>44787.6</v>
      </c>
      <c r="L277" s="349"/>
      <c r="M277" s="349"/>
      <c r="N277" s="349"/>
      <c r="O277" s="349"/>
      <c r="P277" s="349"/>
    </row>
    <row r="278" spans="4:16" outlineLevel="1">
      <c r="D278" s="523"/>
      <c r="E278" s="329" t="s">
        <v>511</v>
      </c>
      <c r="F278" s="487" t="s">
        <v>132</v>
      </c>
      <c r="G278" s="487" t="s">
        <v>132</v>
      </c>
      <c r="H278" s="487" t="s">
        <v>132</v>
      </c>
      <c r="I278" s="487" t="s">
        <v>132</v>
      </c>
      <c r="J278" s="487" t="s">
        <v>132</v>
      </c>
      <c r="K278" s="487" t="s">
        <v>132</v>
      </c>
      <c r="L278" s="349"/>
      <c r="M278" s="349"/>
      <c r="N278" s="349"/>
      <c r="O278" s="349"/>
      <c r="P278" s="349"/>
    </row>
    <row r="279" spans="4:16" outlineLevel="1">
      <c r="D279" s="522" t="s">
        <v>464</v>
      </c>
      <c r="E279" s="329" t="s">
        <v>508</v>
      </c>
      <c r="F279" s="486">
        <v>92237.4</v>
      </c>
      <c r="G279" s="486">
        <v>87996.599999999991</v>
      </c>
      <c r="H279" s="486">
        <v>114501.6</v>
      </c>
      <c r="I279" s="486">
        <v>82695.600000000006</v>
      </c>
      <c r="J279" s="486">
        <v>118742.40000000001</v>
      </c>
      <c r="K279" s="486">
        <v>122983.2</v>
      </c>
      <c r="L279" s="349"/>
      <c r="M279" s="349"/>
      <c r="N279" s="349"/>
      <c r="O279" s="349"/>
      <c r="P279" s="349"/>
    </row>
    <row r="280" spans="4:16" outlineLevel="1">
      <c r="D280" s="523"/>
      <c r="E280" s="329" t="s">
        <v>511</v>
      </c>
      <c r="F280" s="487" t="s">
        <v>132</v>
      </c>
      <c r="G280" s="487" t="s">
        <v>132</v>
      </c>
      <c r="H280" s="487" t="s">
        <v>132</v>
      </c>
      <c r="I280" s="487" t="s">
        <v>132</v>
      </c>
      <c r="J280" s="487" t="s">
        <v>132</v>
      </c>
      <c r="K280" s="487" t="s">
        <v>132</v>
      </c>
      <c r="L280" s="349"/>
      <c r="M280" s="349"/>
      <c r="N280" s="349"/>
      <c r="O280" s="349"/>
      <c r="P280" s="349"/>
    </row>
    <row r="281" spans="4:16" outlineLevel="1">
      <c r="D281" s="522" t="s">
        <v>465</v>
      </c>
      <c r="E281" s="329" t="s">
        <v>508</v>
      </c>
      <c r="F281" s="486">
        <v>123998.40000000001</v>
      </c>
      <c r="G281" s="486">
        <v>145612.80000000002</v>
      </c>
      <c r="H281" s="486">
        <v>109209.59999999999</v>
      </c>
      <c r="I281" s="486">
        <v>146750.39999999999</v>
      </c>
      <c r="J281" s="486">
        <v>100108.8</v>
      </c>
      <c r="K281" s="486">
        <v>112622.39999999999</v>
      </c>
      <c r="L281" s="349"/>
      <c r="M281" s="349"/>
      <c r="N281" s="349"/>
      <c r="O281" s="349"/>
      <c r="P281" s="349"/>
    </row>
    <row r="282" spans="4:16" outlineLevel="1">
      <c r="D282" s="523"/>
      <c r="E282" s="329" t="s">
        <v>511</v>
      </c>
      <c r="F282" s="487" t="s">
        <v>132</v>
      </c>
      <c r="G282" s="487" t="s">
        <v>132</v>
      </c>
      <c r="H282" s="487" t="s">
        <v>132</v>
      </c>
      <c r="I282" s="487" t="s">
        <v>132</v>
      </c>
      <c r="J282" s="487" t="s">
        <v>132</v>
      </c>
      <c r="K282" s="487" t="s">
        <v>132</v>
      </c>
      <c r="L282" s="349"/>
      <c r="M282" s="349"/>
      <c r="N282" s="349"/>
      <c r="O282" s="349"/>
      <c r="P282" s="349"/>
    </row>
    <row r="283" spans="4:16" outlineLevel="1">
      <c r="D283" s="522" t="s">
        <v>466</v>
      </c>
      <c r="E283" s="329" t="s">
        <v>508</v>
      </c>
      <c r="F283" s="486">
        <v>97110</v>
      </c>
      <c r="G283" s="486">
        <v>141570</v>
      </c>
      <c r="H283" s="486">
        <v>122850</v>
      </c>
      <c r="I283" s="486">
        <v>114660</v>
      </c>
      <c r="J283" s="486">
        <v>94770</v>
      </c>
      <c r="K283" s="486">
        <v>100620</v>
      </c>
      <c r="L283" s="349"/>
      <c r="M283" s="349"/>
      <c r="N283" s="349"/>
      <c r="O283" s="349"/>
      <c r="P283" s="349"/>
    </row>
    <row r="284" spans="4:16" outlineLevel="1">
      <c r="D284" s="523"/>
      <c r="E284" s="329" t="s">
        <v>511</v>
      </c>
      <c r="F284" s="487" t="s">
        <v>132</v>
      </c>
      <c r="G284" s="487" t="s">
        <v>132</v>
      </c>
      <c r="H284" s="487" t="s">
        <v>132</v>
      </c>
      <c r="I284" s="487" t="s">
        <v>132</v>
      </c>
      <c r="J284" s="487" t="s">
        <v>132</v>
      </c>
      <c r="K284" s="487" t="s">
        <v>132</v>
      </c>
      <c r="L284" s="349"/>
      <c r="M284" s="349"/>
      <c r="N284" s="349"/>
      <c r="O284" s="349"/>
      <c r="P284" s="349"/>
    </row>
    <row r="285" spans="4:16" outlineLevel="1">
      <c r="D285" s="522" t="s">
        <v>467</v>
      </c>
      <c r="E285" s="329" t="s">
        <v>508</v>
      </c>
      <c r="F285" s="486">
        <v>136069.6</v>
      </c>
      <c r="G285" s="486">
        <v>179129.60000000001</v>
      </c>
      <c r="H285" s="486">
        <v>167072.79999999999</v>
      </c>
      <c r="I285" s="486">
        <v>223912</v>
      </c>
      <c r="J285" s="486">
        <v>206688</v>
      </c>
      <c r="K285" s="486">
        <v>136069.6</v>
      </c>
      <c r="L285" s="349"/>
      <c r="M285" s="349"/>
      <c r="N285" s="349"/>
      <c r="O285" s="349"/>
      <c r="P285" s="349"/>
    </row>
    <row r="286" spans="4:16" outlineLevel="1">
      <c r="D286" s="523"/>
      <c r="E286" s="329" t="s">
        <v>511</v>
      </c>
      <c r="F286" s="487" t="s">
        <v>132</v>
      </c>
      <c r="G286" s="487" t="s">
        <v>132</v>
      </c>
      <c r="H286" s="487" t="s">
        <v>132</v>
      </c>
      <c r="I286" s="487" t="s">
        <v>132</v>
      </c>
      <c r="J286" s="487" t="s">
        <v>132</v>
      </c>
      <c r="K286" s="487" t="s">
        <v>132</v>
      </c>
      <c r="L286" s="349"/>
      <c r="M286" s="349"/>
      <c r="N286" s="349"/>
      <c r="O286" s="349"/>
      <c r="P286" s="349"/>
    </row>
    <row r="287" spans="4:16" outlineLevel="1">
      <c r="D287" s="522" t="s">
        <v>468</v>
      </c>
      <c r="E287" s="329" t="s">
        <v>508</v>
      </c>
      <c r="F287" s="487">
        <v>194198.39999999999</v>
      </c>
      <c r="G287" s="487">
        <v>260402.4</v>
      </c>
      <c r="H287" s="487">
        <v>203025.6</v>
      </c>
      <c r="I287" s="487">
        <v>203025.6</v>
      </c>
      <c r="J287" s="487">
        <v>214059.6</v>
      </c>
      <c r="K287" s="487">
        <v>220680</v>
      </c>
      <c r="L287" s="349"/>
      <c r="M287" s="349"/>
      <c r="N287" s="349"/>
      <c r="O287" s="349"/>
      <c r="P287" s="349"/>
    </row>
    <row r="288" spans="4:16" outlineLevel="1">
      <c r="D288" s="523"/>
      <c r="E288" s="329" t="s">
        <v>511</v>
      </c>
      <c r="F288" s="487" t="s">
        <v>132</v>
      </c>
      <c r="G288" s="487" t="s">
        <v>132</v>
      </c>
      <c r="H288" s="487" t="s">
        <v>132</v>
      </c>
      <c r="I288" s="487" t="s">
        <v>132</v>
      </c>
      <c r="J288" s="487" t="s">
        <v>132</v>
      </c>
      <c r="K288" s="487" t="s">
        <v>132</v>
      </c>
      <c r="L288" s="349"/>
      <c r="M288" s="349"/>
      <c r="N288" s="349"/>
      <c r="O288" s="349"/>
      <c r="P288" s="349"/>
    </row>
    <row r="289" spans="4:16" outlineLevel="1">
      <c r="D289" s="522" t="s">
        <v>469</v>
      </c>
      <c r="E289" s="329" t="s">
        <v>508</v>
      </c>
      <c r="F289" s="486">
        <v>334368</v>
      </c>
      <c r="G289" s="486">
        <v>207360</v>
      </c>
      <c r="H289" s="486">
        <v>331776</v>
      </c>
      <c r="I289" s="486">
        <v>256608</v>
      </c>
      <c r="J289" s="486">
        <v>269568</v>
      </c>
      <c r="K289" s="486">
        <v>212544</v>
      </c>
      <c r="L289" s="349"/>
      <c r="M289" s="349"/>
      <c r="N289" s="349"/>
      <c r="O289" s="349"/>
      <c r="P289" s="349"/>
    </row>
    <row r="290" spans="4:16" outlineLevel="1">
      <c r="D290" s="523"/>
      <c r="E290" s="329" t="s">
        <v>511</v>
      </c>
      <c r="F290" s="487" t="s">
        <v>132</v>
      </c>
      <c r="G290" s="487" t="s">
        <v>132</v>
      </c>
      <c r="H290" s="487" t="s">
        <v>132</v>
      </c>
      <c r="I290" s="487" t="s">
        <v>132</v>
      </c>
      <c r="J290" s="487" t="s">
        <v>132</v>
      </c>
      <c r="K290" s="487" t="s">
        <v>132</v>
      </c>
      <c r="L290" s="349"/>
      <c r="M290" s="349"/>
      <c r="N290" s="349"/>
      <c r="O290" s="349"/>
      <c r="P290" s="349"/>
    </row>
    <row r="291" spans="4:16" outlineLevel="1">
      <c r="D291" s="522" t="s">
        <v>470</v>
      </c>
      <c r="E291" s="329" t="s">
        <v>508</v>
      </c>
      <c r="F291" s="487">
        <v>354501</v>
      </c>
      <c r="G291" s="487">
        <v>345564</v>
      </c>
      <c r="H291" s="487">
        <v>306837</v>
      </c>
      <c r="I291" s="487">
        <v>256194</v>
      </c>
      <c r="J291" s="487">
        <v>363438</v>
      </c>
      <c r="K291" s="487">
        <v>238320</v>
      </c>
      <c r="L291" s="349"/>
      <c r="M291" s="349"/>
      <c r="N291" s="349"/>
      <c r="O291" s="349"/>
      <c r="P291" s="349"/>
    </row>
    <row r="292" spans="4:16" outlineLevel="1">
      <c r="D292" s="523"/>
      <c r="E292" s="329" t="s">
        <v>511</v>
      </c>
      <c r="F292" s="487" t="s">
        <v>132</v>
      </c>
      <c r="G292" s="487" t="s">
        <v>132</v>
      </c>
      <c r="H292" s="487" t="s">
        <v>132</v>
      </c>
      <c r="I292" s="487" t="s">
        <v>132</v>
      </c>
      <c r="J292" s="487" t="s">
        <v>132</v>
      </c>
      <c r="K292" s="487" t="s">
        <v>132</v>
      </c>
      <c r="L292" s="349"/>
      <c r="M292" s="349"/>
      <c r="N292" s="349"/>
      <c r="O292" s="349"/>
      <c r="P292" s="349"/>
    </row>
    <row r="293" spans="4:16" outlineLevel="1">
      <c r="D293" s="522" t="s">
        <v>471</v>
      </c>
      <c r="E293" s="329" t="s">
        <v>508</v>
      </c>
      <c r="F293" s="486">
        <v>353619</v>
      </c>
      <c r="G293" s="486">
        <v>373825.80000000005</v>
      </c>
      <c r="H293" s="486">
        <v>410871.6</v>
      </c>
      <c r="I293" s="486">
        <v>299734.2</v>
      </c>
      <c r="J293" s="486">
        <v>417607.2</v>
      </c>
      <c r="K293" s="486">
        <v>282895.2</v>
      </c>
      <c r="L293" s="349"/>
      <c r="M293" s="349"/>
      <c r="N293" s="349"/>
      <c r="O293" s="349"/>
      <c r="P293" s="349"/>
    </row>
    <row r="294" spans="4:16" outlineLevel="1">
      <c r="D294" s="523"/>
      <c r="E294" s="329" t="s">
        <v>511</v>
      </c>
      <c r="F294" s="487" t="s">
        <v>132</v>
      </c>
      <c r="G294" s="487" t="s">
        <v>132</v>
      </c>
      <c r="H294" s="487" t="s">
        <v>132</v>
      </c>
      <c r="I294" s="487" t="s">
        <v>132</v>
      </c>
      <c r="J294" s="487" t="s">
        <v>132</v>
      </c>
      <c r="K294" s="487" t="s">
        <v>132</v>
      </c>
      <c r="L294" s="349"/>
      <c r="M294" s="349"/>
      <c r="N294" s="349"/>
      <c r="O294" s="349"/>
      <c r="P294" s="349"/>
    </row>
    <row r="295" spans="4:16" outlineLevel="1">
      <c r="D295" s="522" t="s">
        <v>472</v>
      </c>
      <c r="E295" s="329" t="s">
        <v>508</v>
      </c>
      <c r="F295" s="487">
        <v>315252</v>
      </c>
      <c r="G295" s="487">
        <v>461619</v>
      </c>
      <c r="H295" s="487">
        <v>465372</v>
      </c>
      <c r="I295" s="487">
        <v>288981</v>
      </c>
      <c r="J295" s="487">
        <v>446607</v>
      </c>
      <c r="K295" s="487">
        <v>480384</v>
      </c>
      <c r="L295" s="349"/>
      <c r="M295" s="349"/>
      <c r="N295" s="349"/>
      <c r="O295" s="349"/>
      <c r="P295" s="349"/>
    </row>
    <row r="296" spans="4:16" outlineLevel="1">
      <c r="D296" s="523"/>
      <c r="E296" s="329" t="s">
        <v>511</v>
      </c>
      <c r="F296" s="487" t="s">
        <v>132</v>
      </c>
      <c r="G296" s="487" t="s">
        <v>132</v>
      </c>
      <c r="H296" s="487" t="s">
        <v>132</v>
      </c>
      <c r="I296" s="487" t="s">
        <v>132</v>
      </c>
      <c r="J296" s="487" t="s">
        <v>132</v>
      </c>
      <c r="K296" s="487" t="s">
        <v>132</v>
      </c>
      <c r="L296" s="349"/>
      <c r="M296" s="349"/>
      <c r="N296" s="349"/>
      <c r="O296" s="349"/>
      <c r="P296" s="349"/>
    </row>
    <row r="297" spans="4:16" outlineLevel="1">
      <c r="D297" s="522" t="s">
        <v>473</v>
      </c>
      <c r="E297" s="329" t="s">
        <v>508</v>
      </c>
      <c r="F297" s="486">
        <v>521640</v>
      </c>
      <c r="G297" s="486">
        <v>405720</v>
      </c>
      <c r="H297" s="486">
        <v>451260.00000000006</v>
      </c>
      <c r="I297" s="486">
        <v>389160</v>
      </c>
      <c r="J297" s="486">
        <v>302220</v>
      </c>
      <c r="K297" s="486">
        <v>335340</v>
      </c>
      <c r="L297" s="349"/>
      <c r="M297" s="349"/>
      <c r="N297" s="349"/>
      <c r="O297" s="349"/>
      <c r="P297" s="349"/>
    </row>
    <row r="298" spans="4:16" outlineLevel="1">
      <c r="D298" s="523"/>
      <c r="E298" s="329" t="s">
        <v>511</v>
      </c>
      <c r="F298" s="487" t="s">
        <v>132</v>
      </c>
      <c r="G298" s="487" t="s">
        <v>132</v>
      </c>
      <c r="H298" s="487" t="s">
        <v>132</v>
      </c>
      <c r="I298" s="487" t="s">
        <v>132</v>
      </c>
      <c r="J298" s="487" t="s">
        <v>132</v>
      </c>
      <c r="K298" s="487" t="s">
        <v>132</v>
      </c>
      <c r="L298" s="349"/>
      <c r="M298" s="349"/>
      <c r="N298" s="349"/>
      <c r="O298" s="349"/>
      <c r="P298" s="349"/>
    </row>
    <row r="299" spans="4:16" outlineLevel="1">
      <c r="D299" s="522" t="s">
        <v>474</v>
      </c>
      <c r="E299" s="329" t="s">
        <v>508</v>
      </c>
      <c r="F299" s="487">
        <v>353106</v>
      </c>
      <c r="G299" s="487">
        <v>407430</v>
      </c>
      <c r="H299" s="487">
        <v>430065</v>
      </c>
      <c r="I299" s="487">
        <v>520604.99999999994</v>
      </c>
      <c r="J299" s="487">
        <v>502497.00000000006</v>
      </c>
      <c r="K299" s="487">
        <v>439119</v>
      </c>
      <c r="L299" s="349"/>
      <c r="M299" s="349"/>
      <c r="N299" s="349"/>
      <c r="O299" s="349"/>
      <c r="P299" s="349"/>
    </row>
    <row r="300" spans="4:16" outlineLevel="1">
      <c r="D300" s="523"/>
      <c r="E300" s="329" t="s">
        <v>511</v>
      </c>
      <c r="F300" s="487" t="s">
        <v>132</v>
      </c>
      <c r="G300" s="487" t="s">
        <v>132</v>
      </c>
      <c r="H300" s="487" t="s">
        <v>132</v>
      </c>
      <c r="I300" s="487" t="s">
        <v>132</v>
      </c>
      <c r="J300" s="487" t="s">
        <v>132</v>
      </c>
      <c r="K300" s="487" t="s">
        <v>132</v>
      </c>
      <c r="L300" s="349"/>
      <c r="M300" s="349"/>
      <c r="N300" s="349"/>
      <c r="O300" s="349"/>
      <c r="P300" s="349"/>
    </row>
    <row r="301" spans="4:16" outlineLevel="1">
      <c r="D301" s="522" t="s">
        <v>475</v>
      </c>
      <c r="E301" s="329" t="s">
        <v>508</v>
      </c>
      <c r="F301" s="486">
        <v>476483.39999999997</v>
      </c>
      <c r="G301" s="486">
        <v>373327.2</v>
      </c>
      <c r="H301" s="486">
        <v>609112.80000000005</v>
      </c>
      <c r="I301" s="486">
        <v>343854</v>
      </c>
      <c r="J301" s="486">
        <v>633673.80000000005</v>
      </c>
      <c r="K301" s="486">
        <v>442098</v>
      </c>
      <c r="L301" s="349"/>
      <c r="M301" s="349"/>
      <c r="N301" s="349"/>
      <c r="O301" s="349"/>
      <c r="P301" s="349"/>
    </row>
    <row r="302" spans="4:16" outlineLevel="1">
      <c r="D302" s="523"/>
      <c r="E302" s="329" t="s">
        <v>511</v>
      </c>
      <c r="F302" s="487" t="s">
        <v>132</v>
      </c>
      <c r="G302" s="487" t="s">
        <v>132</v>
      </c>
      <c r="H302" s="487" t="s">
        <v>132</v>
      </c>
      <c r="I302" s="487" t="s">
        <v>132</v>
      </c>
      <c r="J302" s="487" t="s">
        <v>132</v>
      </c>
      <c r="K302" s="487" t="s">
        <v>132</v>
      </c>
      <c r="L302" s="349"/>
      <c r="M302" s="349"/>
      <c r="N302" s="349"/>
      <c r="O302" s="349"/>
      <c r="P302" s="349"/>
    </row>
    <row r="303" spans="4:16" outlineLevel="1">
      <c r="D303" s="522" t="s">
        <v>476</v>
      </c>
      <c r="E303" s="329" t="s">
        <v>508</v>
      </c>
      <c r="F303" s="487">
        <v>392274</v>
      </c>
      <c r="G303" s="487">
        <v>424080</v>
      </c>
      <c r="H303" s="487">
        <v>503595</v>
      </c>
      <c r="I303" s="487">
        <v>386973</v>
      </c>
      <c r="J303" s="487">
        <v>508896</v>
      </c>
      <c r="K303" s="487">
        <v>429381</v>
      </c>
      <c r="L303" s="349"/>
      <c r="M303" s="349"/>
      <c r="N303" s="349"/>
      <c r="O303" s="349"/>
      <c r="P303" s="349"/>
    </row>
    <row r="304" spans="4:16" outlineLevel="1">
      <c r="D304" s="523"/>
      <c r="E304" s="329" t="s">
        <v>511</v>
      </c>
      <c r="F304" s="487" t="s">
        <v>132</v>
      </c>
      <c r="G304" s="487" t="s">
        <v>132</v>
      </c>
      <c r="H304" s="487" t="s">
        <v>132</v>
      </c>
      <c r="I304" s="487" t="s">
        <v>132</v>
      </c>
      <c r="J304" s="487" t="s">
        <v>132</v>
      </c>
      <c r="K304" s="487" t="s">
        <v>132</v>
      </c>
      <c r="L304" s="349"/>
      <c r="M304" s="349"/>
      <c r="N304" s="349"/>
      <c r="O304" s="349"/>
      <c r="P304" s="349"/>
    </row>
    <row r="305" spans="4:54" outlineLevel="1">
      <c r="D305" s="522" t="s">
        <v>477</v>
      </c>
      <c r="E305" s="329" t="s">
        <v>508</v>
      </c>
      <c r="F305" s="486">
        <v>899325</v>
      </c>
      <c r="G305" s="486">
        <v>719460</v>
      </c>
      <c r="H305" s="486">
        <v>510816.6</v>
      </c>
      <c r="I305" s="486">
        <v>604346.4</v>
      </c>
      <c r="J305" s="486">
        <v>812989.79999999993</v>
      </c>
      <c r="K305" s="486">
        <v>539595</v>
      </c>
      <c r="L305" s="349"/>
      <c r="M305" s="349"/>
      <c r="N305" s="349"/>
      <c r="O305" s="349"/>
      <c r="P305" s="349"/>
    </row>
    <row r="306" spans="4:54" outlineLevel="1">
      <c r="D306" s="523"/>
      <c r="E306" s="329" t="s">
        <v>511</v>
      </c>
      <c r="F306" s="487" t="s">
        <v>132</v>
      </c>
      <c r="G306" s="487" t="s">
        <v>132</v>
      </c>
      <c r="H306" s="487" t="s">
        <v>132</v>
      </c>
      <c r="I306" s="487" t="s">
        <v>132</v>
      </c>
      <c r="J306" s="487" t="s">
        <v>132</v>
      </c>
      <c r="K306" s="487" t="s">
        <v>132</v>
      </c>
      <c r="L306" s="349"/>
      <c r="M306" s="349"/>
      <c r="N306" s="349"/>
      <c r="O306" s="349"/>
      <c r="P306" s="349"/>
    </row>
    <row r="307" spans="4:54" outlineLevel="1">
      <c r="D307" s="522" t="s">
        <v>478</v>
      </c>
      <c r="E307" s="329" t="s">
        <v>508</v>
      </c>
      <c r="F307" s="487">
        <v>921907.8</v>
      </c>
      <c r="G307" s="487">
        <v>1013185.8</v>
      </c>
      <c r="H307" s="487">
        <v>775863</v>
      </c>
      <c r="I307" s="487">
        <v>1013185.8</v>
      </c>
      <c r="J307" s="487">
        <v>794118.6</v>
      </c>
      <c r="K307" s="487">
        <v>1168358.4000000001</v>
      </c>
      <c r="L307" s="349"/>
      <c r="M307" s="349"/>
      <c r="N307" s="349"/>
      <c r="O307" s="349"/>
      <c r="P307" s="349"/>
    </row>
    <row r="308" spans="4:54">
      <c r="D308" s="523"/>
      <c r="E308" s="329" t="s">
        <v>511</v>
      </c>
      <c r="F308" s="487" t="s">
        <v>132</v>
      </c>
      <c r="G308" s="487" t="s">
        <v>132</v>
      </c>
      <c r="H308" s="487" t="s">
        <v>132</v>
      </c>
      <c r="I308" s="487" t="s">
        <v>132</v>
      </c>
      <c r="J308" s="487" t="s">
        <v>132</v>
      </c>
      <c r="K308" s="487" t="s">
        <v>132</v>
      </c>
      <c r="L308" s="349"/>
      <c r="M308" s="349"/>
      <c r="N308" s="349"/>
      <c r="O308" s="349"/>
      <c r="P308" s="349"/>
    </row>
    <row r="310" spans="4:54" ht="11.25" customHeight="1"/>
    <row r="313" spans="4:54" ht="15.75">
      <c r="D313" s="33" t="s">
        <v>637</v>
      </c>
      <c r="Q313" s="33" t="s">
        <v>638</v>
      </c>
      <c r="AD313" s="33" t="s">
        <v>639</v>
      </c>
      <c r="AQ313" s="33" t="s">
        <v>640</v>
      </c>
    </row>
    <row r="314" spans="4:54">
      <c r="D314" s="119"/>
      <c r="Q314" s="119" t="s">
        <v>641</v>
      </c>
      <c r="AD314" s="119" t="s">
        <v>641</v>
      </c>
      <c r="AQ314" s="119" t="s">
        <v>641</v>
      </c>
    </row>
    <row r="315" spans="4:54">
      <c r="D315" s="119"/>
      <c r="Q315" s="119"/>
      <c r="AD315" s="119"/>
      <c r="AQ315" s="119"/>
    </row>
    <row r="316" spans="4:54">
      <c r="D316" s="338" t="s">
        <v>442</v>
      </c>
      <c r="E316" s="338">
        <v>2009</v>
      </c>
      <c r="F316" s="338">
        <v>2010</v>
      </c>
      <c r="G316" s="338">
        <v>2011</v>
      </c>
      <c r="H316" s="338">
        <v>2012</v>
      </c>
      <c r="I316" s="338">
        <v>2013</v>
      </c>
      <c r="J316" s="338">
        <v>2014</v>
      </c>
      <c r="K316" s="338">
        <v>2015</v>
      </c>
      <c r="L316" s="338">
        <v>2016</v>
      </c>
      <c r="M316" s="338">
        <v>2017</v>
      </c>
      <c r="N316" s="338">
        <v>2018</v>
      </c>
      <c r="O316" s="338">
        <v>2019</v>
      </c>
      <c r="Q316" s="338" t="s">
        <v>442</v>
      </c>
      <c r="R316" s="338">
        <v>2009</v>
      </c>
      <c r="S316" s="338">
        <v>2010</v>
      </c>
      <c r="T316" s="338">
        <v>2011</v>
      </c>
      <c r="U316" s="338">
        <v>2012</v>
      </c>
      <c r="V316" s="338">
        <v>2013</v>
      </c>
      <c r="W316" s="338">
        <v>2014</v>
      </c>
      <c r="X316" s="338">
        <v>2015</v>
      </c>
      <c r="Y316" s="338">
        <v>2016</v>
      </c>
      <c r="Z316" s="338">
        <v>2017</v>
      </c>
      <c r="AA316" s="338">
        <v>2018</v>
      </c>
      <c r="AB316" s="338">
        <v>2019</v>
      </c>
      <c r="AD316" s="338" t="s">
        <v>442</v>
      </c>
      <c r="AE316" s="338">
        <v>2009</v>
      </c>
      <c r="AF316" s="338">
        <v>2010</v>
      </c>
      <c r="AG316" s="338">
        <v>2011</v>
      </c>
      <c r="AH316" s="338">
        <v>2012</v>
      </c>
      <c r="AI316" s="338">
        <v>2013</v>
      </c>
      <c r="AJ316" s="338">
        <v>2014</v>
      </c>
      <c r="AK316" s="338">
        <v>2015</v>
      </c>
      <c r="AL316" s="338">
        <v>2016</v>
      </c>
      <c r="AM316" s="338">
        <v>2017</v>
      </c>
      <c r="AN316" s="338">
        <v>2018</v>
      </c>
      <c r="AO316" s="338">
        <v>2019</v>
      </c>
      <c r="AQ316" s="338" t="s">
        <v>442</v>
      </c>
      <c r="AR316" s="338">
        <v>2009</v>
      </c>
      <c r="AS316" s="338">
        <v>2010</v>
      </c>
      <c r="AT316" s="338">
        <v>2011</v>
      </c>
      <c r="AU316" s="338">
        <v>2012</v>
      </c>
      <c r="AV316" s="338">
        <v>2013</v>
      </c>
      <c r="AW316" s="338">
        <v>2014</v>
      </c>
      <c r="AX316" s="338">
        <v>2015</v>
      </c>
      <c r="AY316" s="338">
        <v>2016</v>
      </c>
      <c r="AZ316" s="338">
        <v>2017</v>
      </c>
      <c r="BA316" s="338">
        <v>2018</v>
      </c>
      <c r="BB316" s="338">
        <v>2019</v>
      </c>
    </row>
    <row r="317" spans="4:54" outlineLevel="1">
      <c r="D317" s="327" t="s">
        <v>443</v>
      </c>
      <c r="E317" s="488">
        <v>14973.279999999999</v>
      </c>
      <c r="F317" s="488">
        <v>11875.36</v>
      </c>
      <c r="G317" s="488">
        <v>16393.16</v>
      </c>
      <c r="H317" s="488">
        <v>9422.84</v>
      </c>
      <c r="I317" s="488">
        <v>16780.400000000001</v>
      </c>
      <c r="J317" s="488">
        <v>12004.44</v>
      </c>
      <c r="K317" s="87"/>
      <c r="L317" s="87"/>
      <c r="M317" s="87"/>
      <c r="N317" s="87"/>
      <c r="O317" s="87"/>
      <c r="Q317" s="327" t="s">
        <v>443</v>
      </c>
      <c r="R317" s="488">
        <v>4314.96</v>
      </c>
      <c r="S317" s="488">
        <v>4573.12</v>
      </c>
      <c r="T317" s="488">
        <v>4794.4000000000005</v>
      </c>
      <c r="U317" s="488">
        <v>3208.56</v>
      </c>
      <c r="V317" s="488">
        <v>3097.92</v>
      </c>
      <c r="W317" s="488">
        <v>3688</v>
      </c>
      <c r="X317" s="87"/>
      <c r="Y317" s="87"/>
      <c r="Z317" s="87"/>
      <c r="AA317" s="87"/>
      <c r="AB317" s="87"/>
      <c r="AD317" s="327" t="s">
        <v>443</v>
      </c>
      <c r="AE317" s="488">
        <v>3454.1499999999996</v>
      </c>
      <c r="AF317" s="488">
        <v>4086.6</v>
      </c>
      <c r="AG317" s="488">
        <v>5546.0999999999995</v>
      </c>
      <c r="AH317" s="488">
        <v>4524.45</v>
      </c>
      <c r="AI317" s="488">
        <v>5254.2000000000007</v>
      </c>
      <c r="AJ317" s="488">
        <v>4427.1500000000005</v>
      </c>
      <c r="AK317" s="87"/>
      <c r="AL317" s="87"/>
      <c r="AM317" s="87"/>
      <c r="AN317" s="87"/>
      <c r="AO317" s="87"/>
      <c r="AQ317" s="327" t="s">
        <v>443</v>
      </c>
      <c r="AR317" s="488">
        <v>11359.04</v>
      </c>
      <c r="AS317" s="488">
        <v>11746.28</v>
      </c>
      <c r="AT317" s="488">
        <v>14069.720000000001</v>
      </c>
      <c r="AU317" s="488">
        <v>14715.119999999999</v>
      </c>
      <c r="AV317" s="488">
        <v>12520.76</v>
      </c>
      <c r="AW317" s="488">
        <v>14069.720000000001</v>
      </c>
      <c r="AX317" s="87"/>
      <c r="AY317" s="87"/>
      <c r="AZ317" s="87"/>
      <c r="BA317" s="87"/>
      <c r="BB317" s="87"/>
    </row>
    <row r="318" spans="4:54" outlineLevel="1">
      <c r="D318" s="87" t="s">
        <v>444</v>
      </c>
      <c r="E318" s="488">
        <v>19362</v>
      </c>
      <c r="F318" s="488">
        <v>13940.64</v>
      </c>
      <c r="G318" s="488">
        <v>20330.100000000002</v>
      </c>
      <c r="H318" s="488">
        <v>21298.2</v>
      </c>
      <c r="I318" s="488">
        <v>16651.32</v>
      </c>
      <c r="J318" s="488">
        <v>22459.919999999998</v>
      </c>
      <c r="K318" s="87"/>
      <c r="L318" s="87"/>
      <c r="M318" s="87"/>
      <c r="N318" s="87"/>
      <c r="O318" s="87"/>
      <c r="Q318" s="87" t="s">
        <v>444</v>
      </c>
      <c r="R318" s="488">
        <v>3868.2000000000003</v>
      </c>
      <c r="S318" s="488">
        <v>5200.58</v>
      </c>
      <c r="T318" s="488">
        <v>3782.2400000000002</v>
      </c>
      <c r="U318" s="488">
        <v>3696.2799999999997</v>
      </c>
      <c r="V318" s="488">
        <v>3094.56</v>
      </c>
      <c r="W318" s="488">
        <v>5372.5</v>
      </c>
      <c r="X318" s="87"/>
      <c r="Y318" s="87"/>
      <c r="Z318" s="87"/>
      <c r="AA318" s="87"/>
      <c r="AB318" s="87"/>
      <c r="AD318" s="87" t="s">
        <v>444</v>
      </c>
      <c r="AE318" s="488">
        <v>6628.2900000000009</v>
      </c>
      <c r="AF318" s="488">
        <v>6385.05</v>
      </c>
      <c r="AG318" s="488">
        <v>5533.71</v>
      </c>
      <c r="AH318" s="488">
        <v>4439.13</v>
      </c>
      <c r="AI318" s="488">
        <v>5472.9000000000005</v>
      </c>
      <c r="AJ318" s="488">
        <v>4621.5600000000004</v>
      </c>
      <c r="AK318" s="87"/>
      <c r="AL318" s="87"/>
      <c r="AM318" s="87"/>
      <c r="AN318" s="87"/>
      <c r="AO318" s="87"/>
      <c r="AQ318" s="87" t="s">
        <v>444</v>
      </c>
      <c r="AR318" s="488">
        <v>15295.980000000001</v>
      </c>
      <c r="AS318" s="488">
        <v>22072.679999999997</v>
      </c>
      <c r="AT318" s="488">
        <v>18200.28</v>
      </c>
      <c r="AU318" s="488">
        <v>18587.52</v>
      </c>
      <c r="AV318" s="488">
        <v>17813.04</v>
      </c>
      <c r="AW318" s="488">
        <v>23621.64</v>
      </c>
      <c r="AX318" s="87"/>
      <c r="AY318" s="87"/>
      <c r="AZ318" s="87"/>
      <c r="BA318" s="87"/>
      <c r="BB318" s="87"/>
    </row>
    <row r="319" spans="4:54" outlineLevel="1">
      <c r="D319" s="328" t="s">
        <v>445</v>
      </c>
      <c r="E319" s="488">
        <v>23492.560000000001</v>
      </c>
      <c r="F319" s="488">
        <v>32270</v>
      </c>
      <c r="G319" s="488">
        <v>18329.36</v>
      </c>
      <c r="H319" s="488">
        <v>28397.600000000002</v>
      </c>
      <c r="I319" s="488">
        <v>29172.079999999998</v>
      </c>
      <c r="J319" s="488">
        <v>22459.919999999998</v>
      </c>
      <c r="K319" s="87"/>
      <c r="L319" s="87"/>
      <c r="M319" s="87"/>
      <c r="N319" s="87"/>
      <c r="O319" s="87"/>
      <c r="Q319" s="328" t="s">
        <v>445</v>
      </c>
      <c r="R319" s="488">
        <v>3062.88</v>
      </c>
      <c r="S319" s="488">
        <v>3204.68</v>
      </c>
      <c r="T319" s="488">
        <v>3403.2</v>
      </c>
      <c r="U319" s="488">
        <v>1985.1999999999998</v>
      </c>
      <c r="V319" s="488">
        <v>2609.12</v>
      </c>
      <c r="W319" s="488">
        <v>2183.7200000000003</v>
      </c>
      <c r="X319" s="87"/>
      <c r="Y319" s="87"/>
      <c r="Z319" s="87"/>
      <c r="AA319" s="87"/>
      <c r="AB319" s="87"/>
      <c r="AD319" s="328" t="s">
        <v>445</v>
      </c>
      <c r="AE319" s="488">
        <v>7673.12</v>
      </c>
      <c r="AF319" s="488">
        <v>7802.08</v>
      </c>
      <c r="AG319" s="488">
        <v>8317.92</v>
      </c>
      <c r="AH319" s="488">
        <v>6576.96</v>
      </c>
      <c r="AI319" s="488">
        <v>5222.88</v>
      </c>
      <c r="AJ319" s="488">
        <v>5674.24</v>
      </c>
      <c r="AK319" s="87"/>
      <c r="AL319" s="87"/>
      <c r="AM319" s="87"/>
      <c r="AN319" s="87"/>
      <c r="AO319" s="87"/>
      <c r="AQ319" s="328" t="s">
        <v>445</v>
      </c>
      <c r="AR319" s="488">
        <v>32786.32</v>
      </c>
      <c r="AS319" s="488">
        <v>26590.48</v>
      </c>
      <c r="AT319" s="488">
        <v>33560.800000000003</v>
      </c>
      <c r="AU319" s="488">
        <v>20910.960000000003</v>
      </c>
      <c r="AV319" s="488">
        <v>25816</v>
      </c>
      <c r="AW319" s="488">
        <v>21169.119999999999</v>
      </c>
      <c r="AX319" s="87"/>
      <c r="AY319" s="87"/>
      <c r="AZ319" s="87"/>
      <c r="BA319" s="87"/>
      <c r="BB319" s="87"/>
    </row>
    <row r="320" spans="4:54" outlineLevel="1">
      <c r="D320" s="329" t="s">
        <v>446</v>
      </c>
      <c r="E320" s="488">
        <v>33560.800000000003</v>
      </c>
      <c r="F320" s="488">
        <v>30011.100000000002</v>
      </c>
      <c r="G320" s="488">
        <v>35174.300000000003</v>
      </c>
      <c r="H320" s="488">
        <v>27106.799999999999</v>
      </c>
      <c r="I320" s="488">
        <v>26461.399999999998</v>
      </c>
      <c r="J320" s="488">
        <v>39046.699999999997</v>
      </c>
      <c r="K320" s="327"/>
      <c r="L320" s="87"/>
      <c r="M320" s="87"/>
      <c r="N320" s="87"/>
      <c r="O320" s="87"/>
      <c r="Q320" s="329" t="s">
        <v>446</v>
      </c>
      <c r="R320" s="488">
        <v>5324.72</v>
      </c>
      <c r="S320" s="488">
        <v>5641.04</v>
      </c>
      <c r="T320" s="488">
        <v>5324.72</v>
      </c>
      <c r="U320" s="488">
        <v>6590</v>
      </c>
      <c r="V320" s="488">
        <v>4428.4799999999996</v>
      </c>
      <c r="W320" s="488">
        <v>4428.4799999999996</v>
      </c>
      <c r="X320" s="87"/>
      <c r="Y320" s="87"/>
      <c r="Z320" s="87"/>
      <c r="AA320" s="87"/>
      <c r="AB320" s="87"/>
      <c r="AD320" s="329" t="s">
        <v>446</v>
      </c>
      <c r="AE320" s="488">
        <v>7973.3200000000006</v>
      </c>
      <c r="AF320" s="488">
        <v>9703.380000000001</v>
      </c>
      <c r="AG320" s="488">
        <v>5867.16</v>
      </c>
      <c r="AH320" s="488">
        <v>9176.84</v>
      </c>
      <c r="AI320" s="488">
        <v>6243.2599999999993</v>
      </c>
      <c r="AJ320" s="488">
        <v>6544.14</v>
      </c>
      <c r="AK320" s="87"/>
      <c r="AL320" s="87"/>
      <c r="AM320" s="87"/>
      <c r="AN320" s="87"/>
      <c r="AO320" s="87"/>
      <c r="AQ320" s="329" t="s">
        <v>446</v>
      </c>
      <c r="AR320" s="488">
        <v>29365.7</v>
      </c>
      <c r="AS320" s="488">
        <v>34206.200000000004</v>
      </c>
      <c r="AT320" s="488">
        <v>39692.1</v>
      </c>
      <c r="AU320" s="488">
        <v>41305.599999999999</v>
      </c>
      <c r="AV320" s="488">
        <v>41305.599999999999</v>
      </c>
      <c r="AW320" s="488">
        <v>41305.599999999999</v>
      </c>
      <c r="AX320" s="87"/>
      <c r="AY320" s="87"/>
      <c r="AZ320" s="87"/>
      <c r="BA320" s="87"/>
      <c r="BB320" s="87"/>
    </row>
    <row r="321" spans="4:54" outlineLevel="1">
      <c r="D321" s="329" t="s">
        <v>447</v>
      </c>
      <c r="E321" s="488">
        <v>27881.279999999999</v>
      </c>
      <c r="F321" s="488">
        <v>38336.76</v>
      </c>
      <c r="G321" s="488">
        <v>40660.200000000004</v>
      </c>
      <c r="H321" s="488">
        <v>36400.559999999998</v>
      </c>
      <c r="I321" s="488">
        <v>38336.76</v>
      </c>
      <c r="J321" s="488">
        <v>46856.04</v>
      </c>
      <c r="K321" s="327"/>
      <c r="L321" s="87"/>
      <c r="M321" s="87"/>
      <c r="N321" s="87"/>
      <c r="O321" s="87"/>
      <c r="Q321" s="329" t="s">
        <v>447</v>
      </c>
      <c r="R321" s="488">
        <v>7151.0999999999995</v>
      </c>
      <c r="S321" s="488">
        <v>5378.1</v>
      </c>
      <c r="T321" s="488">
        <v>6855.5999999999995</v>
      </c>
      <c r="U321" s="488">
        <v>5850.9</v>
      </c>
      <c r="V321" s="488">
        <v>7446.6</v>
      </c>
      <c r="W321" s="488">
        <v>6264.6</v>
      </c>
      <c r="X321" s="87"/>
      <c r="Y321" s="87"/>
      <c r="Z321" s="87"/>
      <c r="AA321" s="87"/>
      <c r="AB321" s="87"/>
      <c r="AD321" s="329" t="s">
        <v>447</v>
      </c>
      <c r="AE321" s="488">
        <v>6877.6</v>
      </c>
      <c r="AF321" s="488">
        <v>8597</v>
      </c>
      <c r="AG321" s="488">
        <v>9026.85</v>
      </c>
      <c r="AH321" s="488">
        <v>9370.7300000000014</v>
      </c>
      <c r="AI321" s="488">
        <v>10058.49</v>
      </c>
      <c r="AJ321" s="488">
        <v>6533.72</v>
      </c>
      <c r="AK321" s="87"/>
      <c r="AL321" s="87"/>
      <c r="AM321" s="87"/>
      <c r="AN321" s="87"/>
      <c r="AO321" s="87"/>
      <c r="AQ321" s="329" t="s">
        <v>447</v>
      </c>
      <c r="AR321" s="488">
        <v>34851.599999999999</v>
      </c>
      <c r="AS321" s="488">
        <v>45307.079999999994</v>
      </c>
      <c r="AT321" s="488">
        <v>32528.16</v>
      </c>
      <c r="AU321" s="488">
        <v>28655.759999999998</v>
      </c>
      <c r="AV321" s="488">
        <v>39111.24</v>
      </c>
      <c r="AW321" s="488">
        <v>39498.480000000003</v>
      </c>
      <c r="AX321" s="87"/>
      <c r="AY321" s="87"/>
      <c r="AZ321" s="87"/>
      <c r="BA321" s="87"/>
      <c r="BB321" s="87"/>
    </row>
    <row r="322" spans="4:54" outlineLevel="1">
      <c r="D322" s="329" t="s">
        <v>448</v>
      </c>
      <c r="E322" s="488">
        <v>50599.360000000008</v>
      </c>
      <c r="F322" s="488">
        <v>42919.1</v>
      </c>
      <c r="G322" s="488">
        <v>50147.58</v>
      </c>
      <c r="H322" s="488">
        <v>39756.639999999999</v>
      </c>
      <c r="I322" s="488">
        <v>42467.32</v>
      </c>
      <c r="J322" s="488">
        <v>42919.1</v>
      </c>
      <c r="K322" s="327"/>
      <c r="L322" s="87"/>
      <c r="M322" s="87"/>
      <c r="N322" s="87"/>
      <c r="O322" s="87"/>
      <c r="Q322" s="329" t="s">
        <v>448</v>
      </c>
      <c r="R322" s="488">
        <v>5867.68</v>
      </c>
      <c r="S322" s="488">
        <v>6770.4000000000005</v>
      </c>
      <c r="T322" s="488">
        <v>7995.5199999999995</v>
      </c>
      <c r="U322" s="488">
        <v>5738.72</v>
      </c>
      <c r="V322" s="488">
        <v>7028.3200000000006</v>
      </c>
      <c r="W322" s="488">
        <v>7544.16</v>
      </c>
      <c r="X322" s="87"/>
      <c r="Y322" s="87"/>
      <c r="Z322" s="87"/>
      <c r="AA322" s="87"/>
      <c r="AB322" s="87"/>
      <c r="AD322" s="329" t="s">
        <v>448</v>
      </c>
      <c r="AE322" s="488">
        <v>8607.19</v>
      </c>
      <c r="AF322" s="488">
        <v>9187.4499999999989</v>
      </c>
      <c r="AG322" s="488">
        <v>12572.300000000001</v>
      </c>
      <c r="AH322" s="488">
        <v>8510.48</v>
      </c>
      <c r="AI322" s="488">
        <v>8220.35</v>
      </c>
      <c r="AJ322" s="488">
        <v>8897.32</v>
      </c>
      <c r="AK322" s="87"/>
      <c r="AL322" s="87"/>
      <c r="AM322" s="87"/>
      <c r="AN322" s="87"/>
      <c r="AO322" s="87"/>
      <c r="AQ322" s="329" t="s">
        <v>448</v>
      </c>
      <c r="AR322" s="488">
        <v>51051.139999999992</v>
      </c>
      <c r="AS322" s="488">
        <v>38853.08</v>
      </c>
      <c r="AT322" s="488">
        <v>57827.840000000004</v>
      </c>
      <c r="AU322" s="488">
        <v>33431.72</v>
      </c>
      <c r="AV322" s="488">
        <v>45629.78</v>
      </c>
      <c r="AW322" s="488">
        <v>44726.22</v>
      </c>
      <c r="AX322" s="87"/>
      <c r="AY322" s="87"/>
      <c r="AZ322" s="87"/>
      <c r="BA322" s="87"/>
      <c r="BB322" s="87"/>
    </row>
    <row r="323" spans="4:54" outlineLevel="1">
      <c r="D323" s="329" t="s">
        <v>449</v>
      </c>
      <c r="E323" s="488">
        <v>56278.880000000005</v>
      </c>
      <c r="F323" s="488">
        <v>65056.32</v>
      </c>
      <c r="G323" s="488">
        <v>40272.959999999999</v>
      </c>
      <c r="H323" s="488">
        <v>51632</v>
      </c>
      <c r="I323" s="488">
        <v>55762.560000000005</v>
      </c>
      <c r="J323" s="488">
        <v>46468.800000000003</v>
      </c>
      <c r="K323" s="327"/>
      <c r="L323" s="87"/>
      <c r="M323" s="87"/>
      <c r="N323" s="87"/>
      <c r="O323" s="87"/>
      <c r="Q323" s="329" t="s">
        <v>449</v>
      </c>
      <c r="R323" s="488">
        <v>3838.4500000000003</v>
      </c>
      <c r="S323" s="488">
        <v>5234.25</v>
      </c>
      <c r="T323" s="488">
        <v>6480.5</v>
      </c>
      <c r="U323" s="488">
        <v>5782.5999999999995</v>
      </c>
      <c r="V323" s="488">
        <v>5832.45</v>
      </c>
      <c r="W323" s="488">
        <v>4785.5999999999995</v>
      </c>
      <c r="X323" s="87"/>
      <c r="Y323" s="87"/>
      <c r="Z323" s="87"/>
      <c r="AA323" s="87"/>
      <c r="AB323" s="87"/>
      <c r="AD323" s="329" t="s">
        <v>449</v>
      </c>
      <c r="AE323" s="488">
        <v>10580.76</v>
      </c>
      <c r="AF323" s="488">
        <v>8695.08</v>
      </c>
      <c r="AG323" s="488">
        <v>11523.6</v>
      </c>
      <c r="AH323" s="488">
        <v>8066.52</v>
      </c>
      <c r="AI323" s="488">
        <v>10580.76</v>
      </c>
      <c r="AJ323" s="488">
        <v>9009.36</v>
      </c>
      <c r="AK323" s="87"/>
      <c r="AL323" s="87"/>
      <c r="AM323" s="87"/>
      <c r="AN323" s="87"/>
      <c r="AO323" s="87"/>
      <c r="AQ323" s="329" t="s">
        <v>449</v>
      </c>
      <c r="AR323" s="488">
        <v>43370.879999999997</v>
      </c>
      <c r="AS323" s="488">
        <v>41821.920000000006</v>
      </c>
      <c r="AT323" s="488">
        <v>36658.720000000001</v>
      </c>
      <c r="AU323" s="488">
        <v>39240.32</v>
      </c>
      <c r="AV323" s="488">
        <v>66605.279999999999</v>
      </c>
      <c r="AW323" s="488">
        <v>51115.68</v>
      </c>
      <c r="AX323" s="87"/>
      <c r="AY323" s="87"/>
      <c r="AZ323" s="87"/>
      <c r="BA323" s="87"/>
      <c r="BB323" s="87"/>
    </row>
    <row r="324" spans="4:54" outlineLevel="1">
      <c r="D324" s="329" t="s">
        <v>450</v>
      </c>
      <c r="E324" s="488">
        <v>59828.58</v>
      </c>
      <c r="F324" s="488">
        <v>56924.28</v>
      </c>
      <c r="G324" s="488">
        <v>75511.8</v>
      </c>
      <c r="H324" s="488">
        <v>72607.5</v>
      </c>
      <c r="I324" s="488">
        <v>68541.48</v>
      </c>
      <c r="J324" s="488">
        <v>70284.06</v>
      </c>
      <c r="K324" s="327"/>
      <c r="L324" s="87"/>
      <c r="M324" s="87"/>
      <c r="N324" s="87"/>
      <c r="O324" s="87"/>
      <c r="Q324" s="329" t="s">
        <v>450</v>
      </c>
      <c r="R324" s="488">
        <v>9176.84</v>
      </c>
      <c r="S324" s="488">
        <v>9552.94</v>
      </c>
      <c r="T324" s="488">
        <v>8800.74</v>
      </c>
      <c r="U324" s="488">
        <v>5791.9400000000005</v>
      </c>
      <c r="V324" s="488">
        <v>7296.34</v>
      </c>
      <c r="W324" s="488">
        <v>6920.2400000000007</v>
      </c>
      <c r="X324" s="87"/>
      <c r="Y324" s="87"/>
      <c r="Z324" s="87"/>
      <c r="AA324" s="87"/>
      <c r="AB324" s="87"/>
      <c r="AD324" s="329" t="s">
        <v>450</v>
      </c>
      <c r="AE324" s="488">
        <v>8865.75</v>
      </c>
      <c r="AF324" s="488">
        <v>10047.85</v>
      </c>
      <c r="AG324" s="488">
        <v>11939.210000000001</v>
      </c>
      <c r="AH324" s="488">
        <v>8511.119999999999</v>
      </c>
      <c r="AI324" s="488">
        <v>9929.64</v>
      </c>
      <c r="AJ324" s="488">
        <v>10047.85</v>
      </c>
      <c r="AK324" s="87"/>
      <c r="AL324" s="87"/>
      <c r="AM324" s="87"/>
      <c r="AN324" s="87"/>
      <c r="AO324" s="87"/>
      <c r="AQ324" s="329" t="s">
        <v>450</v>
      </c>
      <c r="AR324" s="488">
        <v>62152.020000000004</v>
      </c>
      <c r="AS324" s="488">
        <v>49953.96</v>
      </c>
      <c r="AT324" s="488">
        <v>56924.28</v>
      </c>
      <c r="AU324" s="488">
        <v>75511.8</v>
      </c>
      <c r="AV324" s="488">
        <v>49373.1</v>
      </c>
      <c r="AW324" s="488">
        <v>47630.52</v>
      </c>
      <c r="AX324" s="87"/>
      <c r="AY324" s="87"/>
      <c r="AZ324" s="87"/>
      <c r="BA324" s="87"/>
      <c r="BB324" s="87"/>
    </row>
    <row r="325" spans="4:54" outlineLevel="1">
      <c r="D325" s="330" t="s">
        <v>451</v>
      </c>
      <c r="E325" s="488">
        <v>93700.13</v>
      </c>
      <c r="F325" s="488">
        <v>80964.19</v>
      </c>
      <c r="G325" s="488">
        <v>80964.19</v>
      </c>
      <c r="H325" s="488">
        <v>108255.48999999999</v>
      </c>
      <c r="I325" s="488">
        <v>92790.42</v>
      </c>
      <c r="J325" s="488">
        <v>85512.739999999991</v>
      </c>
      <c r="K325" s="327"/>
      <c r="L325" s="87"/>
      <c r="M325" s="87"/>
      <c r="N325" s="87"/>
      <c r="O325" s="87"/>
      <c r="Q325" s="330" t="s">
        <v>451</v>
      </c>
      <c r="R325" s="488">
        <v>11432.49</v>
      </c>
      <c r="S325" s="488">
        <v>9588.5400000000009</v>
      </c>
      <c r="T325" s="488">
        <v>9342.68</v>
      </c>
      <c r="U325" s="488">
        <v>8728.0299999999988</v>
      </c>
      <c r="V325" s="488">
        <v>12170.07</v>
      </c>
      <c r="W325" s="488">
        <v>9834.4000000000015</v>
      </c>
      <c r="X325" s="87"/>
      <c r="Y325" s="87"/>
      <c r="Z325" s="87"/>
      <c r="AA325" s="87"/>
      <c r="AB325" s="87"/>
      <c r="AD325" s="330" t="s">
        <v>451</v>
      </c>
      <c r="AE325" s="488">
        <v>19915.2</v>
      </c>
      <c r="AF325" s="488">
        <v>17149.2</v>
      </c>
      <c r="AG325" s="488">
        <v>18624.400000000001</v>
      </c>
      <c r="AH325" s="488">
        <v>20284</v>
      </c>
      <c r="AI325" s="488">
        <v>23603.200000000001</v>
      </c>
      <c r="AJ325" s="488">
        <v>19362</v>
      </c>
      <c r="AK325" s="87"/>
      <c r="AL325" s="87"/>
      <c r="AM325" s="87"/>
      <c r="AN325" s="87"/>
      <c r="AO325" s="87"/>
      <c r="AQ325" s="330" t="s">
        <v>451</v>
      </c>
      <c r="AR325" s="488">
        <v>63679.7</v>
      </c>
      <c r="AS325" s="488">
        <v>75505.929999999993</v>
      </c>
      <c r="AT325" s="488">
        <v>106436.06999999999</v>
      </c>
      <c r="AU325" s="488">
        <v>83693.320000000007</v>
      </c>
      <c r="AV325" s="488">
        <v>69137.960000000006</v>
      </c>
      <c r="AW325" s="488">
        <v>111894.33</v>
      </c>
      <c r="AX325" s="87"/>
      <c r="AY325" s="87"/>
      <c r="AZ325" s="87"/>
      <c r="BA325" s="87"/>
      <c r="BB325" s="87"/>
    </row>
    <row r="326" spans="4:54" outlineLevel="1">
      <c r="D326" s="330" t="s">
        <v>452</v>
      </c>
      <c r="E326" s="488">
        <v>276551.84000000003</v>
      </c>
      <c r="F326" s="488">
        <v>334773.28000000003</v>
      </c>
      <c r="G326" s="488">
        <v>385717.04000000004</v>
      </c>
      <c r="H326" s="488">
        <v>473049.2</v>
      </c>
      <c r="I326" s="488">
        <v>385717.04000000004</v>
      </c>
      <c r="J326" s="488">
        <v>447577.32</v>
      </c>
      <c r="K326" s="327"/>
      <c r="L326" s="87"/>
      <c r="M326" s="87"/>
      <c r="N326" s="87"/>
      <c r="O326" s="87"/>
      <c r="Q326" s="330" t="s">
        <v>452</v>
      </c>
      <c r="R326" s="488">
        <v>52614.04</v>
      </c>
      <c r="S326" s="488">
        <v>59989.84</v>
      </c>
      <c r="T326" s="488">
        <v>59989.84</v>
      </c>
      <c r="U326" s="488">
        <v>57531.24</v>
      </c>
      <c r="V326" s="488">
        <v>49663.72</v>
      </c>
      <c r="W326" s="488">
        <v>39829.32</v>
      </c>
      <c r="X326" s="87"/>
      <c r="Y326" s="87"/>
      <c r="Z326" s="87"/>
      <c r="AA326" s="87"/>
      <c r="AB326" s="87"/>
      <c r="AD326" s="330" t="s">
        <v>452</v>
      </c>
      <c r="AE326" s="488">
        <v>67859.199999999997</v>
      </c>
      <c r="AF326" s="488">
        <v>70809.599999999991</v>
      </c>
      <c r="AG326" s="488">
        <v>89249.599999999991</v>
      </c>
      <c r="AH326" s="488">
        <v>87774.399999999994</v>
      </c>
      <c r="AI326" s="488">
        <v>87774.399999999994</v>
      </c>
      <c r="AJ326" s="488">
        <v>54582.400000000001</v>
      </c>
      <c r="AK326" s="87"/>
      <c r="AL326" s="87"/>
      <c r="AM326" s="87"/>
      <c r="AN326" s="87"/>
      <c r="AO326" s="87"/>
      <c r="AQ326" s="330" t="s">
        <v>452</v>
      </c>
      <c r="AR326" s="488">
        <v>283829.52</v>
      </c>
      <c r="AS326" s="488">
        <v>367522.84</v>
      </c>
      <c r="AT326" s="488">
        <v>291107.20000000001</v>
      </c>
      <c r="AU326" s="488">
        <v>254718.8</v>
      </c>
      <c r="AV326" s="488">
        <v>414827.75999999995</v>
      </c>
      <c r="AW326" s="488">
        <v>269274.15999999997</v>
      </c>
      <c r="AX326" s="87"/>
      <c r="AY326" s="87"/>
      <c r="AZ326" s="87"/>
      <c r="BA326" s="87"/>
      <c r="BB326" s="87"/>
    </row>
    <row r="327" spans="4:54" outlineLevel="1">
      <c r="D327" s="330" t="s">
        <v>27</v>
      </c>
      <c r="E327" s="488">
        <v>480942.96</v>
      </c>
      <c r="F327" s="488">
        <v>665490.84</v>
      </c>
      <c r="G327" s="488">
        <v>425019.36</v>
      </c>
      <c r="H327" s="488">
        <v>581605.44000000006</v>
      </c>
      <c r="I327" s="488">
        <v>553643.64</v>
      </c>
      <c r="J327" s="488">
        <v>464165.88</v>
      </c>
      <c r="K327" s="327"/>
      <c r="L327" s="87"/>
      <c r="M327" s="87"/>
      <c r="N327" s="87"/>
      <c r="O327" s="87"/>
      <c r="Q327" s="330" t="s">
        <v>27</v>
      </c>
      <c r="R327" s="488">
        <v>16380.42</v>
      </c>
      <c r="S327" s="488">
        <v>17904.18</v>
      </c>
      <c r="T327" s="488">
        <v>14094.78</v>
      </c>
      <c r="U327" s="488">
        <v>16951.830000000002</v>
      </c>
      <c r="V327" s="488">
        <v>24380.16</v>
      </c>
      <c r="W327" s="488">
        <v>20380.29</v>
      </c>
      <c r="X327" s="87"/>
      <c r="Y327" s="87"/>
      <c r="Z327" s="87"/>
      <c r="AA327" s="87"/>
      <c r="AB327" s="87"/>
      <c r="AD327" s="330" t="s">
        <v>27</v>
      </c>
      <c r="AE327" s="488" t="s">
        <v>132</v>
      </c>
      <c r="AF327" s="488" t="s">
        <v>132</v>
      </c>
      <c r="AG327" s="488" t="s">
        <v>132</v>
      </c>
      <c r="AH327" s="488" t="s">
        <v>132</v>
      </c>
      <c r="AI327" s="488" t="s">
        <v>132</v>
      </c>
      <c r="AJ327" s="488" t="s">
        <v>132</v>
      </c>
      <c r="AK327" s="87"/>
      <c r="AL327" s="87"/>
      <c r="AM327" s="87"/>
      <c r="AN327" s="87"/>
      <c r="AO327" s="87"/>
      <c r="AQ327" s="330" t="s">
        <v>27</v>
      </c>
      <c r="AR327" s="488">
        <v>391465.19999999995</v>
      </c>
      <c r="AS327" s="488">
        <v>564828.36</v>
      </c>
      <c r="AT327" s="488">
        <v>452981.16000000003</v>
      </c>
      <c r="AU327" s="488">
        <v>464165.88</v>
      </c>
      <c r="AV327" s="488">
        <v>682267.92</v>
      </c>
      <c r="AW327" s="488">
        <v>710229.72</v>
      </c>
      <c r="AX327" s="87"/>
      <c r="AY327" s="87"/>
      <c r="AZ327" s="87"/>
      <c r="BA327" s="87"/>
      <c r="BB327" s="87"/>
    </row>
    <row r="328" spans="4:54" outlineLevel="1">
      <c r="D328" s="330" t="s">
        <v>28</v>
      </c>
      <c r="E328" s="488">
        <v>1050626.78</v>
      </c>
      <c r="F328" s="488">
        <v>816020.8</v>
      </c>
      <c r="G328" s="488">
        <v>907823.14</v>
      </c>
      <c r="H328" s="488">
        <v>887422.62</v>
      </c>
      <c r="I328" s="488">
        <v>928223.66</v>
      </c>
      <c r="J328" s="488">
        <v>1152629.3799999999</v>
      </c>
      <c r="K328" s="327"/>
      <c r="L328" s="87"/>
      <c r="M328" s="87"/>
      <c r="N328" s="87"/>
      <c r="O328" s="87"/>
      <c r="Q328" s="330" t="s">
        <v>28</v>
      </c>
      <c r="R328" s="488">
        <v>358073.73</v>
      </c>
      <c r="S328" s="488">
        <v>329263.2</v>
      </c>
      <c r="T328" s="488">
        <v>296336.88</v>
      </c>
      <c r="U328" s="488">
        <v>304568.46000000002</v>
      </c>
      <c r="V328" s="488">
        <v>366305.31</v>
      </c>
      <c r="W328" s="488">
        <v>353957.94</v>
      </c>
      <c r="X328" s="87"/>
      <c r="Y328" s="87"/>
      <c r="Z328" s="87"/>
      <c r="AA328" s="87"/>
      <c r="AB328" s="87"/>
      <c r="AD328" s="330" t="s">
        <v>28</v>
      </c>
      <c r="AE328" s="488">
        <v>1253505.98</v>
      </c>
      <c r="AF328" s="488">
        <v>1346852.17</v>
      </c>
      <c r="AG328" s="488">
        <v>1000137.75</v>
      </c>
      <c r="AH328" s="488">
        <v>1173494.96</v>
      </c>
      <c r="AI328" s="488">
        <v>1480203.87</v>
      </c>
      <c r="AJ328" s="488">
        <v>973467.41</v>
      </c>
      <c r="AK328" s="87"/>
      <c r="AL328" s="87"/>
      <c r="AM328" s="87"/>
      <c r="AN328" s="87"/>
      <c r="AO328" s="87"/>
      <c r="AQ328" s="330" t="s">
        <v>28</v>
      </c>
      <c r="AR328" s="488">
        <v>76519.5</v>
      </c>
      <c r="AS328" s="488">
        <v>78560.02</v>
      </c>
      <c r="AT328" s="488">
        <v>112228.6</v>
      </c>
      <c r="AU328" s="488">
        <v>119370.42</v>
      </c>
      <c r="AV328" s="488">
        <v>112228.6</v>
      </c>
      <c r="AW328" s="488">
        <v>71418.2</v>
      </c>
      <c r="AX328" s="87"/>
      <c r="AY328" s="87"/>
      <c r="AZ328" s="87"/>
      <c r="BA328" s="87"/>
      <c r="BB328" s="87"/>
    </row>
    <row r="329" spans="4:54" outlineLevel="1">
      <c r="D329" s="329" t="s">
        <v>453</v>
      </c>
      <c r="E329" s="488">
        <v>2386860.3200000003</v>
      </c>
      <c r="F329" s="488">
        <v>2409810.9</v>
      </c>
      <c r="G329" s="488">
        <v>2249156.84</v>
      </c>
      <c r="H329" s="488">
        <v>2662267.2799999998</v>
      </c>
      <c r="I329" s="488">
        <v>2363909.7400000002</v>
      </c>
      <c r="J329" s="488">
        <v>2203255.6799999997</v>
      </c>
      <c r="K329" s="327"/>
      <c r="L329" s="87"/>
      <c r="M329" s="87"/>
      <c r="N329" s="87"/>
      <c r="O329" s="87"/>
      <c r="Q329" s="329" t="s">
        <v>453</v>
      </c>
      <c r="R329" s="488">
        <v>1293511.49</v>
      </c>
      <c r="S329" s="488">
        <v>1720236.93</v>
      </c>
      <c r="T329" s="488">
        <v>1053478.43</v>
      </c>
      <c r="U329" s="488">
        <v>1506874.21</v>
      </c>
      <c r="V329" s="488">
        <v>1240170.81</v>
      </c>
      <c r="W329" s="488">
        <v>1080148.77</v>
      </c>
      <c r="X329" s="87"/>
      <c r="Y329" s="87"/>
      <c r="Z329" s="87"/>
      <c r="AA329" s="87"/>
      <c r="AB329" s="87"/>
      <c r="AD329" s="329" t="s">
        <v>453</v>
      </c>
      <c r="AE329" s="488">
        <v>3067089.56</v>
      </c>
      <c r="AF329" s="488">
        <v>3300455.07</v>
      </c>
      <c r="AG329" s="488">
        <v>3233779.21</v>
      </c>
      <c r="AH329" s="488">
        <v>3467144.72</v>
      </c>
      <c r="AI329" s="488">
        <v>3933875.7399999998</v>
      </c>
      <c r="AJ329" s="488">
        <v>4033889.53</v>
      </c>
      <c r="AK329" s="87"/>
      <c r="AL329" s="87"/>
      <c r="AM329" s="87"/>
      <c r="AN329" s="87"/>
      <c r="AO329" s="87"/>
      <c r="AQ329" s="329" t="s">
        <v>453</v>
      </c>
      <c r="AR329" s="488">
        <v>2157354.52</v>
      </c>
      <c r="AS329" s="488">
        <v>2914723.66</v>
      </c>
      <c r="AT329" s="488">
        <v>1606540.5999999999</v>
      </c>
      <c r="AU329" s="488">
        <v>2914723.66</v>
      </c>
      <c r="AV329" s="488">
        <v>1927848.72</v>
      </c>
      <c r="AW329" s="488">
        <v>2501613.2200000002</v>
      </c>
      <c r="AX329" s="87"/>
      <c r="AY329" s="87"/>
      <c r="AZ329" s="87"/>
      <c r="BA329" s="87"/>
      <c r="BB329" s="87"/>
    </row>
    <row r="330" spans="4:54" outlineLevel="1">
      <c r="D330" s="329" t="s">
        <v>454</v>
      </c>
      <c r="E330" s="488">
        <v>7344185.6000000006</v>
      </c>
      <c r="F330" s="488">
        <v>6139280.1500000004</v>
      </c>
      <c r="G330" s="488">
        <v>6254033.0500000007</v>
      </c>
      <c r="H330" s="488">
        <v>6139280.1500000004</v>
      </c>
      <c r="I330" s="488">
        <v>4360610.2</v>
      </c>
      <c r="J330" s="488">
        <v>6081903.7000000002</v>
      </c>
      <c r="K330" s="327"/>
      <c r="L330" s="87"/>
      <c r="M330" s="87"/>
      <c r="N330" s="87"/>
      <c r="O330" s="87"/>
      <c r="Q330" s="329" t="s">
        <v>454</v>
      </c>
      <c r="R330" s="488">
        <v>2933737.84</v>
      </c>
      <c r="S330" s="488">
        <v>4067227.46</v>
      </c>
      <c r="T330" s="488">
        <v>2433668.89</v>
      </c>
      <c r="U330" s="488">
        <v>4033889.53</v>
      </c>
      <c r="V330" s="488">
        <v>3167103.3499999996</v>
      </c>
      <c r="W330" s="488">
        <v>2767048.19</v>
      </c>
      <c r="X330" s="87"/>
      <c r="Y330" s="87"/>
      <c r="Z330" s="87"/>
      <c r="AA330" s="87"/>
      <c r="AB330" s="87"/>
      <c r="AD330" s="329" t="s">
        <v>454</v>
      </c>
      <c r="AE330" s="488">
        <v>6614244.3200000003</v>
      </c>
      <c r="AF330" s="488">
        <v>4373935.76</v>
      </c>
      <c r="AG330" s="488">
        <v>4000551</v>
      </c>
      <c r="AH330" s="488">
        <v>3947210.32</v>
      </c>
      <c r="AI330" s="488">
        <v>5227386.6399999997</v>
      </c>
      <c r="AJ330" s="488">
        <v>6400881.5999999996</v>
      </c>
      <c r="AK330" s="87"/>
      <c r="AL330" s="87"/>
      <c r="AM330" s="87"/>
      <c r="AN330" s="87"/>
      <c r="AO330" s="87"/>
      <c r="AQ330" s="329" t="s">
        <v>454</v>
      </c>
      <c r="AR330" s="488">
        <v>5393386.2999999998</v>
      </c>
      <c r="AS330" s="488">
        <v>5737645</v>
      </c>
      <c r="AT330" s="488">
        <v>4704868.8999999994</v>
      </c>
      <c r="AU330" s="488">
        <v>6196656.6000000006</v>
      </c>
      <c r="AV330" s="488">
        <v>5049127.5999999996</v>
      </c>
      <c r="AW330" s="488">
        <v>5336009.8500000006</v>
      </c>
      <c r="AX330" s="87"/>
      <c r="AY330" s="87"/>
      <c r="AZ330" s="87"/>
      <c r="BA330" s="87"/>
      <c r="BB330" s="87"/>
    </row>
    <row r="331" spans="4:54" outlineLevel="1">
      <c r="D331" s="329" t="s">
        <v>455</v>
      </c>
      <c r="E331" s="488">
        <v>7344185.6000000006</v>
      </c>
      <c r="F331" s="488">
        <v>11291685.359999999</v>
      </c>
      <c r="G331" s="488">
        <v>10098255.200000001</v>
      </c>
      <c r="H331" s="488">
        <v>8078604.1600000001</v>
      </c>
      <c r="I331" s="488">
        <v>10740871.439999999</v>
      </c>
      <c r="J331" s="488">
        <v>8904825.0399999991</v>
      </c>
      <c r="K331" s="327"/>
      <c r="L331" s="87"/>
      <c r="M331" s="87"/>
      <c r="N331" s="87"/>
      <c r="O331" s="87"/>
      <c r="Q331" s="329" t="s">
        <v>455</v>
      </c>
      <c r="R331" s="488">
        <v>6693743.6399999997</v>
      </c>
      <c r="S331" s="488">
        <v>4897861.2</v>
      </c>
      <c r="T331" s="488">
        <v>5550909.3600000003</v>
      </c>
      <c r="U331" s="488">
        <v>5224385.28</v>
      </c>
      <c r="V331" s="488">
        <v>6584902.2800000003</v>
      </c>
      <c r="W331" s="488">
        <v>4571337.12</v>
      </c>
      <c r="X331" s="87"/>
      <c r="Y331" s="87"/>
      <c r="Z331" s="87"/>
      <c r="AA331" s="87"/>
      <c r="AB331" s="87"/>
      <c r="AD331" s="329" t="s">
        <v>455</v>
      </c>
      <c r="AE331" s="488">
        <v>6609767.04</v>
      </c>
      <c r="AF331" s="488">
        <v>11291685.359999999</v>
      </c>
      <c r="AG331" s="488">
        <v>6976976.3200000003</v>
      </c>
      <c r="AH331" s="488">
        <v>8813022.7199999988</v>
      </c>
      <c r="AI331" s="488">
        <v>9272034.3200000003</v>
      </c>
      <c r="AJ331" s="488">
        <v>8445813.4399999995</v>
      </c>
      <c r="AK331" s="87"/>
      <c r="AL331" s="87"/>
      <c r="AM331" s="87"/>
      <c r="AN331" s="87"/>
      <c r="AO331" s="87"/>
      <c r="AQ331" s="329" t="s">
        <v>455</v>
      </c>
      <c r="AR331" s="488">
        <v>8813022.7199999988</v>
      </c>
      <c r="AS331" s="488">
        <v>7986801.8399999999</v>
      </c>
      <c r="AT331" s="488">
        <v>9272034.3200000003</v>
      </c>
      <c r="AU331" s="488">
        <v>6793371.6799999997</v>
      </c>
      <c r="AV331" s="488">
        <v>6793371.6799999997</v>
      </c>
      <c r="AW331" s="488">
        <v>10740871.439999999</v>
      </c>
      <c r="AX331" s="87"/>
      <c r="AY331" s="87"/>
      <c r="AZ331" s="87"/>
      <c r="BA331" s="87"/>
      <c r="BB331" s="87"/>
    </row>
    <row r="332" spans="4:54" outlineLevel="1">
      <c r="D332" s="329" t="s">
        <v>456</v>
      </c>
      <c r="E332" s="488">
        <v>45166741.439999998</v>
      </c>
      <c r="F332" s="488">
        <v>44432322.879999995</v>
      </c>
      <c r="G332" s="488">
        <v>44799532.159999996</v>
      </c>
      <c r="H332" s="488">
        <v>37822555.840000004</v>
      </c>
      <c r="I332" s="488">
        <v>45901160</v>
      </c>
      <c r="J332" s="488">
        <v>39658602.240000002</v>
      </c>
      <c r="K332" s="327"/>
      <c r="L332" s="87"/>
      <c r="M332" s="87"/>
      <c r="N332" s="87"/>
      <c r="O332" s="87"/>
      <c r="Q332" s="329" t="s">
        <v>456</v>
      </c>
      <c r="R332" s="488">
        <v>16543886.720000001</v>
      </c>
      <c r="S332" s="488">
        <v>25904243.68</v>
      </c>
      <c r="T332" s="488">
        <v>26774974.559999999</v>
      </c>
      <c r="U332" s="488">
        <v>16761569.439999999</v>
      </c>
      <c r="V332" s="488">
        <v>17196934.879999999</v>
      </c>
      <c r="W332" s="488">
        <v>20897541.120000001</v>
      </c>
      <c r="X332" s="87"/>
      <c r="Y332" s="87"/>
      <c r="Z332" s="87"/>
      <c r="AA332" s="87"/>
      <c r="AB332" s="87"/>
      <c r="AD332" s="329" t="s">
        <v>456</v>
      </c>
      <c r="AE332" s="488">
        <v>40760230.080000006</v>
      </c>
      <c r="AF332" s="488">
        <v>47369997.120000005</v>
      </c>
      <c r="AG332" s="488">
        <v>27540696</v>
      </c>
      <c r="AH332" s="488">
        <v>46635578.560000002</v>
      </c>
      <c r="AI332" s="488">
        <v>27173486.719999999</v>
      </c>
      <c r="AJ332" s="488">
        <v>44432322.879999995</v>
      </c>
      <c r="AK332" s="87"/>
      <c r="AL332" s="87"/>
      <c r="AM332" s="87"/>
      <c r="AN332" s="87"/>
      <c r="AO332" s="87"/>
      <c r="AQ332" s="329" t="s">
        <v>456</v>
      </c>
      <c r="AR332" s="488">
        <v>27907905.280000001</v>
      </c>
      <c r="AS332" s="488">
        <v>42229067.199999996</v>
      </c>
      <c r="AT332" s="488">
        <v>38189765.120000005</v>
      </c>
      <c r="AU332" s="488">
        <v>30845579.52</v>
      </c>
      <c r="AV332" s="488">
        <v>36720928</v>
      </c>
      <c r="AW332" s="488">
        <v>26071858.879999999</v>
      </c>
      <c r="AX332" s="87"/>
      <c r="AY332" s="87"/>
      <c r="AZ332" s="87"/>
      <c r="BA332" s="87"/>
      <c r="BB332" s="87"/>
    </row>
    <row r="333" spans="4:54" outlineLevel="1">
      <c r="D333" s="327" t="s">
        <v>457</v>
      </c>
      <c r="E333" s="488">
        <v>247500</v>
      </c>
      <c r="F333" s="488">
        <v>270000</v>
      </c>
      <c r="G333" s="488">
        <v>222500</v>
      </c>
      <c r="H333" s="488">
        <v>277500</v>
      </c>
      <c r="I333" s="488">
        <v>232500</v>
      </c>
      <c r="J333" s="488">
        <v>262500</v>
      </c>
      <c r="K333" s="327"/>
      <c r="L333" s="87"/>
      <c r="M333" s="87"/>
      <c r="N333" s="87"/>
      <c r="O333" s="87"/>
      <c r="Q333" s="327" t="s">
        <v>457</v>
      </c>
      <c r="R333" s="488">
        <v>101250</v>
      </c>
      <c r="S333" s="488">
        <v>92500</v>
      </c>
      <c r="T333" s="488">
        <v>151250</v>
      </c>
      <c r="U333" s="488">
        <v>157500</v>
      </c>
      <c r="V333" s="488">
        <v>96250</v>
      </c>
      <c r="W333" s="488">
        <v>127500</v>
      </c>
      <c r="X333" s="87"/>
      <c r="Y333" s="87"/>
      <c r="Z333" s="87"/>
      <c r="AA333" s="87"/>
      <c r="AB333" s="87"/>
      <c r="AD333" s="327" t="s">
        <v>457</v>
      </c>
      <c r="AE333" s="488">
        <v>126250</v>
      </c>
      <c r="AF333" s="488">
        <v>141250</v>
      </c>
      <c r="AG333" s="488">
        <v>95000</v>
      </c>
      <c r="AH333" s="488">
        <v>103750</v>
      </c>
      <c r="AI333" s="488">
        <v>128750</v>
      </c>
      <c r="AJ333" s="488">
        <v>148750</v>
      </c>
      <c r="AK333" s="87"/>
      <c r="AL333" s="87"/>
      <c r="AM333" s="87"/>
      <c r="AN333" s="87"/>
      <c r="AO333" s="87"/>
      <c r="AQ333" s="327" t="s">
        <v>457</v>
      </c>
      <c r="AR333" s="488">
        <v>152500</v>
      </c>
      <c r="AS333" s="488">
        <v>101250</v>
      </c>
      <c r="AT333" s="488">
        <v>153750</v>
      </c>
      <c r="AU333" s="488">
        <v>145000</v>
      </c>
      <c r="AV333" s="488">
        <v>146250</v>
      </c>
      <c r="AW333" s="488">
        <v>142500</v>
      </c>
      <c r="AX333" s="87"/>
      <c r="AY333" s="87"/>
      <c r="AZ333" s="87"/>
      <c r="BA333" s="87"/>
      <c r="BB333" s="87"/>
    </row>
    <row r="334" spans="4:54" outlineLevel="1">
      <c r="D334" s="329" t="s">
        <v>458</v>
      </c>
      <c r="E334" s="488">
        <v>260000</v>
      </c>
      <c r="F334" s="488">
        <v>190000</v>
      </c>
      <c r="G334" s="488">
        <v>295000</v>
      </c>
      <c r="H334" s="488">
        <v>175000</v>
      </c>
      <c r="I334" s="488">
        <v>245000</v>
      </c>
      <c r="J334" s="488">
        <v>290000</v>
      </c>
      <c r="K334" s="327"/>
      <c r="L334" s="87"/>
      <c r="M334" s="87"/>
      <c r="N334" s="87"/>
      <c r="O334" s="87"/>
      <c r="Q334" s="329" t="s">
        <v>458</v>
      </c>
      <c r="R334" s="488">
        <v>138750</v>
      </c>
      <c r="S334" s="488">
        <v>112500</v>
      </c>
      <c r="T334" s="488">
        <v>140000</v>
      </c>
      <c r="U334" s="488">
        <v>90000</v>
      </c>
      <c r="V334" s="488">
        <v>143750</v>
      </c>
      <c r="W334" s="488">
        <v>161250</v>
      </c>
      <c r="X334" s="87"/>
      <c r="Y334" s="87"/>
      <c r="Z334" s="87"/>
      <c r="AA334" s="87"/>
      <c r="AB334" s="87"/>
      <c r="AD334" s="329" t="s">
        <v>458</v>
      </c>
      <c r="AE334" s="488">
        <v>120000</v>
      </c>
      <c r="AF334" s="488">
        <v>126250</v>
      </c>
      <c r="AG334" s="488">
        <v>153750</v>
      </c>
      <c r="AH334" s="488">
        <v>87500</v>
      </c>
      <c r="AI334" s="488">
        <v>155000</v>
      </c>
      <c r="AJ334" s="488">
        <v>160000</v>
      </c>
      <c r="AK334" s="87"/>
      <c r="AL334" s="87"/>
      <c r="AM334" s="87"/>
      <c r="AN334" s="87"/>
      <c r="AO334" s="87"/>
      <c r="AQ334" s="329" t="s">
        <v>458</v>
      </c>
      <c r="AR334" s="488">
        <v>90000</v>
      </c>
      <c r="AS334" s="488">
        <v>105000</v>
      </c>
      <c r="AT334" s="488">
        <v>106250</v>
      </c>
      <c r="AU334" s="488">
        <v>137500</v>
      </c>
      <c r="AV334" s="488">
        <v>115000</v>
      </c>
      <c r="AW334" s="488">
        <v>147500</v>
      </c>
      <c r="AX334" s="87"/>
      <c r="AY334" s="87"/>
      <c r="AZ334" s="87"/>
      <c r="BA334" s="87"/>
      <c r="BB334" s="87"/>
    </row>
    <row r="335" spans="4:54" outlineLevel="1">
      <c r="D335" s="329" t="s">
        <v>459</v>
      </c>
      <c r="E335" s="488">
        <v>190000</v>
      </c>
      <c r="F335" s="488">
        <v>222500</v>
      </c>
      <c r="G335" s="488">
        <v>292500</v>
      </c>
      <c r="H335" s="488">
        <v>270000</v>
      </c>
      <c r="I335" s="488">
        <v>212500</v>
      </c>
      <c r="J335" s="488">
        <v>190000</v>
      </c>
      <c r="K335" s="327"/>
      <c r="L335" s="87"/>
      <c r="M335" s="87"/>
      <c r="N335" s="87"/>
      <c r="O335" s="87"/>
      <c r="Q335" s="329" t="s">
        <v>459</v>
      </c>
      <c r="R335" s="488">
        <v>112500</v>
      </c>
      <c r="S335" s="488">
        <v>120000</v>
      </c>
      <c r="T335" s="488">
        <v>128750</v>
      </c>
      <c r="U335" s="488">
        <v>141250</v>
      </c>
      <c r="V335" s="488">
        <v>133750</v>
      </c>
      <c r="W335" s="488">
        <v>133750</v>
      </c>
      <c r="X335" s="87"/>
      <c r="Y335" s="87"/>
      <c r="Z335" s="87"/>
      <c r="AA335" s="87"/>
      <c r="AB335" s="87"/>
      <c r="AD335" s="329" t="s">
        <v>459</v>
      </c>
      <c r="AE335" s="488">
        <v>142500</v>
      </c>
      <c r="AF335" s="488">
        <v>102500</v>
      </c>
      <c r="AG335" s="488">
        <v>88750</v>
      </c>
      <c r="AH335" s="488">
        <v>143750</v>
      </c>
      <c r="AI335" s="488">
        <v>115000</v>
      </c>
      <c r="AJ335" s="488">
        <v>97500</v>
      </c>
      <c r="AK335" s="87"/>
      <c r="AL335" s="87"/>
      <c r="AM335" s="87"/>
      <c r="AN335" s="87"/>
      <c r="AO335" s="87"/>
      <c r="AQ335" s="329" t="s">
        <v>459</v>
      </c>
      <c r="AR335" s="488">
        <v>145000</v>
      </c>
      <c r="AS335" s="488">
        <v>148750</v>
      </c>
      <c r="AT335" s="488">
        <v>127500</v>
      </c>
      <c r="AU335" s="488">
        <v>123750</v>
      </c>
      <c r="AV335" s="488">
        <v>98750</v>
      </c>
      <c r="AW335" s="488">
        <v>110000</v>
      </c>
      <c r="AX335" s="87"/>
      <c r="AY335" s="87"/>
      <c r="AZ335" s="87"/>
      <c r="BA335" s="87"/>
      <c r="BB335" s="87"/>
    </row>
    <row r="336" spans="4:54" outlineLevel="1">
      <c r="D336" s="329" t="s">
        <v>460</v>
      </c>
      <c r="E336" s="488">
        <v>265000</v>
      </c>
      <c r="F336" s="488">
        <v>285000</v>
      </c>
      <c r="G336" s="488">
        <v>207500</v>
      </c>
      <c r="H336" s="488">
        <v>247500</v>
      </c>
      <c r="I336" s="488">
        <v>315000</v>
      </c>
      <c r="J336" s="488">
        <v>322500</v>
      </c>
      <c r="K336" s="327"/>
      <c r="L336" s="87"/>
      <c r="M336" s="87"/>
      <c r="N336" s="87"/>
      <c r="O336" s="87"/>
      <c r="Q336" s="329" t="s">
        <v>460</v>
      </c>
      <c r="R336" s="488">
        <v>160000</v>
      </c>
      <c r="S336" s="488">
        <v>140000</v>
      </c>
      <c r="T336" s="488">
        <v>92500</v>
      </c>
      <c r="U336" s="488">
        <v>87500</v>
      </c>
      <c r="V336" s="488">
        <v>148750</v>
      </c>
      <c r="W336" s="488">
        <v>122500</v>
      </c>
      <c r="X336" s="87"/>
      <c r="Y336" s="87"/>
      <c r="Z336" s="87"/>
      <c r="AA336" s="87"/>
      <c r="AB336" s="87"/>
      <c r="AD336" s="329" t="s">
        <v>460</v>
      </c>
      <c r="AE336" s="488">
        <v>151250</v>
      </c>
      <c r="AF336" s="488">
        <v>142500</v>
      </c>
      <c r="AG336" s="488">
        <v>131250</v>
      </c>
      <c r="AH336" s="488">
        <v>122500</v>
      </c>
      <c r="AI336" s="488">
        <v>143750</v>
      </c>
      <c r="AJ336" s="488">
        <v>148750</v>
      </c>
      <c r="AK336" s="87"/>
      <c r="AL336" s="87"/>
      <c r="AM336" s="87"/>
      <c r="AN336" s="87"/>
      <c r="AO336" s="87"/>
      <c r="AQ336" s="329" t="s">
        <v>460</v>
      </c>
      <c r="AR336" s="488">
        <v>108750</v>
      </c>
      <c r="AS336" s="488">
        <v>133750</v>
      </c>
      <c r="AT336" s="488">
        <v>155000</v>
      </c>
      <c r="AU336" s="488">
        <v>88750</v>
      </c>
      <c r="AV336" s="488">
        <v>133750</v>
      </c>
      <c r="AW336" s="488">
        <v>141250</v>
      </c>
      <c r="AX336" s="87"/>
      <c r="AY336" s="87"/>
      <c r="AZ336" s="87"/>
      <c r="BA336" s="87"/>
      <c r="BB336" s="87"/>
    </row>
    <row r="337" spans="4:54" outlineLevel="1">
      <c r="D337" s="328" t="s">
        <v>461</v>
      </c>
      <c r="E337" s="488">
        <v>207500</v>
      </c>
      <c r="F337" s="488">
        <v>195000</v>
      </c>
      <c r="G337" s="488">
        <v>275000</v>
      </c>
      <c r="H337" s="488">
        <v>322500</v>
      </c>
      <c r="I337" s="488">
        <v>175000</v>
      </c>
      <c r="J337" s="488">
        <v>325000</v>
      </c>
      <c r="K337" s="87"/>
      <c r="L337" s="87"/>
      <c r="M337" s="87"/>
      <c r="N337" s="87"/>
      <c r="O337" s="87"/>
      <c r="Q337" s="328" t="s">
        <v>461</v>
      </c>
      <c r="R337" s="488">
        <v>113750</v>
      </c>
      <c r="S337" s="488">
        <v>93750</v>
      </c>
      <c r="T337" s="488">
        <v>93750</v>
      </c>
      <c r="U337" s="488">
        <v>118750</v>
      </c>
      <c r="V337" s="488">
        <v>141250</v>
      </c>
      <c r="W337" s="488">
        <v>102500</v>
      </c>
      <c r="X337" s="87"/>
      <c r="Y337" s="87"/>
      <c r="Z337" s="87"/>
      <c r="AA337" s="87"/>
      <c r="AB337" s="87"/>
      <c r="AD337" s="328" t="s">
        <v>461</v>
      </c>
      <c r="AE337" s="488">
        <v>137500</v>
      </c>
      <c r="AF337" s="488">
        <v>87500</v>
      </c>
      <c r="AG337" s="488">
        <v>101250</v>
      </c>
      <c r="AH337" s="488">
        <v>145000</v>
      </c>
      <c r="AI337" s="488">
        <v>121250</v>
      </c>
      <c r="AJ337" s="488">
        <v>150000</v>
      </c>
      <c r="AK337" s="87"/>
      <c r="AL337" s="87"/>
      <c r="AM337" s="87"/>
      <c r="AN337" s="87"/>
      <c r="AO337" s="87"/>
      <c r="AQ337" s="328" t="s">
        <v>461</v>
      </c>
      <c r="AR337" s="488">
        <v>160000</v>
      </c>
      <c r="AS337" s="488">
        <v>121250</v>
      </c>
      <c r="AT337" s="488">
        <v>160000</v>
      </c>
      <c r="AU337" s="488">
        <v>143750</v>
      </c>
      <c r="AV337" s="488">
        <v>153750</v>
      </c>
      <c r="AW337" s="488">
        <v>135000</v>
      </c>
      <c r="AX337" s="87"/>
      <c r="AY337" s="87"/>
      <c r="AZ337" s="87"/>
      <c r="BA337" s="87"/>
      <c r="BB337" s="87"/>
    </row>
    <row r="338" spans="4:54" outlineLevel="1">
      <c r="D338" s="328" t="s">
        <v>462</v>
      </c>
      <c r="E338" s="488">
        <v>285000</v>
      </c>
      <c r="F338" s="488">
        <v>247500</v>
      </c>
      <c r="G338" s="488">
        <v>260000</v>
      </c>
      <c r="H338" s="488">
        <v>225000</v>
      </c>
      <c r="I338" s="488">
        <v>240000</v>
      </c>
      <c r="J338" s="488">
        <v>195000</v>
      </c>
      <c r="K338" s="87"/>
      <c r="L338" s="87"/>
      <c r="M338" s="87"/>
      <c r="N338" s="87"/>
      <c r="O338" s="87"/>
      <c r="Q338" s="328" t="s">
        <v>462</v>
      </c>
      <c r="R338" s="488">
        <v>155000</v>
      </c>
      <c r="S338" s="488">
        <v>157500</v>
      </c>
      <c r="T338" s="488">
        <v>162500</v>
      </c>
      <c r="U338" s="488">
        <v>123750</v>
      </c>
      <c r="V338" s="488">
        <v>128750</v>
      </c>
      <c r="W338" s="488">
        <v>116250</v>
      </c>
      <c r="X338" s="87"/>
      <c r="Y338" s="87"/>
      <c r="Z338" s="87"/>
      <c r="AA338" s="87"/>
      <c r="AB338" s="87"/>
      <c r="AD338" s="328" t="s">
        <v>462</v>
      </c>
      <c r="AE338" s="488">
        <v>123750</v>
      </c>
      <c r="AF338" s="488">
        <v>133750</v>
      </c>
      <c r="AG338" s="488">
        <v>126250</v>
      </c>
      <c r="AH338" s="488">
        <v>146250</v>
      </c>
      <c r="AI338" s="488">
        <v>108750</v>
      </c>
      <c r="AJ338" s="488">
        <v>106250</v>
      </c>
      <c r="AK338" s="87"/>
      <c r="AL338" s="87"/>
      <c r="AM338" s="87"/>
      <c r="AN338" s="87"/>
      <c r="AO338" s="87"/>
      <c r="AQ338" s="328" t="s">
        <v>462</v>
      </c>
      <c r="AR338" s="488">
        <v>121250</v>
      </c>
      <c r="AS338" s="488">
        <v>105000</v>
      </c>
      <c r="AT338" s="488">
        <v>141250</v>
      </c>
      <c r="AU338" s="488">
        <v>161250</v>
      </c>
      <c r="AV338" s="488">
        <v>102500</v>
      </c>
      <c r="AW338" s="488">
        <v>162500</v>
      </c>
      <c r="AX338" s="87"/>
      <c r="AY338" s="87"/>
      <c r="AZ338" s="87"/>
      <c r="BA338" s="87"/>
      <c r="BB338" s="87"/>
    </row>
    <row r="339" spans="4:54" outlineLevel="1">
      <c r="D339" s="328" t="s">
        <v>463</v>
      </c>
      <c r="E339" s="488">
        <v>187500</v>
      </c>
      <c r="F339" s="488">
        <v>280000</v>
      </c>
      <c r="G339" s="488">
        <v>285000</v>
      </c>
      <c r="H339" s="488">
        <v>175000</v>
      </c>
      <c r="I339" s="488">
        <v>265000</v>
      </c>
      <c r="J339" s="488">
        <v>187500</v>
      </c>
      <c r="K339" s="87"/>
      <c r="L339" s="87"/>
      <c r="M339" s="87"/>
      <c r="N339" s="87"/>
      <c r="O339" s="87"/>
      <c r="Q339" s="328" t="s">
        <v>463</v>
      </c>
      <c r="R339" s="488">
        <v>132500</v>
      </c>
      <c r="S339" s="488">
        <v>155000</v>
      </c>
      <c r="T339" s="488">
        <v>96250</v>
      </c>
      <c r="U339" s="488">
        <v>162500</v>
      </c>
      <c r="V339" s="488">
        <v>117500</v>
      </c>
      <c r="W339" s="488">
        <v>106250</v>
      </c>
      <c r="X339" s="87"/>
      <c r="Y339" s="87"/>
      <c r="Z339" s="87"/>
      <c r="AA339" s="87"/>
      <c r="AB339" s="87"/>
      <c r="AD339" s="328" t="s">
        <v>463</v>
      </c>
      <c r="AE339" s="488">
        <v>113750</v>
      </c>
      <c r="AF339" s="488">
        <v>106250</v>
      </c>
      <c r="AG339" s="488">
        <v>108750</v>
      </c>
      <c r="AH339" s="488">
        <v>130000</v>
      </c>
      <c r="AI339" s="488">
        <v>90000</v>
      </c>
      <c r="AJ339" s="488">
        <v>112500</v>
      </c>
      <c r="AK339" s="87"/>
      <c r="AL339" s="87"/>
      <c r="AM339" s="87"/>
      <c r="AN339" s="87"/>
      <c r="AO339" s="87"/>
      <c r="AQ339" s="328" t="s">
        <v>463</v>
      </c>
      <c r="AR339" s="488">
        <v>103750</v>
      </c>
      <c r="AS339" s="488">
        <v>127500</v>
      </c>
      <c r="AT339" s="488">
        <v>120000</v>
      </c>
      <c r="AU339" s="488">
        <v>137500</v>
      </c>
      <c r="AV339" s="488">
        <v>160000</v>
      </c>
      <c r="AW339" s="488">
        <v>101250</v>
      </c>
      <c r="AX339" s="87"/>
      <c r="AY339" s="87"/>
      <c r="AZ339" s="87"/>
      <c r="BA339" s="87"/>
      <c r="BB339" s="87"/>
    </row>
    <row r="340" spans="4:54" outlineLevel="1">
      <c r="D340" s="328" t="s">
        <v>464</v>
      </c>
      <c r="E340" s="488">
        <v>247500</v>
      </c>
      <c r="F340" s="488">
        <v>325000</v>
      </c>
      <c r="G340" s="488">
        <v>190000</v>
      </c>
      <c r="H340" s="488">
        <v>317500</v>
      </c>
      <c r="I340" s="488">
        <v>215000</v>
      </c>
      <c r="J340" s="488">
        <v>307500</v>
      </c>
      <c r="K340" s="87"/>
      <c r="L340" s="87"/>
      <c r="M340" s="87"/>
      <c r="N340" s="87"/>
      <c r="O340" s="87"/>
      <c r="Q340" s="328" t="s">
        <v>464</v>
      </c>
      <c r="R340" s="488">
        <v>118750</v>
      </c>
      <c r="S340" s="488">
        <v>113750</v>
      </c>
      <c r="T340" s="488">
        <v>106250</v>
      </c>
      <c r="U340" s="488">
        <v>102500</v>
      </c>
      <c r="V340" s="488">
        <v>87500</v>
      </c>
      <c r="W340" s="488">
        <v>103750</v>
      </c>
      <c r="X340" s="87"/>
      <c r="Y340" s="87"/>
      <c r="Z340" s="87"/>
      <c r="AA340" s="87"/>
      <c r="AB340" s="87"/>
      <c r="AD340" s="328" t="s">
        <v>464</v>
      </c>
      <c r="AE340" s="488">
        <v>143750</v>
      </c>
      <c r="AF340" s="488">
        <v>126250</v>
      </c>
      <c r="AG340" s="488">
        <v>87500</v>
      </c>
      <c r="AH340" s="488">
        <v>128750</v>
      </c>
      <c r="AI340" s="488">
        <v>108750</v>
      </c>
      <c r="AJ340" s="488">
        <v>91250</v>
      </c>
      <c r="AK340" s="87"/>
      <c r="AL340" s="87"/>
      <c r="AM340" s="87"/>
      <c r="AN340" s="87"/>
      <c r="AO340" s="87"/>
      <c r="AQ340" s="328" t="s">
        <v>464</v>
      </c>
      <c r="AR340" s="488">
        <v>145000</v>
      </c>
      <c r="AS340" s="488">
        <v>87500</v>
      </c>
      <c r="AT340" s="488">
        <v>87500</v>
      </c>
      <c r="AU340" s="488">
        <v>142500</v>
      </c>
      <c r="AV340" s="488">
        <v>141250</v>
      </c>
      <c r="AW340" s="488">
        <v>95000</v>
      </c>
      <c r="AX340" s="87"/>
      <c r="AY340" s="87"/>
      <c r="AZ340" s="87"/>
      <c r="BA340" s="87"/>
      <c r="BB340" s="87"/>
    </row>
    <row r="341" spans="4:54" outlineLevel="1">
      <c r="D341" s="328" t="s">
        <v>465</v>
      </c>
      <c r="E341" s="488">
        <v>227500</v>
      </c>
      <c r="F341" s="488">
        <v>317500</v>
      </c>
      <c r="G341" s="488">
        <v>235000</v>
      </c>
      <c r="H341" s="488">
        <v>195000</v>
      </c>
      <c r="I341" s="488">
        <v>190000</v>
      </c>
      <c r="J341" s="488">
        <v>175000</v>
      </c>
      <c r="K341" s="87"/>
      <c r="L341" s="87"/>
      <c r="M341" s="87"/>
      <c r="N341" s="87"/>
      <c r="O341" s="87"/>
      <c r="Q341" s="328" t="s">
        <v>465</v>
      </c>
      <c r="R341" s="488">
        <v>138750</v>
      </c>
      <c r="S341" s="488">
        <v>113750</v>
      </c>
      <c r="T341" s="488">
        <v>156250</v>
      </c>
      <c r="U341" s="488">
        <v>108750</v>
      </c>
      <c r="V341" s="488">
        <v>95000</v>
      </c>
      <c r="W341" s="488">
        <v>106250</v>
      </c>
      <c r="X341" s="87"/>
      <c r="Y341" s="87"/>
      <c r="Z341" s="87"/>
      <c r="AA341" s="87"/>
      <c r="AB341" s="87"/>
      <c r="AD341" s="328" t="s">
        <v>465</v>
      </c>
      <c r="AE341" s="488">
        <v>108750</v>
      </c>
      <c r="AF341" s="488">
        <v>130000</v>
      </c>
      <c r="AG341" s="488">
        <v>141250</v>
      </c>
      <c r="AH341" s="488">
        <v>115000</v>
      </c>
      <c r="AI341" s="488">
        <v>97500</v>
      </c>
      <c r="AJ341" s="488">
        <v>91250</v>
      </c>
      <c r="AK341" s="87"/>
      <c r="AL341" s="87"/>
      <c r="AM341" s="87"/>
      <c r="AN341" s="87"/>
      <c r="AO341" s="87"/>
      <c r="AQ341" s="328" t="s">
        <v>465</v>
      </c>
      <c r="AR341" s="488">
        <v>131250</v>
      </c>
      <c r="AS341" s="488">
        <v>137500</v>
      </c>
      <c r="AT341" s="488">
        <v>150000</v>
      </c>
      <c r="AU341" s="488">
        <v>98750</v>
      </c>
      <c r="AV341" s="488">
        <v>107500</v>
      </c>
      <c r="AW341" s="488">
        <v>130000</v>
      </c>
      <c r="AX341" s="87"/>
      <c r="AY341" s="87"/>
      <c r="AZ341" s="87"/>
      <c r="BA341" s="87"/>
      <c r="BB341" s="87"/>
    </row>
    <row r="342" spans="4:54" outlineLevel="1">
      <c r="D342" s="328" t="s">
        <v>466</v>
      </c>
      <c r="E342" s="488">
        <v>395000</v>
      </c>
      <c r="F342" s="488">
        <v>520000</v>
      </c>
      <c r="G342" s="488">
        <v>560000</v>
      </c>
      <c r="H342" s="488">
        <v>480000</v>
      </c>
      <c r="I342" s="488">
        <v>480000</v>
      </c>
      <c r="J342" s="488">
        <v>420000</v>
      </c>
      <c r="K342" s="87"/>
      <c r="L342" s="87"/>
      <c r="M342" s="87"/>
      <c r="N342" s="87"/>
      <c r="O342" s="87"/>
      <c r="Q342" s="328" t="s">
        <v>466</v>
      </c>
      <c r="R342" s="488">
        <v>267500</v>
      </c>
      <c r="S342" s="488">
        <v>180000</v>
      </c>
      <c r="T342" s="488">
        <v>202500</v>
      </c>
      <c r="U342" s="488">
        <v>260000</v>
      </c>
      <c r="V342" s="488">
        <v>325000</v>
      </c>
      <c r="W342" s="488">
        <v>240000</v>
      </c>
      <c r="X342" s="87"/>
      <c r="Y342" s="87"/>
      <c r="Z342" s="87"/>
      <c r="AA342" s="87"/>
      <c r="AB342" s="87"/>
      <c r="AD342" s="328" t="s">
        <v>466</v>
      </c>
      <c r="AE342" s="488">
        <v>272500</v>
      </c>
      <c r="AF342" s="488">
        <v>242500</v>
      </c>
      <c r="AG342" s="488">
        <v>262500</v>
      </c>
      <c r="AH342" s="488">
        <v>300000</v>
      </c>
      <c r="AI342" s="488">
        <v>270000</v>
      </c>
      <c r="AJ342" s="488">
        <v>267500</v>
      </c>
      <c r="AK342" s="87"/>
      <c r="AL342" s="87"/>
      <c r="AM342" s="87"/>
      <c r="AN342" s="87"/>
      <c r="AO342" s="87"/>
      <c r="AQ342" s="328" t="s">
        <v>466</v>
      </c>
      <c r="AR342" s="488">
        <v>187500</v>
      </c>
      <c r="AS342" s="488">
        <v>275000</v>
      </c>
      <c r="AT342" s="488">
        <v>285000</v>
      </c>
      <c r="AU342" s="488">
        <v>257500</v>
      </c>
      <c r="AV342" s="488">
        <v>222500</v>
      </c>
      <c r="AW342" s="488">
        <v>200000</v>
      </c>
      <c r="AX342" s="87"/>
      <c r="AY342" s="87"/>
      <c r="AZ342" s="87"/>
      <c r="BA342" s="87"/>
      <c r="BB342" s="87"/>
    </row>
    <row r="343" spans="4:54" outlineLevel="1">
      <c r="D343" s="328" t="s">
        <v>467</v>
      </c>
      <c r="E343" s="488">
        <v>425000</v>
      </c>
      <c r="F343" s="488">
        <v>540000</v>
      </c>
      <c r="G343" s="488">
        <v>395000</v>
      </c>
      <c r="H343" s="488">
        <v>375000</v>
      </c>
      <c r="I343" s="488">
        <v>430000</v>
      </c>
      <c r="J343" s="488">
        <v>425000</v>
      </c>
      <c r="K343" s="87"/>
      <c r="L343" s="87"/>
      <c r="M343" s="87"/>
      <c r="N343" s="87"/>
      <c r="O343" s="87"/>
      <c r="Q343" s="328" t="s">
        <v>467</v>
      </c>
      <c r="R343" s="488">
        <v>202500</v>
      </c>
      <c r="S343" s="488">
        <v>245000</v>
      </c>
      <c r="T343" s="488">
        <v>262500</v>
      </c>
      <c r="U343" s="488">
        <v>315000</v>
      </c>
      <c r="V343" s="488">
        <v>307500</v>
      </c>
      <c r="W343" s="488">
        <v>212500</v>
      </c>
      <c r="X343" s="87"/>
      <c r="Y343" s="87"/>
      <c r="Z343" s="87"/>
      <c r="AA343" s="87"/>
      <c r="AB343" s="87"/>
      <c r="AD343" s="328" t="s">
        <v>467</v>
      </c>
      <c r="AE343" s="488">
        <v>177500</v>
      </c>
      <c r="AF343" s="488">
        <v>257500</v>
      </c>
      <c r="AG343" s="488">
        <v>247500</v>
      </c>
      <c r="AH343" s="488">
        <v>210000</v>
      </c>
      <c r="AI343" s="488">
        <v>235000</v>
      </c>
      <c r="AJ343" s="488">
        <v>227500</v>
      </c>
      <c r="AK343" s="87"/>
      <c r="AL343" s="87"/>
      <c r="AM343" s="87"/>
      <c r="AN343" s="87"/>
      <c r="AO343" s="87"/>
      <c r="AQ343" s="328" t="s">
        <v>467</v>
      </c>
      <c r="AR343" s="488">
        <v>282500</v>
      </c>
      <c r="AS343" s="488">
        <v>252500</v>
      </c>
      <c r="AT343" s="488">
        <v>315000</v>
      </c>
      <c r="AU343" s="488">
        <v>312500</v>
      </c>
      <c r="AV343" s="488">
        <v>192500</v>
      </c>
      <c r="AW343" s="488">
        <v>245000</v>
      </c>
      <c r="AX343" s="87"/>
      <c r="AY343" s="87"/>
      <c r="AZ343" s="87"/>
      <c r="BA343" s="87"/>
      <c r="BB343" s="87"/>
    </row>
    <row r="344" spans="4:54" outlineLevel="1">
      <c r="D344" s="328" t="s">
        <v>468</v>
      </c>
      <c r="E344" s="488">
        <v>650000</v>
      </c>
      <c r="F344" s="488">
        <v>550000</v>
      </c>
      <c r="G344" s="488">
        <v>640000</v>
      </c>
      <c r="H344" s="488">
        <v>415000</v>
      </c>
      <c r="I344" s="488">
        <v>375000</v>
      </c>
      <c r="J344" s="488">
        <v>555000</v>
      </c>
      <c r="K344" s="87"/>
      <c r="L344" s="87"/>
      <c r="M344" s="87"/>
      <c r="N344" s="87"/>
      <c r="O344" s="87"/>
      <c r="Q344" s="328" t="s">
        <v>468</v>
      </c>
      <c r="R344" s="488">
        <v>230000</v>
      </c>
      <c r="S344" s="488">
        <v>292500</v>
      </c>
      <c r="T344" s="488">
        <v>267500</v>
      </c>
      <c r="U344" s="488">
        <v>230000</v>
      </c>
      <c r="V344" s="488">
        <v>245000</v>
      </c>
      <c r="W344" s="488">
        <v>230000</v>
      </c>
      <c r="X344" s="87"/>
      <c r="Y344" s="87"/>
      <c r="Z344" s="87"/>
      <c r="AA344" s="87"/>
      <c r="AB344" s="87"/>
      <c r="AD344" s="328" t="s">
        <v>468</v>
      </c>
      <c r="AE344" s="488">
        <v>200000</v>
      </c>
      <c r="AF344" s="488">
        <v>272500</v>
      </c>
      <c r="AG344" s="488">
        <v>242500</v>
      </c>
      <c r="AH344" s="488">
        <v>202500</v>
      </c>
      <c r="AI344" s="488">
        <v>282500</v>
      </c>
      <c r="AJ344" s="488">
        <v>297500</v>
      </c>
      <c r="AK344" s="87"/>
      <c r="AL344" s="87"/>
      <c r="AM344" s="87"/>
      <c r="AN344" s="87"/>
      <c r="AO344" s="87"/>
      <c r="AQ344" s="328" t="s">
        <v>468</v>
      </c>
      <c r="AR344" s="488">
        <v>232500</v>
      </c>
      <c r="AS344" s="488">
        <v>260000</v>
      </c>
      <c r="AT344" s="488">
        <v>325000</v>
      </c>
      <c r="AU344" s="488">
        <v>180000</v>
      </c>
      <c r="AV344" s="488">
        <v>287500</v>
      </c>
      <c r="AW344" s="488">
        <v>200000</v>
      </c>
      <c r="AX344" s="87"/>
      <c r="AY344" s="87"/>
      <c r="AZ344" s="87"/>
      <c r="BA344" s="87"/>
      <c r="BB344" s="87"/>
    </row>
    <row r="345" spans="4:54" outlineLevel="1">
      <c r="D345" s="328" t="s">
        <v>469</v>
      </c>
      <c r="E345" s="488">
        <v>545000</v>
      </c>
      <c r="F345" s="488">
        <v>430000</v>
      </c>
      <c r="G345" s="488">
        <v>610000</v>
      </c>
      <c r="H345" s="488">
        <v>395000</v>
      </c>
      <c r="I345" s="488">
        <v>590000</v>
      </c>
      <c r="J345" s="488">
        <v>490000</v>
      </c>
      <c r="K345" s="87"/>
      <c r="L345" s="87"/>
      <c r="M345" s="87"/>
      <c r="N345" s="87"/>
      <c r="O345" s="87"/>
      <c r="Q345" s="328" t="s">
        <v>469</v>
      </c>
      <c r="R345" s="488">
        <v>312500</v>
      </c>
      <c r="S345" s="488">
        <v>310000</v>
      </c>
      <c r="T345" s="488">
        <v>252500</v>
      </c>
      <c r="U345" s="488">
        <v>230000</v>
      </c>
      <c r="V345" s="488">
        <v>292500</v>
      </c>
      <c r="W345" s="488">
        <v>297500</v>
      </c>
      <c r="X345" s="87"/>
      <c r="Y345" s="87"/>
      <c r="Z345" s="87"/>
      <c r="AA345" s="87"/>
      <c r="AB345" s="87"/>
      <c r="AD345" s="328" t="s">
        <v>469</v>
      </c>
      <c r="AE345" s="488">
        <v>275000</v>
      </c>
      <c r="AF345" s="488">
        <v>182500</v>
      </c>
      <c r="AG345" s="488">
        <v>225000</v>
      </c>
      <c r="AH345" s="488">
        <v>212500</v>
      </c>
      <c r="AI345" s="488">
        <v>302500</v>
      </c>
      <c r="AJ345" s="488">
        <v>185000</v>
      </c>
      <c r="AK345" s="87"/>
      <c r="AL345" s="87"/>
      <c r="AM345" s="87"/>
      <c r="AN345" s="87"/>
      <c r="AO345" s="87"/>
      <c r="AQ345" s="328" t="s">
        <v>469</v>
      </c>
      <c r="AR345" s="488">
        <v>240000</v>
      </c>
      <c r="AS345" s="488">
        <v>175000</v>
      </c>
      <c r="AT345" s="488">
        <v>185000</v>
      </c>
      <c r="AU345" s="488">
        <v>187500</v>
      </c>
      <c r="AV345" s="488">
        <v>275000</v>
      </c>
      <c r="AW345" s="488">
        <v>322500</v>
      </c>
      <c r="AX345" s="87"/>
      <c r="AY345" s="87"/>
      <c r="AZ345" s="87"/>
      <c r="BA345" s="87"/>
      <c r="BB345" s="87"/>
    </row>
    <row r="346" spans="4:54" outlineLevel="1">
      <c r="D346" s="328" t="s">
        <v>470</v>
      </c>
      <c r="E346" s="488">
        <v>600000</v>
      </c>
      <c r="F346" s="488">
        <v>555000</v>
      </c>
      <c r="G346" s="488">
        <v>580000</v>
      </c>
      <c r="H346" s="488">
        <v>405000</v>
      </c>
      <c r="I346" s="488">
        <v>395000</v>
      </c>
      <c r="J346" s="488">
        <v>485000</v>
      </c>
      <c r="K346" s="87"/>
      <c r="L346" s="87"/>
      <c r="M346" s="87"/>
      <c r="N346" s="87"/>
      <c r="O346" s="87"/>
      <c r="Q346" s="328" t="s">
        <v>470</v>
      </c>
      <c r="R346" s="488">
        <v>277500</v>
      </c>
      <c r="S346" s="488">
        <v>237500</v>
      </c>
      <c r="T346" s="488">
        <v>220000</v>
      </c>
      <c r="U346" s="488">
        <v>192500</v>
      </c>
      <c r="V346" s="488">
        <v>190000</v>
      </c>
      <c r="W346" s="488">
        <v>245000</v>
      </c>
      <c r="X346" s="87"/>
      <c r="Y346" s="87"/>
      <c r="Z346" s="87"/>
      <c r="AA346" s="87"/>
      <c r="AB346" s="87"/>
      <c r="AD346" s="328" t="s">
        <v>470</v>
      </c>
      <c r="AE346" s="488">
        <v>210000</v>
      </c>
      <c r="AF346" s="488">
        <v>222500</v>
      </c>
      <c r="AG346" s="488">
        <v>270000</v>
      </c>
      <c r="AH346" s="488">
        <v>305000</v>
      </c>
      <c r="AI346" s="488">
        <v>265000</v>
      </c>
      <c r="AJ346" s="488">
        <v>230000</v>
      </c>
      <c r="AK346" s="87"/>
      <c r="AL346" s="87"/>
      <c r="AM346" s="87"/>
      <c r="AN346" s="87"/>
      <c r="AO346" s="87"/>
      <c r="AQ346" s="328" t="s">
        <v>470</v>
      </c>
      <c r="AR346" s="488">
        <v>210000</v>
      </c>
      <c r="AS346" s="488">
        <v>240000</v>
      </c>
      <c r="AT346" s="488">
        <v>180000</v>
      </c>
      <c r="AU346" s="488">
        <v>197500</v>
      </c>
      <c r="AV346" s="488">
        <v>280000</v>
      </c>
      <c r="AW346" s="488">
        <v>325000</v>
      </c>
      <c r="AX346" s="87"/>
      <c r="AY346" s="87"/>
      <c r="AZ346" s="87"/>
      <c r="BA346" s="87"/>
      <c r="BB346" s="87"/>
    </row>
    <row r="347" spans="4:54" outlineLevel="1">
      <c r="D347" s="328" t="s">
        <v>471</v>
      </c>
      <c r="E347" s="488">
        <v>630000</v>
      </c>
      <c r="F347" s="488">
        <v>540000</v>
      </c>
      <c r="G347" s="488">
        <v>570000</v>
      </c>
      <c r="H347" s="488">
        <v>375000</v>
      </c>
      <c r="I347" s="488">
        <v>580000</v>
      </c>
      <c r="J347" s="488">
        <v>520000</v>
      </c>
      <c r="K347" s="87"/>
      <c r="L347" s="87"/>
      <c r="M347" s="87"/>
      <c r="N347" s="87"/>
      <c r="O347" s="87"/>
      <c r="Q347" s="328" t="s">
        <v>471</v>
      </c>
      <c r="R347" s="488">
        <v>210000</v>
      </c>
      <c r="S347" s="488">
        <v>192500</v>
      </c>
      <c r="T347" s="488">
        <v>305000</v>
      </c>
      <c r="U347" s="488">
        <v>187500</v>
      </c>
      <c r="V347" s="488">
        <v>220000</v>
      </c>
      <c r="W347" s="488">
        <v>190000</v>
      </c>
      <c r="X347" s="87"/>
      <c r="Y347" s="87"/>
      <c r="Z347" s="87"/>
      <c r="AA347" s="87"/>
      <c r="AB347" s="87"/>
      <c r="AD347" s="328" t="s">
        <v>471</v>
      </c>
      <c r="AE347" s="488">
        <v>287500</v>
      </c>
      <c r="AF347" s="488">
        <v>227500</v>
      </c>
      <c r="AG347" s="488">
        <v>310000</v>
      </c>
      <c r="AH347" s="488">
        <v>202500</v>
      </c>
      <c r="AI347" s="488">
        <v>185000</v>
      </c>
      <c r="AJ347" s="488">
        <v>267500</v>
      </c>
      <c r="AK347" s="87"/>
      <c r="AL347" s="87"/>
      <c r="AM347" s="87"/>
      <c r="AN347" s="87"/>
      <c r="AO347" s="87"/>
      <c r="AQ347" s="328" t="s">
        <v>471</v>
      </c>
      <c r="AR347" s="488">
        <v>295000</v>
      </c>
      <c r="AS347" s="488">
        <v>237500</v>
      </c>
      <c r="AT347" s="488">
        <v>237500</v>
      </c>
      <c r="AU347" s="488">
        <v>197500</v>
      </c>
      <c r="AV347" s="488">
        <v>302500</v>
      </c>
      <c r="AW347" s="488">
        <v>247500</v>
      </c>
      <c r="AX347" s="87"/>
      <c r="AY347" s="87"/>
      <c r="AZ347" s="87"/>
      <c r="BA347" s="87"/>
      <c r="BB347" s="87"/>
    </row>
    <row r="348" spans="4:54" outlineLevel="1">
      <c r="D348" s="328" t="s">
        <v>472</v>
      </c>
      <c r="E348" s="488">
        <v>535000</v>
      </c>
      <c r="F348" s="488">
        <v>575000</v>
      </c>
      <c r="G348" s="488">
        <v>450000</v>
      </c>
      <c r="H348" s="488">
        <v>355000</v>
      </c>
      <c r="I348" s="488">
        <v>385000</v>
      </c>
      <c r="J348" s="488">
        <v>400000</v>
      </c>
      <c r="K348" s="87"/>
      <c r="L348" s="87"/>
      <c r="M348" s="87"/>
      <c r="N348" s="87"/>
      <c r="O348" s="87"/>
      <c r="Q348" s="328" t="s">
        <v>472</v>
      </c>
      <c r="R348" s="488">
        <v>200000</v>
      </c>
      <c r="S348" s="488">
        <v>225000</v>
      </c>
      <c r="T348" s="488">
        <v>262500</v>
      </c>
      <c r="U348" s="488">
        <v>302500</v>
      </c>
      <c r="V348" s="488">
        <v>267500</v>
      </c>
      <c r="W348" s="488">
        <v>247500</v>
      </c>
      <c r="X348" s="87"/>
      <c r="Y348" s="87"/>
      <c r="Z348" s="87"/>
      <c r="AA348" s="87"/>
      <c r="AB348" s="87"/>
      <c r="AD348" s="328" t="s">
        <v>472</v>
      </c>
      <c r="AE348" s="488">
        <v>182500</v>
      </c>
      <c r="AF348" s="488">
        <v>242500</v>
      </c>
      <c r="AG348" s="488">
        <v>180000</v>
      </c>
      <c r="AH348" s="488">
        <v>235000</v>
      </c>
      <c r="AI348" s="488">
        <v>197500</v>
      </c>
      <c r="AJ348" s="488">
        <v>230000</v>
      </c>
      <c r="AK348" s="87"/>
      <c r="AL348" s="87"/>
      <c r="AM348" s="87"/>
      <c r="AN348" s="87"/>
      <c r="AO348" s="87"/>
      <c r="AQ348" s="328" t="s">
        <v>472</v>
      </c>
      <c r="AR348" s="488">
        <v>272500</v>
      </c>
      <c r="AS348" s="488">
        <v>192500</v>
      </c>
      <c r="AT348" s="488">
        <v>305000</v>
      </c>
      <c r="AU348" s="488">
        <v>230000</v>
      </c>
      <c r="AV348" s="488">
        <v>200000</v>
      </c>
      <c r="AW348" s="488">
        <v>222500</v>
      </c>
      <c r="AX348" s="87"/>
      <c r="AY348" s="87"/>
      <c r="AZ348" s="87"/>
      <c r="BA348" s="87"/>
      <c r="BB348" s="87"/>
    </row>
    <row r="349" spans="4:54" outlineLevel="1">
      <c r="D349" s="328" t="s">
        <v>473</v>
      </c>
      <c r="E349" s="488">
        <v>620000</v>
      </c>
      <c r="F349" s="488">
        <v>445000</v>
      </c>
      <c r="G349" s="488">
        <v>555000</v>
      </c>
      <c r="H349" s="488">
        <v>635000</v>
      </c>
      <c r="I349" s="488">
        <v>620000</v>
      </c>
      <c r="J349" s="488">
        <v>475000</v>
      </c>
      <c r="K349" s="87"/>
      <c r="L349" s="87"/>
      <c r="M349" s="87"/>
      <c r="N349" s="87"/>
      <c r="O349" s="87"/>
      <c r="Q349" s="328" t="s">
        <v>473</v>
      </c>
      <c r="R349" s="488">
        <v>312500</v>
      </c>
      <c r="S349" s="488">
        <v>250000</v>
      </c>
      <c r="T349" s="488">
        <v>217500</v>
      </c>
      <c r="U349" s="488">
        <v>255000</v>
      </c>
      <c r="V349" s="488">
        <v>182500</v>
      </c>
      <c r="W349" s="488">
        <v>247500</v>
      </c>
      <c r="X349" s="87"/>
      <c r="Y349" s="87"/>
      <c r="Z349" s="87"/>
      <c r="AA349" s="87"/>
      <c r="AB349" s="87"/>
      <c r="AD349" s="328" t="s">
        <v>473</v>
      </c>
      <c r="AE349" s="488">
        <v>272500</v>
      </c>
      <c r="AF349" s="488">
        <v>207500</v>
      </c>
      <c r="AG349" s="488">
        <v>255000</v>
      </c>
      <c r="AH349" s="488">
        <v>312500</v>
      </c>
      <c r="AI349" s="488">
        <v>282500</v>
      </c>
      <c r="AJ349" s="488">
        <v>212500</v>
      </c>
      <c r="AK349" s="87"/>
      <c r="AL349" s="87"/>
      <c r="AM349" s="87"/>
      <c r="AN349" s="87"/>
      <c r="AO349" s="87"/>
      <c r="AQ349" s="328" t="s">
        <v>473</v>
      </c>
      <c r="AR349" s="488">
        <v>277500</v>
      </c>
      <c r="AS349" s="488">
        <v>252500</v>
      </c>
      <c r="AT349" s="488">
        <v>257500</v>
      </c>
      <c r="AU349" s="488">
        <v>317500</v>
      </c>
      <c r="AV349" s="488">
        <v>230000</v>
      </c>
      <c r="AW349" s="488">
        <v>207500</v>
      </c>
      <c r="AX349" s="87"/>
      <c r="AY349" s="87"/>
      <c r="AZ349" s="87"/>
      <c r="BA349" s="87"/>
      <c r="BB349" s="87"/>
    </row>
    <row r="350" spans="4:54" outlineLevel="1">
      <c r="D350" s="328" t="s">
        <v>474</v>
      </c>
      <c r="E350" s="488">
        <v>515000</v>
      </c>
      <c r="F350" s="488">
        <v>500000</v>
      </c>
      <c r="G350" s="488">
        <v>350000</v>
      </c>
      <c r="H350" s="488">
        <v>365000</v>
      </c>
      <c r="I350" s="488">
        <v>535000</v>
      </c>
      <c r="J350" s="488">
        <v>505000</v>
      </c>
      <c r="K350" s="87"/>
      <c r="L350" s="87"/>
      <c r="M350" s="87"/>
      <c r="N350" s="87"/>
      <c r="O350" s="87"/>
      <c r="Q350" s="328" t="s">
        <v>474</v>
      </c>
      <c r="R350" s="488">
        <v>182500</v>
      </c>
      <c r="S350" s="488">
        <v>310000</v>
      </c>
      <c r="T350" s="488">
        <v>325000</v>
      </c>
      <c r="U350" s="488">
        <v>257500</v>
      </c>
      <c r="V350" s="488">
        <v>232500</v>
      </c>
      <c r="W350" s="488">
        <v>210000</v>
      </c>
      <c r="X350" s="87"/>
      <c r="Y350" s="87"/>
      <c r="Z350" s="87"/>
      <c r="AA350" s="87"/>
      <c r="AB350" s="87"/>
      <c r="AD350" s="328" t="s">
        <v>474</v>
      </c>
      <c r="AE350" s="488">
        <v>177500</v>
      </c>
      <c r="AF350" s="488">
        <v>315000</v>
      </c>
      <c r="AG350" s="488">
        <v>320000</v>
      </c>
      <c r="AH350" s="488">
        <v>320000</v>
      </c>
      <c r="AI350" s="488">
        <v>267500</v>
      </c>
      <c r="AJ350" s="488">
        <v>240000</v>
      </c>
      <c r="AK350" s="87"/>
      <c r="AL350" s="87"/>
      <c r="AM350" s="87"/>
      <c r="AN350" s="87"/>
      <c r="AO350" s="87"/>
      <c r="AQ350" s="328" t="s">
        <v>474</v>
      </c>
      <c r="AR350" s="488">
        <v>315000</v>
      </c>
      <c r="AS350" s="488">
        <v>215000</v>
      </c>
      <c r="AT350" s="488">
        <v>295000</v>
      </c>
      <c r="AU350" s="488">
        <v>317500</v>
      </c>
      <c r="AV350" s="488">
        <v>287500</v>
      </c>
      <c r="AW350" s="488">
        <v>227500</v>
      </c>
      <c r="AX350" s="87"/>
      <c r="AY350" s="87"/>
      <c r="AZ350" s="87"/>
      <c r="BA350" s="87"/>
      <c r="BB350" s="87"/>
    </row>
    <row r="351" spans="4:54" outlineLevel="1">
      <c r="D351" s="328" t="s">
        <v>475</v>
      </c>
      <c r="E351" s="488">
        <v>540000</v>
      </c>
      <c r="F351" s="488">
        <v>370000</v>
      </c>
      <c r="G351" s="488">
        <v>380000</v>
      </c>
      <c r="H351" s="488">
        <v>590000</v>
      </c>
      <c r="I351" s="488">
        <v>505000</v>
      </c>
      <c r="J351" s="488">
        <v>545000</v>
      </c>
      <c r="K351" s="87"/>
      <c r="L351" s="87"/>
      <c r="M351" s="87"/>
      <c r="N351" s="87"/>
      <c r="O351" s="87"/>
      <c r="Q351" s="328" t="s">
        <v>475</v>
      </c>
      <c r="R351" s="488">
        <v>275000</v>
      </c>
      <c r="S351" s="488">
        <v>175000</v>
      </c>
      <c r="T351" s="488">
        <v>262500</v>
      </c>
      <c r="U351" s="488">
        <v>262500</v>
      </c>
      <c r="V351" s="488">
        <v>315000</v>
      </c>
      <c r="W351" s="488">
        <v>322500</v>
      </c>
      <c r="X351" s="87"/>
      <c r="Y351" s="87"/>
      <c r="Z351" s="87"/>
      <c r="AA351" s="87"/>
      <c r="AB351" s="87"/>
      <c r="AD351" s="328" t="s">
        <v>475</v>
      </c>
      <c r="AE351" s="488">
        <v>255000</v>
      </c>
      <c r="AF351" s="488">
        <v>242500</v>
      </c>
      <c r="AG351" s="488">
        <v>192500</v>
      </c>
      <c r="AH351" s="488">
        <v>260000</v>
      </c>
      <c r="AI351" s="488">
        <v>240000</v>
      </c>
      <c r="AJ351" s="488">
        <v>275000</v>
      </c>
      <c r="AK351" s="87"/>
      <c r="AL351" s="87"/>
      <c r="AM351" s="87"/>
      <c r="AN351" s="87"/>
      <c r="AO351" s="87"/>
      <c r="AQ351" s="328" t="s">
        <v>475</v>
      </c>
      <c r="AR351" s="488">
        <v>217500</v>
      </c>
      <c r="AS351" s="488">
        <v>227500</v>
      </c>
      <c r="AT351" s="488">
        <v>320000</v>
      </c>
      <c r="AU351" s="488">
        <v>247500</v>
      </c>
      <c r="AV351" s="488">
        <v>290000</v>
      </c>
      <c r="AW351" s="488">
        <v>225000</v>
      </c>
      <c r="AX351" s="87"/>
      <c r="AY351" s="87"/>
      <c r="AZ351" s="87"/>
      <c r="BA351" s="87"/>
      <c r="BB351" s="87"/>
    </row>
    <row r="352" spans="4:54" outlineLevel="1">
      <c r="D352" s="328" t="s">
        <v>476</v>
      </c>
      <c r="E352" s="488">
        <v>595000</v>
      </c>
      <c r="F352" s="488">
        <v>630000</v>
      </c>
      <c r="G352" s="488">
        <v>350000</v>
      </c>
      <c r="H352" s="488">
        <v>410000</v>
      </c>
      <c r="I352" s="488">
        <v>415000</v>
      </c>
      <c r="J352" s="488">
        <v>635000</v>
      </c>
      <c r="K352" s="87"/>
      <c r="L352" s="87"/>
      <c r="M352" s="87"/>
      <c r="N352" s="87"/>
      <c r="O352" s="87"/>
      <c r="Q352" s="328" t="s">
        <v>476</v>
      </c>
      <c r="R352" s="488">
        <v>247500</v>
      </c>
      <c r="S352" s="488">
        <v>292500</v>
      </c>
      <c r="T352" s="488">
        <v>292500</v>
      </c>
      <c r="U352" s="488">
        <v>257500</v>
      </c>
      <c r="V352" s="488">
        <v>267500</v>
      </c>
      <c r="W352" s="488">
        <v>230000</v>
      </c>
      <c r="X352" s="87"/>
      <c r="Y352" s="87"/>
      <c r="Z352" s="87"/>
      <c r="AA352" s="87"/>
      <c r="AB352" s="87"/>
      <c r="AD352" s="328" t="s">
        <v>476</v>
      </c>
      <c r="AE352" s="488">
        <v>230000</v>
      </c>
      <c r="AF352" s="488">
        <v>250000</v>
      </c>
      <c r="AG352" s="488">
        <v>257500</v>
      </c>
      <c r="AH352" s="488">
        <v>320000</v>
      </c>
      <c r="AI352" s="488">
        <v>240000</v>
      </c>
      <c r="AJ352" s="488">
        <v>282500</v>
      </c>
      <c r="AK352" s="87"/>
      <c r="AL352" s="87"/>
      <c r="AM352" s="87"/>
      <c r="AN352" s="87"/>
      <c r="AO352" s="87"/>
      <c r="AQ352" s="328" t="s">
        <v>476</v>
      </c>
      <c r="AR352" s="488">
        <v>307500</v>
      </c>
      <c r="AS352" s="488">
        <v>265000</v>
      </c>
      <c r="AT352" s="488">
        <v>280000</v>
      </c>
      <c r="AU352" s="488">
        <v>242500</v>
      </c>
      <c r="AV352" s="488">
        <v>267500</v>
      </c>
      <c r="AW352" s="488">
        <v>307500</v>
      </c>
      <c r="AX352" s="87"/>
      <c r="AY352" s="87"/>
      <c r="AZ352" s="87"/>
      <c r="BA352" s="87"/>
      <c r="BB352" s="87"/>
    </row>
    <row r="353" spans="4:54" outlineLevel="1">
      <c r="D353" s="328" t="s">
        <v>477</v>
      </c>
      <c r="E353" s="488">
        <v>410000</v>
      </c>
      <c r="F353" s="488">
        <v>445000</v>
      </c>
      <c r="G353" s="488">
        <v>465000</v>
      </c>
      <c r="H353" s="488">
        <v>410000</v>
      </c>
      <c r="I353" s="488">
        <v>465000</v>
      </c>
      <c r="J353" s="488">
        <v>555000</v>
      </c>
      <c r="K353" s="87"/>
      <c r="L353" s="87"/>
      <c r="M353" s="87"/>
      <c r="N353" s="87"/>
      <c r="O353" s="87"/>
      <c r="Q353" s="328" t="s">
        <v>477</v>
      </c>
      <c r="R353" s="488">
        <v>315000</v>
      </c>
      <c r="S353" s="488">
        <v>247500</v>
      </c>
      <c r="T353" s="488">
        <v>215000</v>
      </c>
      <c r="U353" s="488">
        <v>227500</v>
      </c>
      <c r="V353" s="488">
        <v>230000</v>
      </c>
      <c r="W353" s="488">
        <v>310000</v>
      </c>
      <c r="X353" s="87"/>
      <c r="Y353" s="87"/>
      <c r="Z353" s="87"/>
      <c r="AA353" s="87"/>
      <c r="AB353" s="87"/>
      <c r="AD353" s="328" t="s">
        <v>477</v>
      </c>
      <c r="AE353" s="488">
        <v>237500</v>
      </c>
      <c r="AF353" s="488">
        <v>282500</v>
      </c>
      <c r="AG353" s="488">
        <v>240000</v>
      </c>
      <c r="AH353" s="488">
        <v>297500</v>
      </c>
      <c r="AI353" s="488">
        <v>295000</v>
      </c>
      <c r="AJ353" s="488">
        <v>220000</v>
      </c>
      <c r="AK353" s="87"/>
      <c r="AL353" s="87"/>
      <c r="AM353" s="87"/>
      <c r="AN353" s="87"/>
      <c r="AO353" s="87"/>
      <c r="AQ353" s="328" t="s">
        <v>477</v>
      </c>
      <c r="AR353" s="488">
        <v>242500</v>
      </c>
      <c r="AS353" s="488">
        <v>230000</v>
      </c>
      <c r="AT353" s="488">
        <v>285000</v>
      </c>
      <c r="AU353" s="488">
        <v>322500</v>
      </c>
      <c r="AV353" s="488">
        <v>182500</v>
      </c>
      <c r="AW353" s="488">
        <v>325000</v>
      </c>
      <c r="AX353" s="87"/>
      <c r="AY353" s="87"/>
      <c r="AZ353" s="87"/>
      <c r="BA353" s="87"/>
      <c r="BB353" s="87"/>
    </row>
    <row r="354" spans="4:54" outlineLevel="1">
      <c r="D354" s="328" t="s">
        <v>478</v>
      </c>
      <c r="E354" s="488">
        <v>620000</v>
      </c>
      <c r="F354" s="488">
        <v>430000</v>
      </c>
      <c r="G354" s="488">
        <v>600000</v>
      </c>
      <c r="H354" s="488">
        <v>550000</v>
      </c>
      <c r="I354" s="488">
        <v>455000</v>
      </c>
      <c r="J354" s="488">
        <v>480000</v>
      </c>
      <c r="K354" s="87"/>
      <c r="L354" s="87"/>
      <c r="M354" s="87"/>
      <c r="N354" s="87"/>
      <c r="O354" s="87"/>
      <c r="Q354" s="328" t="s">
        <v>478</v>
      </c>
      <c r="R354" s="488">
        <v>315000</v>
      </c>
      <c r="S354" s="488">
        <v>205000</v>
      </c>
      <c r="T354" s="488">
        <v>225000</v>
      </c>
      <c r="U354" s="488">
        <v>302500</v>
      </c>
      <c r="V354" s="488">
        <v>185000</v>
      </c>
      <c r="W354" s="488">
        <v>187500</v>
      </c>
      <c r="X354" s="87"/>
      <c r="Y354" s="87"/>
      <c r="Z354" s="87"/>
      <c r="AA354" s="87"/>
      <c r="AB354" s="87"/>
      <c r="AD354" s="328" t="s">
        <v>478</v>
      </c>
      <c r="AE354" s="488">
        <v>205000</v>
      </c>
      <c r="AF354" s="488">
        <v>215000</v>
      </c>
      <c r="AG354" s="488">
        <v>210000</v>
      </c>
      <c r="AH354" s="488">
        <v>242500</v>
      </c>
      <c r="AI354" s="488">
        <v>242500</v>
      </c>
      <c r="AJ354" s="488">
        <v>305000</v>
      </c>
      <c r="AK354" s="87"/>
      <c r="AL354" s="87"/>
      <c r="AM354" s="87"/>
      <c r="AN354" s="87"/>
      <c r="AO354" s="87"/>
      <c r="AQ354" s="328" t="s">
        <v>478</v>
      </c>
      <c r="AR354" s="488">
        <v>302500</v>
      </c>
      <c r="AS354" s="488">
        <v>257500</v>
      </c>
      <c r="AT354" s="488">
        <v>315000</v>
      </c>
      <c r="AU354" s="488">
        <v>305000</v>
      </c>
      <c r="AV354" s="488">
        <v>295000</v>
      </c>
      <c r="AW354" s="488">
        <v>245000</v>
      </c>
      <c r="AX354" s="87"/>
      <c r="AY354" s="87"/>
      <c r="AZ354" s="87"/>
      <c r="BA354" s="87"/>
      <c r="BB354" s="87"/>
    </row>
    <row r="360" spans="4:54" ht="15.75">
      <c r="D360" s="33" t="s">
        <v>642</v>
      </c>
    </row>
    <row r="361" spans="4:54">
      <c r="D361" s="119"/>
    </row>
    <row r="362" spans="4:54">
      <c r="D362" s="338" t="s">
        <v>442</v>
      </c>
      <c r="E362" s="338">
        <v>2009</v>
      </c>
      <c r="F362" s="338">
        <v>2010</v>
      </c>
      <c r="G362" s="338">
        <v>2011</v>
      </c>
      <c r="H362" s="338">
        <v>2012</v>
      </c>
      <c r="I362" s="338">
        <v>2013</v>
      </c>
      <c r="J362" s="338">
        <v>2014</v>
      </c>
      <c r="K362" s="338">
        <v>2015</v>
      </c>
      <c r="L362" s="338">
        <v>2016</v>
      </c>
      <c r="M362" s="338">
        <v>2017</v>
      </c>
      <c r="N362" s="338">
        <v>2018</v>
      </c>
      <c r="O362" s="338">
        <v>2019</v>
      </c>
    </row>
    <row r="363" spans="4:54">
      <c r="D363" s="327" t="s">
        <v>443</v>
      </c>
      <c r="E363" s="328" t="s">
        <v>132</v>
      </c>
      <c r="F363" s="328" t="s">
        <v>132</v>
      </c>
      <c r="G363" s="328" t="s">
        <v>132</v>
      </c>
      <c r="H363" s="328" t="s">
        <v>132</v>
      </c>
      <c r="I363" s="328" t="s">
        <v>132</v>
      </c>
      <c r="J363" s="328" t="s">
        <v>132</v>
      </c>
      <c r="K363" s="328" t="s">
        <v>132</v>
      </c>
      <c r="L363" s="328" t="s">
        <v>132</v>
      </c>
      <c r="M363" s="328" t="s">
        <v>132</v>
      </c>
      <c r="N363" s="328" t="s">
        <v>132</v>
      </c>
      <c r="O363" s="328" t="s">
        <v>132</v>
      </c>
    </row>
    <row r="364" spans="4:54">
      <c r="D364" s="87" t="s">
        <v>444</v>
      </c>
      <c r="E364" s="328" t="s">
        <v>132</v>
      </c>
      <c r="F364" s="328" t="s">
        <v>132</v>
      </c>
      <c r="G364" s="328" t="s">
        <v>132</v>
      </c>
      <c r="H364" s="328" t="s">
        <v>132</v>
      </c>
      <c r="I364" s="328" t="s">
        <v>132</v>
      </c>
      <c r="J364" s="328" t="s">
        <v>132</v>
      </c>
      <c r="K364" s="328" t="s">
        <v>132</v>
      </c>
      <c r="L364" s="328" t="s">
        <v>132</v>
      </c>
      <c r="M364" s="328" t="s">
        <v>132</v>
      </c>
      <c r="N364" s="328" t="s">
        <v>132</v>
      </c>
      <c r="O364" s="328" t="s">
        <v>132</v>
      </c>
    </row>
    <row r="365" spans="4:54" outlineLevel="1">
      <c r="D365" s="328" t="s">
        <v>445</v>
      </c>
      <c r="E365" s="328" t="s">
        <v>132</v>
      </c>
      <c r="F365" s="328" t="s">
        <v>132</v>
      </c>
      <c r="G365" s="328" t="s">
        <v>132</v>
      </c>
      <c r="H365" s="328" t="s">
        <v>132</v>
      </c>
      <c r="I365" s="328" t="s">
        <v>132</v>
      </c>
      <c r="J365" s="328" t="s">
        <v>132</v>
      </c>
      <c r="K365" s="328" t="s">
        <v>132</v>
      </c>
      <c r="L365" s="328" t="s">
        <v>132</v>
      </c>
      <c r="M365" s="328" t="s">
        <v>132</v>
      </c>
      <c r="N365" s="328" t="s">
        <v>132</v>
      </c>
      <c r="O365" s="328" t="s">
        <v>132</v>
      </c>
    </row>
    <row r="366" spans="4:54" outlineLevel="1">
      <c r="D366" s="329" t="s">
        <v>446</v>
      </c>
      <c r="E366" s="328" t="s">
        <v>132</v>
      </c>
      <c r="F366" s="328" t="s">
        <v>132</v>
      </c>
      <c r="G366" s="328" t="s">
        <v>132</v>
      </c>
      <c r="H366" s="328" t="s">
        <v>132</v>
      </c>
      <c r="I366" s="328" t="s">
        <v>132</v>
      </c>
      <c r="J366" s="328" t="s">
        <v>132</v>
      </c>
      <c r="K366" s="328" t="s">
        <v>132</v>
      </c>
      <c r="L366" s="328" t="s">
        <v>132</v>
      </c>
      <c r="M366" s="328" t="s">
        <v>132</v>
      </c>
      <c r="N366" s="328" t="s">
        <v>132</v>
      </c>
      <c r="O366" s="328" t="s">
        <v>132</v>
      </c>
    </row>
    <row r="367" spans="4:54" outlineLevel="1">
      <c r="D367" s="329" t="s">
        <v>447</v>
      </c>
      <c r="E367" s="328" t="s">
        <v>132</v>
      </c>
      <c r="F367" s="328" t="s">
        <v>132</v>
      </c>
      <c r="G367" s="328" t="s">
        <v>132</v>
      </c>
      <c r="H367" s="328" t="s">
        <v>132</v>
      </c>
      <c r="I367" s="328" t="s">
        <v>132</v>
      </c>
      <c r="J367" s="328" t="s">
        <v>132</v>
      </c>
      <c r="K367" s="328" t="s">
        <v>132</v>
      </c>
      <c r="L367" s="328" t="s">
        <v>132</v>
      </c>
      <c r="M367" s="328" t="s">
        <v>132</v>
      </c>
      <c r="N367" s="328" t="s">
        <v>132</v>
      </c>
      <c r="O367" s="328" t="s">
        <v>132</v>
      </c>
    </row>
    <row r="368" spans="4:54" outlineLevel="1">
      <c r="D368" s="329" t="s">
        <v>448</v>
      </c>
      <c r="E368" s="328" t="s">
        <v>132</v>
      </c>
      <c r="F368" s="328" t="s">
        <v>132</v>
      </c>
      <c r="G368" s="328" t="s">
        <v>132</v>
      </c>
      <c r="H368" s="328" t="s">
        <v>132</v>
      </c>
      <c r="I368" s="328" t="s">
        <v>132</v>
      </c>
      <c r="J368" s="328" t="s">
        <v>132</v>
      </c>
      <c r="K368" s="328" t="s">
        <v>132</v>
      </c>
      <c r="L368" s="328" t="s">
        <v>132</v>
      </c>
      <c r="M368" s="328" t="s">
        <v>132</v>
      </c>
      <c r="N368" s="328" t="s">
        <v>132</v>
      </c>
      <c r="O368" s="328" t="s">
        <v>132</v>
      </c>
    </row>
    <row r="369" spans="4:15" outlineLevel="1">
      <c r="D369" s="329" t="s">
        <v>449</v>
      </c>
      <c r="E369" s="328" t="s">
        <v>132</v>
      </c>
      <c r="F369" s="328" t="s">
        <v>132</v>
      </c>
      <c r="G369" s="328" t="s">
        <v>132</v>
      </c>
      <c r="H369" s="328" t="s">
        <v>132</v>
      </c>
      <c r="I369" s="328" t="s">
        <v>132</v>
      </c>
      <c r="J369" s="328" t="s">
        <v>132</v>
      </c>
      <c r="K369" s="328" t="s">
        <v>132</v>
      </c>
      <c r="L369" s="328" t="s">
        <v>132</v>
      </c>
      <c r="M369" s="328" t="s">
        <v>132</v>
      </c>
      <c r="N369" s="328" t="s">
        <v>132</v>
      </c>
      <c r="O369" s="328" t="s">
        <v>132</v>
      </c>
    </row>
    <row r="370" spans="4:15" outlineLevel="1">
      <c r="D370" s="329" t="s">
        <v>450</v>
      </c>
      <c r="E370" s="328" t="s">
        <v>132</v>
      </c>
      <c r="F370" s="328" t="s">
        <v>132</v>
      </c>
      <c r="G370" s="328" t="s">
        <v>132</v>
      </c>
      <c r="H370" s="328" t="s">
        <v>132</v>
      </c>
      <c r="I370" s="328" t="s">
        <v>132</v>
      </c>
      <c r="J370" s="328" t="s">
        <v>132</v>
      </c>
      <c r="K370" s="328" t="s">
        <v>132</v>
      </c>
      <c r="L370" s="328" t="s">
        <v>132</v>
      </c>
      <c r="M370" s="328" t="s">
        <v>132</v>
      </c>
      <c r="N370" s="328" t="s">
        <v>132</v>
      </c>
      <c r="O370" s="328" t="s">
        <v>132</v>
      </c>
    </row>
    <row r="371" spans="4:15" outlineLevel="1">
      <c r="D371" s="330" t="s">
        <v>451</v>
      </c>
      <c r="E371" s="328" t="s">
        <v>132</v>
      </c>
      <c r="F371" s="328" t="s">
        <v>132</v>
      </c>
      <c r="G371" s="328" t="s">
        <v>132</v>
      </c>
      <c r="H371" s="328" t="s">
        <v>132</v>
      </c>
      <c r="I371" s="328" t="s">
        <v>132</v>
      </c>
      <c r="J371" s="328" t="s">
        <v>132</v>
      </c>
      <c r="K371" s="328" t="s">
        <v>132</v>
      </c>
      <c r="L371" s="328" t="s">
        <v>132</v>
      </c>
      <c r="M371" s="328" t="s">
        <v>132</v>
      </c>
      <c r="N371" s="328" t="s">
        <v>132</v>
      </c>
      <c r="O371" s="328" t="s">
        <v>132</v>
      </c>
    </row>
    <row r="372" spans="4:15" outlineLevel="1">
      <c r="D372" s="330" t="s">
        <v>452</v>
      </c>
      <c r="E372" s="328" t="s">
        <v>132</v>
      </c>
      <c r="F372" s="328" t="s">
        <v>132</v>
      </c>
      <c r="G372" s="328" t="s">
        <v>132</v>
      </c>
      <c r="H372" s="328" t="s">
        <v>132</v>
      </c>
      <c r="I372" s="328" t="s">
        <v>132</v>
      </c>
      <c r="J372" s="328" t="s">
        <v>132</v>
      </c>
      <c r="K372" s="328" t="s">
        <v>132</v>
      </c>
      <c r="L372" s="328" t="s">
        <v>132</v>
      </c>
      <c r="M372" s="328" t="s">
        <v>132</v>
      </c>
      <c r="N372" s="328" t="s">
        <v>132</v>
      </c>
      <c r="O372" s="328" t="s">
        <v>132</v>
      </c>
    </row>
    <row r="373" spans="4:15" outlineLevel="1">
      <c r="D373" s="330" t="s">
        <v>27</v>
      </c>
      <c r="E373" s="328" t="s">
        <v>132</v>
      </c>
      <c r="F373" s="328" t="s">
        <v>132</v>
      </c>
      <c r="G373" s="328" t="s">
        <v>132</v>
      </c>
      <c r="H373" s="328" t="s">
        <v>132</v>
      </c>
      <c r="I373" s="328" t="s">
        <v>132</v>
      </c>
      <c r="J373" s="328" t="s">
        <v>132</v>
      </c>
      <c r="K373" s="328" t="s">
        <v>132</v>
      </c>
      <c r="L373" s="328" t="s">
        <v>132</v>
      </c>
      <c r="M373" s="328" t="s">
        <v>132</v>
      </c>
      <c r="N373" s="328" t="s">
        <v>132</v>
      </c>
      <c r="O373" s="328" t="s">
        <v>132</v>
      </c>
    </row>
    <row r="374" spans="4:15" outlineLevel="1">
      <c r="D374" s="330" t="s">
        <v>28</v>
      </c>
      <c r="E374" s="328" t="s">
        <v>132</v>
      </c>
      <c r="F374" s="328" t="s">
        <v>132</v>
      </c>
      <c r="G374" s="328" t="s">
        <v>132</v>
      </c>
      <c r="H374" s="328" t="s">
        <v>132</v>
      </c>
      <c r="I374" s="328" t="s">
        <v>132</v>
      </c>
      <c r="J374" s="328" t="s">
        <v>132</v>
      </c>
      <c r="K374" s="328" t="s">
        <v>132</v>
      </c>
      <c r="L374" s="328" t="s">
        <v>132</v>
      </c>
      <c r="M374" s="328" t="s">
        <v>132</v>
      </c>
      <c r="N374" s="328" t="s">
        <v>132</v>
      </c>
      <c r="O374" s="328" t="s">
        <v>132</v>
      </c>
    </row>
    <row r="375" spans="4:15" outlineLevel="1">
      <c r="D375" s="329" t="s">
        <v>453</v>
      </c>
      <c r="E375" s="328" t="s">
        <v>132</v>
      </c>
      <c r="F375" s="328" t="s">
        <v>132</v>
      </c>
      <c r="G375" s="328" t="s">
        <v>132</v>
      </c>
      <c r="H375" s="328" t="s">
        <v>132</v>
      </c>
      <c r="I375" s="328" t="s">
        <v>132</v>
      </c>
      <c r="J375" s="328" t="s">
        <v>132</v>
      </c>
      <c r="K375" s="328" t="s">
        <v>132</v>
      </c>
      <c r="L375" s="328" t="s">
        <v>132</v>
      </c>
      <c r="M375" s="328" t="s">
        <v>132</v>
      </c>
      <c r="N375" s="328" t="s">
        <v>132</v>
      </c>
      <c r="O375" s="328" t="s">
        <v>132</v>
      </c>
    </row>
    <row r="376" spans="4:15" outlineLevel="1">
      <c r="D376" s="329" t="s">
        <v>454</v>
      </c>
      <c r="E376" s="328" t="s">
        <v>132</v>
      </c>
      <c r="F376" s="328" t="s">
        <v>132</v>
      </c>
      <c r="G376" s="328" t="s">
        <v>132</v>
      </c>
      <c r="H376" s="328" t="s">
        <v>132</v>
      </c>
      <c r="I376" s="328" t="s">
        <v>132</v>
      </c>
      <c r="J376" s="328" t="s">
        <v>132</v>
      </c>
      <c r="K376" s="328" t="s">
        <v>132</v>
      </c>
      <c r="L376" s="328" t="s">
        <v>132</v>
      </c>
      <c r="M376" s="328" t="s">
        <v>132</v>
      </c>
      <c r="N376" s="328" t="s">
        <v>132</v>
      </c>
      <c r="O376" s="328" t="s">
        <v>132</v>
      </c>
    </row>
    <row r="377" spans="4:15" outlineLevel="1">
      <c r="D377" s="329" t="s">
        <v>455</v>
      </c>
      <c r="E377" s="328" t="s">
        <v>132</v>
      </c>
      <c r="F377" s="328" t="s">
        <v>132</v>
      </c>
      <c r="G377" s="328" t="s">
        <v>132</v>
      </c>
      <c r="H377" s="328" t="s">
        <v>132</v>
      </c>
      <c r="I377" s="328" t="s">
        <v>132</v>
      </c>
      <c r="J377" s="328" t="s">
        <v>132</v>
      </c>
      <c r="K377" s="328" t="s">
        <v>132</v>
      </c>
      <c r="L377" s="328" t="s">
        <v>132</v>
      </c>
      <c r="M377" s="328" t="s">
        <v>132</v>
      </c>
      <c r="N377" s="328" t="s">
        <v>132</v>
      </c>
      <c r="O377" s="328" t="s">
        <v>132</v>
      </c>
    </row>
    <row r="378" spans="4:15" outlineLevel="1">
      <c r="D378" s="329" t="s">
        <v>456</v>
      </c>
      <c r="E378" s="328" t="s">
        <v>132</v>
      </c>
      <c r="F378" s="328" t="s">
        <v>132</v>
      </c>
      <c r="G378" s="328" t="s">
        <v>132</v>
      </c>
      <c r="H378" s="328" t="s">
        <v>132</v>
      </c>
      <c r="I378" s="328" t="s">
        <v>132</v>
      </c>
      <c r="J378" s="328" t="s">
        <v>132</v>
      </c>
      <c r="K378" s="328" t="s">
        <v>132</v>
      </c>
      <c r="L378" s="328" t="s">
        <v>132</v>
      </c>
      <c r="M378" s="328" t="s">
        <v>132</v>
      </c>
      <c r="N378" s="328" t="s">
        <v>132</v>
      </c>
      <c r="O378" s="328" t="s">
        <v>132</v>
      </c>
    </row>
    <row r="379" spans="4:15" outlineLevel="1">
      <c r="D379" s="327" t="s">
        <v>457</v>
      </c>
      <c r="E379" s="328" t="s">
        <v>132</v>
      </c>
      <c r="F379" s="328" t="s">
        <v>132</v>
      </c>
      <c r="G379" s="328" t="s">
        <v>132</v>
      </c>
      <c r="H379" s="328" t="s">
        <v>132</v>
      </c>
      <c r="I379" s="328" t="s">
        <v>132</v>
      </c>
      <c r="J379" s="328" t="s">
        <v>132</v>
      </c>
      <c r="K379" s="328" t="s">
        <v>132</v>
      </c>
      <c r="L379" s="328" t="s">
        <v>132</v>
      </c>
      <c r="M379" s="328" t="s">
        <v>132</v>
      </c>
      <c r="N379" s="328" t="s">
        <v>132</v>
      </c>
      <c r="O379" s="328" t="s">
        <v>132</v>
      </c>
    </row>
    <row r="380" spans="4:15" outlineLevel="1">
      <c r="D380" s="329" t="s">
        <v>458</v>
      </c>
      <c r="E380" s="328" t="s">
        <v>132</v>
      </c>
      <c r="F380" s="328" t="s">
        <v>132</v>
      </c>
      <c r="G380" s="328" t="s">
        <v>132</v>
      </c>
      <c r="H380" s="328" t="s">
        <v>132</v>
      </c>
      <c r="I380" s="328" t="s">
        <v>132</v>
      </c>
      <c r="J380" s="328" t="s">
        <v>132</v>
      </c>
      <c r="K380" s="328" t="s">
        <v>132</v>
      </c>
      <c r="L380" s="328" t="s">
        <v>132</v>
      </c>
      <c r="M380" s="328" t="s">
        <v>132</v>
      </c>
      <c r="N380" s="328" t="s">
        <v>132</v>
      </c>
      <c r="O380" s="328" t="s">
        <v>132</v>
      </c>
    </row>
    <row r="381" spans="4:15" outlineLevel="1">
      <c r="D381" s="329" t="s">
        <v>459</v>
      </c>
      <c r="E381" s="328" t="s">
        <v>132</v>
      </c>
      <c r="F381" s="328" t="s">
        <v>132</v>
      </c>
      <c r="G381" s="328" t="s">
        <v>132</v>
      </c>
      <c r="H381" s="328" t="s">
        <v>132</v>
      </c>
      <c r="I381" s="328" t="s">
        <v>132</v>
      </c>
      <c r="J381" s="328" t="s">
        <v>132</v>
      </c>
      <c r="K381" s="328" t="s">
        <v>132</v>
      </c>
      <c r="L381" s="328" t="s">
        <v>132</v>
      </c>
      <c r="M381" s="328" t="s">
        <v>132</v>
      </c>
      <c r="N381" s="328" t="s">
        <v>132</v>
      </c>
      <c r="O381" s="328" t="s">
        <v>132</v>
      </c>
    </row>
    <row r="382" spans="4:15" outlineLevel="1">
      <c r="D382" s="329" t="s">
        <v>460</v>
      </c>
      <c r="E382" s="328" t="s">
        <v>132</v>
      </c>
      <c r="F382" s="328" t="s">
        <v>132</v>
      </c>
      <c r="G382" s="328" t="s">
        <v>132</v>
      </c>
      <c r="H382" s="328" t="s">
        <v>132</v>
      </c>
      <c r="I382" s="328" t="s">
        <v>132</v>
      </c>
      <c r="J382" s="328" t="s">
        <v>132</v>
      </c>
      <c r="K382" s="328" t="s">
        <v>132</v>
      </c>
      <c r="L382" s="328" t="s">
        <v>132</v>
      </c>
      <c r="M382" s="328" t="s">
        <v>132</v>
      </c>
      <c r="N382" s="328" t="s">
        <v>132</v>
      </c>
      <c r="O382" s="328" t="s">
        <v>132</v>
      </c>
    </row>
    <row r="383" spans="4:15" outlineLevel="1">
      <c r="D383" s="328" t="s">
        <v>461</v>
      </c>
      <c r="E383" s="328" t="s">
        <v>132</v>
      </c>
      <c r="F383" s="328" t="s">
        <v>132</v>
      </c>
      <c r="G383" s="328" t="s">
        <v>132</v>
      </c>
      <c r="H383" s="328" t="s">
        <v>132</v>
      </c>
      <c r="I383" s="328" t="s">
        <v>132</v>
      </c>
      <c r="J383" s="328" t="s">
        <v>132</v>
      </c>
      <c r="K383" s="328" t="s">
        <v>132</v>
      </c>
      <c r="L383" s="328" t="s">
        <v>132</v>
      </c>
      <c r="M383" s="328" t="s">
        <v>132</v>
      </c>
      <c r="N383" s="328" t="s">
        <v>132</v>
      </c>
      <c r="O383" s="328" t="s">
        <v>132</v>
      </c>
    </row>
    <row r="384" spans="4:15" outlineLevel="1">
      <c r="D384" s="328" t="s">
        <v>462</v>
      </c>
      <c r="E384" s="328" t="s">
        <v>132</v>
      </c>
      <c r="F384" s="328" t="s">
        <v>132</v>
      </c>
      <c r="G384" s="328" t="s">
        <v>132</v>
      </c>
      <c r="H384" s="328" t="s">
        <v>132</v>
      </c>
      <c r="I384" s="328" t="s">
        <v>132</v>
      </c>
      <c r="J384" s="328" t="s">
        <v>132</v>
      </c>
      <c r="K384" s="328" t="s">
        <v>132</v>
      </c>
      <c r="L384" s="328" t="s">
        <v>132</v>
      </c>
      <c r="M384" s="328" t="s">
        <v>132</v>
      </c>
      <c r="N384" s="328" t="s">
        <v>132</v>
      </c>
      <c r="O384" s="328" t="s">
        <v>132</v>
      </c>
    </row>
    <row r="385" spans="4:15" outlineLevel="1">
      <c r="D385" s="328" t="s">
        <v>463</v>
      </c>
      <c r="E385" s="328" t="s">
        <v>132</v>
      </c>
      <c r="F385" s="328" t="s">
        <v>132</v>
      </c>
      <c r="G385" s="328" t="s">
        <v>132</v>
      </c>
      <c r="H385" s="328" t="s">
        <v>132</v>
      </c>
      <c r="I385" s="328" t="s">
        <v>132</v>
      </c>
      <c r="J385" s="328" t="s">
        <v>132</v>
      </c>
      <c r="K385" s="328" t="s">
        <v>132</v>
      </c>
      <c r="L385" s="328" t="s">
        <v>132</v>
      </c>
      <c r="M385" s="328" t="s">
        <v>132</v>
      </c>
      <c r="N385" s="328" t="s">
        <v>132</v>
      </c>
      <c r="O385" s="328" t="s">
        <v>132</v>
      </c>
    </row>
    <row r="386" spans="4:15" outlineLevel="1">
      <c r="D386" s="328" t="s">
        <v>464</v>
      </c>
      <c r="E386" s="328" t="s">
        <v>132</v>
      </c>
      <c r="F386" s="328" t="s">
        <v>132</v>
      </c>
      <c r="G386" s="328" t="s">
        <v>132</v>
      </c>
      <c r="H386" s="328" t="s">
        <v>132</v>
      </c>
      <c r="I386" s="328" t="s">
        <v>132</v>
      </c>
      <c r="J386" s="328" t="s">
        <v>132</v>
      </c>
      <c r="K386" s="328" t="s">
        <v>132</v>
      </c>
      <c r="L386" s="328" t="s">
        <v>132</v>
      </c>
      <c r="M386" s="328" t="s">
        <v>132</v>
      </c>
      <c r="N386" s="328" t="s">
        <v>132</v>
      </c>
      <c r="O386" s="328" t="s">
        <v>132</v>
      </c>
    </row>
    <row r="387" spans="4:15" outlineLevel="1">
      <c r="D387" s="328" t="s">
        <v>465</v>
      </c>
      <c r="E387" s="328" t="s">
        <v>132</v>
      </c>
      <c r="F387" s="328" t="s">
        <v>132</v>
      </c>
      <c r="G387" s="328" t="s">
        <v>132</v>
      </c>
      <c r="H387" s="328" t="s">
        <v>132</v>
      </c>
      <c r="I387" s="328" t="s">
        <v>132</v>
      </c>
      <c r="J387" s="328" t="s">
        <v>132</v>
      </c>
      <c r="K387" s="328" t="s">
        <v>132</v>
      </c>
      <c r="L387" s="328" t="s">
        <v>132</v>
      </c>
      <c r="M387" s="328" t="s">
        <v>132</v>
      </c>
      <c r="N387" s="328" t="s">
        <v>132</v>
      </c>
      <c r="O387" s="328" t="s">
        <v>132</v>
      </c>
    </row>
    <row r="388" spans="4:15" outlineLevel="1">
      <c r="D388" s="328" t="s">
        <v>466</v>
      </c>
      <c r="E388" s="328" t="s">
        <v>132</v>
      </c>
      <c r="F388" s="328" t="s">
        <v>132</v>
      </c>
      <c r="G388" s="328" t="s">
        <v>132</v>
      </c>
      <c r="H388" s="328" t="s">
        <v>132</v>
      </c>
      <c r="I388" s="328" t="s">
        <v>132</v>
      </c>
      <c r="J388" s="328" t="s">
        <v>132</v>
      </c>
      <c r="K388" s="328" t="s">
        <v>132</v>
      </c>
      <c r="L388" s="328" t="s">
        <v>132</v>
      </c>
      <c r="M388" s="328" t="s">
        <v>132</v>
      </c>
      <c r="N388" s="328" t="s">
        <v>132</v>
      </c>
      <c r="O388" s="328" t="s">
        <v>132</v>
      </c>
    </row>
    <row r="389" spans="4:15" outlineLevel="1">
      <c r="D389" s="328" t="s">
        <v>467</v>
      </c>
      <c r="E389" s="328" t="s">
        <v>132</v>
      </c>
      <c r="F389" s="328" t="s">
        <v>132</v>
      </c>
      <c r="G389" s="328" t="s">
        <v>132</v>
      </c>
      <c r="H389" s="328" t="s">
        <v>132</v>
      </c>
      <c r="I389" s="328" t="s">
        <v>132</v>
      </c>
      <c r="J389" s="328" t="s">
        <v>132</v>
      </c>
      <c r="K389" s="328" t="s">
        <v>132</v>
      </c>
      <c r="L389" s="328" t="s">
        <v>132</v>
      </c>
      <c r="M389" s="328" t="s">
        <v>132</v>
      </c>
      <c r="N389" s="328" t="s">
        <v>132</v>
      </c>
      <c r="O389" s="328" t="s">
        <v>132</v>
      </c>
    </row>
    <row r="390" spans="4:15" outlineLevel="1">
      <c r="D390" s="328" t="s">
        <v>468</v>
      </c>
      <c r="E390" s="328" t="s">
        <v>132</v>
      </c>
      <c r="F390" s="328" t="s">
        <v>132</v>
      </c>
      <c r="G390" s="328" t="s">
        <v>132</v>
      </c>
      <c r="H390" s="328" t="s">
        <v>132</v>
      </c>
      <c r="I390" s="328" t="s">
        <v>132</v>
      </c>
      <c r="J390" s="328" t="s">
        <v>132</v>
      </c>
      <c r="K390" s="328" t="s">
        <v>132</v>
      </c>
      <c r="L390" s="328" t="s">
        <v>132</v>
      </c>
      <c r="M390" s="328" t="s">
        <v>132</v>
      </c>
      <c r="N390" s="328" t="s">
        <v>132</v>
      </c>
      <c r="O390" s="328" t="s">
        <v>132</v>
      </c>
    </row>
    <row r="391" spans="4:15" outlineLevel="1">
      <c r="D391" s="328" t="s">
        <v>469</v>
      </c>
      <c r="E391" s="328" t="s">
        <v>132</v>
      </c>
      <c r="F391" s="328" t="s">
        <v>132</v>
      </c>
      <c r="G391" s="328" t="s">
        <v>132</v>
      </c>
      <c r="H391" s="328" t="s">
        <v>132</v>
      </c>
      <c r="I391" s="328" t="s">
        <v>132</v>
      </c>
      <c r="J391" s="328" t="s">
        <v>132</v>
      </c>
      <c r="K391" s="328" t="s">
        <v>132</v>
      </c>
      <c r="L391" s="328" t="s">
        <v>132</v>
      </c>
      <c r="M391" s="328" t="s">
        <v>132</v>
      </c>
      <c r="N391" s="328" t="s">
        <v>132</v>
      </c>
      <c r="O391" s="328" t="s">
        <v>132</v>
      </c>
    </row>
    <row r="392" spans="4:15" outlineLevel="1">
      <c r="D392" s="328" t="s">
        <v>470</v>
      </c>
      <c r="E392" s="328" t="s">
        <v>132</v>
      </c>
      <c r="F392" s="328" t="s">
        <v>132</v>
      </c>
      <c r="G392" s="328" t="s">
        <v>132</v>
      </c>
      <c r="H392" s="328" t="s">
        <v>132</v>
      </c>
      <c r="I392" s="328" t="s">
        <v>132</v>
      </c>
      <c r="J392" s="328" t="s">
        <v>132</v>
      </c>
      <c r="K392" s="328" t="s">
        <v>132</v>
      </c>
      <c r="L392" s="328" t="s">
        <v>132</v>
      </c>
      <c r="M392" s="328" t="s">
        <v>132</v>
      </c>
      <c r="N392" s="328" t="s">
        <v>132</v>
      </c>
      <c r="O392" s="328" t="s">
        <v>132</v>
      </c>
    </row>
    <row r="393" spans="4:15" outlineLevel="1">
      <c r="D393" s="328" t="s">
        <v>471</v>
      </c>
      <c r="E393" s="328" t="s">
        <v>132</v>
      </c>
      <c r="F393" s="328" t="s">
        <v>132</v>
      </c>
      <c r="G393" s="328" t="s">
        <v>132</v>
      </c>
      <c r="H393" s="328" t="s">
        <v>132</v>
      </c>
      <c r="I393" s="328" t="s">
        <v>132</v>
      </c>
      <c r="J393" s="328" t="s">
        <v>132</v>
      </c>
      <c r="K393" s="328" t="s">
        <v>132</v>
      </c>
      <c r="L393" s="328" t="s">
        <v>132</v>
      </c>
      <c r="M393" s="328" t="s">
        <v>132</v>
      </c>
      <c r="N393" s="328" t="s">
        <v>132</v>
      </c>
      <c r="O393" s="328" t="s">
        <v>132</v>
      </c>
    </row>
    <row r="394" spans="4:15" outlineLevel="1">
      <c r="D394" s="328" t="s">
        <v>472</v>
      </c>
      <c r="E394" s="328" t="s">
        <v>132</v>
      </c>
      <c r="F394" s="328" t="s">
        <v>132</v>
      </c>
      <c r="G394" s="328" t="s">
        <v>132</v>
      </c>
      <c r="H394" s="328" t="s">
        <v>132</v>
      </c>
      <c r="I394" s="328" t="s">
        <v>132</v>
      </c>
      <c r="J394" s="328" t="s">
        <v>132</v>
      </c>
      <c r="K394" s="328" t="s">
        <v>132</v>
      </c>
      <c r="L394" s="328" t="s">
        <v>132</v>
      </c>
      <c r="M394" s="328" t="s">
        <v>132</v>
      </c>
      <c r="N394" s="328" t="s">
        <v>132</v>
      </c>
      <c r="O394" s="328" t="s">
        <v>132</v>
      </c>
    </row>
    <row r="395" spans="4:15" outlineLevel="1">
      <c r="D395" s="328" t="s">
        <v>473</v>
      </c>
      <c r="E395" s="328" t="s">
        <v>132</v>
      </c>
      <c r="F395" s="328" t="s">
        <v>132</v>
      </c>
      <c r="G395" s="328" t="s">
        <v>132</v>
      </c>
      <c r="H395" s="328" t="s">
        <v>132</v>
      </c>
      <c r="I395" s="328" t="s">
        <v>132</v>
      </c>
      <c r="J395" s="328" t="s">
        <v>132</v>
      </c>
      <c r="K395" s="328" t="s">
        <v>132</v>
      </c>
      <c r="L395" s="328" t="s">
        <v>132</v>
      </c>
      <c r="M395" s="328" t="s">
        <v>132</v>
      </c>
      <c r="N395" s="328" t="s">
        <v>132</v>
      </c>
      <c r="O395" s="328" t="s">
        <v>132</v>
      </c>
    </row>
    <row r="396" spans="4:15" outlineLevel="1">
      <c r="D396" s="328" t="s">
        <v>474</v>
      </c>
      <c r="E396" s="328" t="s">
        <v>132</v>
      </c>
      <c r="F396" s="328" t="s">
        <v>132</v>
      </c>
      <c r="G396" s="328" t="s">
        <v>132</v>
      </c>
      <c r="H396" s="328" t="s">
        <v>132</v>
      </c>
      <c r="I396" s="328" t="s">
        <v>132</v>
      </c>
      <c r="J396" s="328" t="s">
        <v>132</v>
      </c>
      <c r="K396" s="328" t="s">
        <v>132</v>
      </c>
      <c r="L396" s="328" t="s">
        <v>132</v>
      </c>
      <c r="M396" s="328" t="s">
        <v>132</v>
      </c>
      <c r="N396" s="328" t="s">
        <v>132</v>
      </c>
      <c r="O396" s="328" t="s">
        <v>132</v>
      </c>
    </row>
    <row r="397" spans="4:15" outlineLevel="1">
      <c r="D397" s="328" t="s">
        <v>475</v>
      </c>
      <c r="E397" s="328" t="s">
        <v>132</v>
      </c>
      <c r="F397" s="328" t="s">
        <v>132</v>
      </c>
      <c r="G397" s="328" t="s">
        <v>132</v>
      </c>
      <c r="H397" s="328" t="s">
        <v>132</v>
      </c>
      <c r="I397" s="328" t="s">
        <v>132</v>
      </c>
      <c r="J397" s="328" t="s">
        <v>132</v>
      </c>
      <c r="K397" s="328" t="s">
        <v>132</v>
      </c>
      <c r="L397" s="328" t="s">
        <v>132</v>
      </c>
      <c r="M397" s="328" t="s">
        <v>132</v>
      </c>
      <c r="N397" s="328" t="s">
        <v>132</v>
      </c>
      <c r="O397" s="328" t="s">
        <v>132</v>
      </c>
    </row>
    <row r="398" spans="4:15" outlineLevel="1">
      <c r="D398" s="328" t="s">
        <v>476</v>
      </c>
      <c r="E398" s="328" t="s">
        <v>132</v>
      </c>
      <c r="F398" s="328" t="s">
        <v>132</v>
      </c>
      <c r="G398" s="328" t="s">
        <v>132</v>
      </c>
      <c r="H398" s="328" t="s">
        <v>132</v>
      </c>
      <c r="I398" s="328" t="s">
        <v>132</v>
      </c>
      <c r="J398" s="328" t="s">
        <v>132</v>
      </c>
      <c r="K398" s="328" t="s">
        <v>132</v>
      </c>
      <c r="L398" s="328" t="s">
        <v>132</v>
      </c>
      <c r="M398" s="328" t="s">
        <v>132</v>
      </c>
      <c r="N398" s="328" t="s">
        <v>132</v>
      </c>
      <c r="O398" s="328" t="s">
        <v>132</v>
      </c>
    </row>
    <row r="399" spans="4:15" outlineLevel="1">
      <c r="D399" s="328" t="s">
        <v>477</v>
      </c>
      <c r="E399" s="328" t="s">
        <v>132</v>
      </c>
      <c r="F399" s="328" t="s">
        <v>132</v>
      </c>
      <c r="G399" s="328" t="s">
        <v>132</v>
      </c>
      <c r="H399" s="328" t="s">
        <v>132</v>
      </c>
      <c r="I399" s="328" t="s">
        <v>132</v>
      </c>
      <c r="J399" s="328" t="s">
        <v>132</v>
      </c>
      <c r="K399" s="328" t="s">
        <v>132</v>
      </c>
      <c r="L399" s="328" t="s">
        <v>132</v>
      </c>
      <c r="M399" s="328" t="s">
        <v>132</v>
      </c>
      <c r="N399" s="328" t="s">
        <v>132</v>
      </c>
      <c r="O399" s="328" t="s">
        <v>132</v>
      </c>
    </row>
    <row r="400" spans="4:15" outlineLevel="1">
      <c r="D400" s="328" t="s">
        <v>478</v>
      </c>
      <c r="E400" s="328" t="s">
        <v>132</v>
      </c>
      <c r="F400" s="328" t="s">
        <v>132</v>
      </c>
      <c r="G400" s="328" t="s">
        <v>132</v>
      </c>
      <c r="H400" s="328" t="s">
        <v>132</v>
      </c>
      <c r="I400" s="328" t="s">
        <v>132</v>
      </c>
      <c r="J400" s="328" t="s">
        <v>132</v>
      </c>
      <c r="K400" s="328" t="s">
        <v>132</v>
      </c>
      <c r="L400" s="328" t="s">
        <v>132</v>
      </c>
      <c r="M400" s="328" t="s">
        <v>132</v>
      </c>
      <c r="N400" s="328" t="s">
        <v>132</v>
      </c>
      <c r="O400" s="328" t="s">
        <v>132</v>
      </c>
    </row>
    <row r="405" spans="2:95" s="36" customFormat="1" ht="18">
      <c r="D405" s="345" t="s">
        <v>643</v>
      </c>
      <c r="Q405" s="345"/>
      <c r="AD405" s="345"/>
      <c r="AQ405" s="345"/>
      <c r="BD405" s="345"/>
      <c r="BQ405" s="345"/>
    </row>
    <row r="406" spans="2:95">
      <c r="D406" s="299" t="s">
        <v>644</v>
      </c>
    </row>
    <row r="407" spans="2:95">
      <c r="D407" s="353" t="s">
        <v>645</v>
      </c>
      <c r="Q407" s="353" t="s">
        <v>645</v>
      </c>
      <c r="AD407" s="353" t="s">
        <v>645</v>
      </c>
      <c r="AQ407" s="353" t="s">
        <v>645</v>
      </c>
      <c r="BD407" s="353" t="s">
        <v>645</v>
      </c>
      <c r="BQ407" s="353" t="s">
        <v>645</v>
      </c>
    </row>
    <row r="408" spans="2:95">
      <c r="D408" s="328" t="s">
        <v>646</v>
      </c>
      <c r="Q408" s="87" t="s">
        <v>647</v>
      </c>
      <c r="AD408" s="87" t="s">
        <v>647</v>
      </c>
      <c r="AQ408" s="87" t="s">
        <v>647</v>
      </c>
      <c r="BD408" s="87" t="s">
        <v>647</v>
      </c>
      <c r="BQ408" s="87" t="s">
        <v>647</v>
      </c>
    </row>
    <row r="410" spans="2:95">
      <c r="E410" s="338">
        <v>2009</v>
      </c>
      <c r="F410" s="338">
        <v>2010</v>
      </c>
      <c r="G410" s="338">
        <v>2011</v>
      </c>
      <c r="H410" s="338">
        <v>2012</v>
      </c>
      <c r="I410" s="338">
        <v>2013</v>
      </c>
      <c r="J410" s="338">
        <v>2014</v>
      </c>
      <c r="K410" s="338">
        <v>2015</v>
      </c>
      <c r="L410" s="338">
        <v>2016</v>
      </c>
      <c r="M410" s="338">
        <v>2017</v>
      </c>
      <c r="N410" s="338">
        <v>2018</v>
      </c>
      <c r="O410" s="338">
        <v>2019</v>
      </c>
      <c r="R410" s="338">
        <v>2009</v>
      </c>
      <c r="S410" s="338">
        <v>2010</v>
      </c>
      <c r="T410" s="338">
        <v>2011</v>
      </c>
      <c r="U410" s="338">
        <v>2012</v>
      </c>
      <c r="V410" s="338">
        <v>2013</v>
      </c>
      <c r="W410" s="338">
        <v>2014</v>
      </c>
      <c r="X410" s="338">
        <v>2015</v>
      </c>
      <c r="Y410" s="338">
        <v>2016</v>
      </c>
      <c r="Z410" s="338">
        <v>2017</v>
      </c>
      <c r="AA410" s="338">
        <v>2018</v>
      </c>
      <c r="AB410" s="338">
        <v>2019</v>
      </c>
      <c r="AE410" s="338">
        <v>2009</v>
      </c>
      <c r="AF410" s="338">
        <v>2010</v>
      </c>
      <c r="AG410" s="338">
        <v>2011</v>
      </c>
      <c r="AH410" s="338">
        <v>2012</v>
      </c>
      <c r="AI410" s="338">
        <v>2013</v>
      </c>
      <c r="AJ410" s="338">
        <v>2014</v>
      </c>
      <c r="AK410" s="338">
        <v>2015</v>
      </c>
      <c r="AL410" s="338">
        <v>2016</v>
      </c>
      <c r="AM410" s="338">
        <v>2017</v>
      </c>
      <c r="AN410" s="338">
        <v>2018</v>
      </c>
      <c r="AO410" s="338">
        <v>2019</v>
      </c>
      <c r="AR410" s="338">
        <v>2009</v>
      </c>
      <c r="AS410" s="338">
        <v>2010</v>
      </c>
      <c r="AT410" s="338">
        <v>2011</v>
      </c>
      <c r="AU410" s="338">
        <v>2012</v>
      </c>
      <c r="AV410" s="338">
        <v>2013</v>
      </c>
      <c r="AW410" s="338">
        <v>2014</v>
      </c>
      <c r="AX410" s="338">
        <v>2015</v>
      </c>
      <c r="AY410" s="338">
        <v>2016</v>
      </c>
      <c r="AZ410" s="338">
        <v>2017</v>
      </c>
      <c r="BA410" s="338">
        <v>2018</v>
      </c>
      <c r="BB410" s="338">
        <v>2019</v>
      </c>
      <c r="BE410" s="338">
        <v>2009</v>
      </c>
      <c r="BF410" s="338">
        <v>2010</v>
      </c>
      <c r="BG410" s="338">
        <v>2011</v>
      </c>
      <c r="BH410" s="338">
        <v>2012</v>
      </c>
      <c r="BI410" s="338">
        <v>2013</v>
      </c>
      <c r="BJ410" s="338">
        <v>2014</v>
      </c>
      <c r="BK410" s="338">
        <v>2015</v>
      </c>
      <c r="BL410" s="338">
        <v>2016</v>
      </c>
      <c r="BM410" s="338">
        <v>2017</v>
      </c>
      <c r="BN410" s="338">
        <v>2018</v>
      </c>
      <c r="BO410" s="338">
        <v>2019</v>
      </c>
      <c r="BR410" s="338">
        <v>2009</v>
      </c>
      <c r="BS410" s="338">
        <v>2010</v>
      </c>
      <c r="BT410" s="338">
        <v>2011</v>
      </c>
      <c r="BU410" s="338">
        <v>2012</v>
      </c>
      <c r="BV410" s="338">
        <v>2013</v>
      </c>
      <c r="BW410" s="338">
        <v>2014</v>
      </c>
      <c r="BX410" s="338">
        <v>2015</v>
      </c>
      <c r="BY410" s="338">
        <v>2016</v>
      </c>
      <c r="BZ410" s="338">
        <v>2017</v>
      </c>
      <c r="CA410" s="338">
        <v>2018</v>
      </c>
      <c r="CB410" s="338">
        <v>2019</v>
      </c>
    </row>
    <row r="411" spans="2:95">
      <c r="B411" s="311"/>
      <c r="C411" s="311"/>
      <c r="D411" s="354" t="s">
        <v>259</v>
      </c>
      <c r="E411" s="87"/>
      <c r="F411" s="87"/>
      <c r="G411" s="87"/>
      <c r="H411" s="87"/>
      <c r="I411" s="352"/>
      <c r="J411" s="87"/>
      <c r="K411" s="87"/>
      <c r="L411" s="87"/>
      <c r="M411" s="87"/>
      <c r="N411" s="87"/>
      <c r="O411" s="87"/>
      <c r="P411" s="311"/>
      <c r="Q411" s="354" t="s">
        <v>259</v>
      </c>
      <c r="R411" s="87"/>
      <c r="S411" s="87"/>
      <c r="T411" s="87"/>
      <c r="U411" s="87"/>
      <c r="V411" s="87"/>
      <c r="W411" s="87"/>
      <c r="X411" s="87"/>
      <c r="Y411" s="87"/>
      <c r="Z411" s="87"/>
      <c r="AA411" s="87"/>
      <c r="AB411" s="87"/>
      <c r="AC411" s="311"/>
      <c r="AD411" s="354" t="s">
        <v>259</v>
      </c>
      <c r="AE411" s="87"/>
      <c r="AF411" s="87"/>
      <c r="AG411" s="87"/>
      <c r="AH411" s="87"/>
      <c r="AI411" s="87"/>
      <c r="AJ411" s="87"/>
      <c r="AK411" s="87"/>
      <c r="AL411" s="87"/>
      <c r="AM411" s="87"/>
      <c r="AN411" s="87"/>
      <c r="AO411" s="87"/>
      <c r="AP411" s="311"/>
      <c r="AQ411" s="354" t="s">
        <v>259</v>
      </c>
      <c r="AR411" s="87"/>
      <c r="AS411" s="87"/>
      <c r="AT411" s="87"/>
      <c r="AU411" s="87"/>
      <c r="AV411" s="87"/>
      <c r="AW411" s="87"/>
      <c r="AX411" s="87"/>
      <c r="AY411" s="87"/>
      <c r="AZ411" s="87"/>
      <c r="BA411" s="87"/>
      <c r="BB411" s="87"/>
      <c r="BC411" s="311"/>
      <c r="BD411" s="354" t="s">
        <v>259</v>
      </c>
      <c r="BE411" s="87"/>
      <c r="BF411" s="87"/>
      <c r="BG411" s="87"/>
      <c r="BH411" s="87"/>
      <c r="BI411" s="87"/>
      <c r="BJ411" s="87"/>
      <c r="BK411" s="87"/>
      <c r="BL411" s="87"/>
      <c r="BM411" s="87"/>
      <c r="BN411" s="87"/>
      <c r="BO411" s="87"/>
      <c r="BP411" s="311"/>
      <c r="BQ411" s="354" t="s">
        <v>259</v>
      </c>
      <c r="BR411" s="87"/>
      <c r="BS411" s="87"/>
      <c r="BT411" s="87"/>
      <c r="BU411" s="87"/>
      <c r="BV411" s="87"/>
      <c r="BW411" s="87"/>
      <c r="BX411" s="87"/>
      <c r="BY411" s="87"/>
      <c r="BZ411" s="87"/>
      <c r="CA411" s="87"/>
      <c r="CB411" s="87"/>
      <c r="CC411" s="311"/>
      <c r="CD411" s="311"/>
      <c r="CE411" s="311"/>
      <c r="CF411" s="311"/>
      <c r="CG411" s="311"/>
      <c r="CH411" s="311"/>
      <c r="CI411" s="311"/>
      <c r="CJ411" s="311"/>
      <c r="CK411" s="311"/>
      <c r="CL411" s="311"/>
      <c r="CM411" s="311"/>
      <c r="CN411" s="311"/>
      <c r="CO411" s="311"/>
      <c r="CP411" s="311"/>
      <c r="CQ411" s="311"/>
    </row>
    <row r="412" spans="2:95">
      <c r="D412" s="355" t="s">
        <v>648</v>
      </c>
      <c r="E412" s="87"/>
      <c r="F412" s="87"/>
      <c r="G412" s="87"/>
      <c r="H412" s="87"/>
      <c r="I412" s="481">
        <v>4035.6</v>
      </c>
      <c r="J412" s="87"/>
      <c r="K412" s="87"/>
      <c r="L412" s="87"/>
      <c r="M412" s="87"/>
      <c r="N412" s="87"/>
      <c r="O412" s="87"/>
      <c r="Q412" s="355" t="s">
        <v>649</v>
      </c>
      <c r="R412" s="87"/>
      <c r="S412" s="87"/>
      <c r="T412" s="87"/>
      <c r="U412" s="87"/>
      <c r="V412" s="87"/>
      <c r="W412" s="87"/>
      <c r="X412" s="87"/>
      <c r="Y412" s="87"/>
      <c r="Z412" s="87"/>
      <c r="AA412" s="87"/>
      <c r="AB412" s="87"/>
      <c r="AD412" s="355" t="s">
        <v>649</v>
      </c>
      <c r="AE412" s="87"/>
      <c r="AF412" s="87"/>
      <c r="AG412" s="87"/>
      <c r="AH412" s="87"/>
      <c r="AI412" s="87"/>
      <c r="AJ412" s="87"/>
      <c r="AK412" s="87"/>
      <c r="AL412" s="87"/>
      <c r="AM412" s="87"/>
      <c r="AN412" s="87"/>
      <c r="AO412" s="87"/>
      <c r="AQ412" s="355" t="s">
        <v>649</v>
      </c>
      <c r="AR412" s="87"/>
      <c r="AS412" s="87"/>
      <c r="AT412" s="87"/>
      <c r="AU412" s="87"/>
      <c r="AV412" s="87"/>
      <c r="AW412" s="87"/>
      <c r="AX412" s="87"/>
      <c r="AY412" s="87"/>
      <c r="AZ412" s="87"/>
      <c r="BA412" s="87"/>
      <c r="BB412" s="87"/>
      <c r="BD412" s="355" t="s">
        <v>649</v>
      </c>
      <c r="BE412" s="87"/>
      <c r="BF412" s="87"/>
      <c r="BG412" s="87"/>
      <c r="BH412" s="87"/>
      <c r="BI412" s="87"/>
      <c r="BJ412" s="87"/>
      <c r="BK412" s="87"/>
      <c r="BL412" s="87"/>
      <c r="BM412" s="87"/>
      <c r="BN412" s="87"/>
      <c r="BO412" s="87"/>
      <c r="BQ412" s="355" t="s">
        <v>649</v>
      </c>
      <c r="BR412" s="87"/>
      <c r="BS412" s="87"/>
      <c r="BT412" s="87"/>
      <c r="BU412" s="87"/>
      <c r="BV412" s="87"/>
      <c r="BW412" s="87"/>
      <c r="BX412" s="87"/>
      <c r="BY412" s="87"/>
      <c r="BZ412" s="87"/>
      <c r="CA412" s="87"/>
      <c r="CB412" s="87"/>
    </row>
    <row r="413" spans="2:95">
      <c r="D413" s="355" t="s">
        <v>650</v>
      </c>
      <c r="E413" s="87"/>
      <c r="F413" s="87"/>
      <c r="G413" s="87"/>
      <c r="H413" s="87"/>
      <c r="I413" s="481">
        <v>2495.04</v>
      </c>
      <c r="J413" s="87"/>
      <c r="K413" s="87"/>
      <c r="L413" s="87"/>
      <c r="M413" s="87"/>
      <c r="N413" s="87"/>
      <c r="O413" s="87"/>
      <c r="Q413" s="355" t="s">
        <v>649</v>
      </c>
      <c r="R413" s="87"/>
      <c r="S413" s="87"/>
      <c r="T413" s="87"/>
      <c r="U413" s="87"/>
      <c r="V413" s="87"/>
      <c r="W413" s="87"/>
      <c r="X413" s="87"/>
      <c r="Y413" s="87"/>
      <c r="Z413" s="87"/>
      <c r="AA413" s="87"/>
      <c r="AB413" s="87"/>
      <c r="AD413" s="355" t="s">
        <v>649</v>
      </c>
      <c r="AE413" s="87"/>
      <c r="AF413" s="87"/>
      <c r="AG413" s="87"/>
      <c r="AH413" s="87"/>
      <c r="AI413" s="87"/>
      <c r="AJ413" s="87"/>
      <c r="AK413" s="87"/>
      <c r="AL413" s="87"/>
      <c r="AM413" s="87"/>
      <c r="AN413" s="87"/>
      <c r="AO413" s="87"/>
      <c r="AQ413" s="355" t="s">
        <v>649</v>
      </c>
      <c r="AR413" s="87"/>
      <c r="AS413" s="87"/>
      <c r="AT413" s="87"/>
      <c r="AU413" s="87"/>
      <c r="AV413" s="87"/>
      <c r="AW413" s="87"/>
      <c r="AX413" s="87"/>
      <c r="AY413" s="87"/>
      <c r="AZ413" s="87"/>
      <c r="BA413" s="87"/>
      <c r="BB413" s="87"/>
      <c r="BD413" s="355" t="s">
        <v>649</v>
      </c>
      <c r="BE413" s="87"/>
      <c r="BF413" s="87"/>
      <c r="BG413" s="87"/>
      <c r="BH413" s="87"/>
      <c r="BI413" s="87"/>
      <c r="BJ413" s="87"/>
      <c r="BK413" s="87"/>
      <c r="BL413" s="87"/>
      <c r="BM413" s="87"/>
      <c r="BN413" s="87"/>
      <c r="BO413" s="87"/>
      <c r="BQ413" s="355" t="s">
        <v>649</v>
      </c>
      <c r="BR413" s="87"/>
      <c r="BS413" s="87"/>
      <c r="BT413" s="87"/>
      <c r="BU413" s="87"/>
      <c r="BV413" s="87"/>
      <c r="BW413" s="87"/>
      <c r="BX413" s="87"/>
      <c r="BY413" s="87"/>
      <c r="BZ413" s="87"/>
      <c r="CA413" s="87"/>
      <c r="CB413" s="87"/>
    </row>
    <row r="414" spans="2:95">
      <c r="B414" s="311"/>
      <c r="C414" s="311"/>
      <c r="D414" s="355" t="s">
        <v>651</v>
      </c>
      <c r="E414" s="87"/>
      <c r="F414" s="87"/>
      <c r="G414" s="87"/>
      <c r="H414" s="87"/>
      <c r="I414" s="352"/>
      <c r="J414" s="87"/>
      <c r="K414" s="87"/>
      <c r="L414" s="87"/>
      <c r="M414" s="87"/>
      <c r="N414" s="87"/>
      <c r="O414" s="87"/>
      <c r="P414" s="311"/>
      <c r="Q414" s="354" t="s">
        <v>651</v>
      </c>
      <c r="R414" s="87"/>
      <c r="S414" s="87"/>
      <c r="T414" s="87"/>
      <c r="U414" s="87"/>
      <c r="V414" s="87"/>
      <c r="W414" s="87"/>
      <c r="X414" s="87"/>
      <c r="Y414" s="87"/>
      <c r="Z414" s="87"/>
      <c r="AA414" s="87"/>
      <c r="AB414" s="87"/>
      <c r="AC414" s="311"/>
      <c r="AD414" s="354" t="s">
        <v>651</v>
      </c>
      <c r="AE414" s="87"/>
      <c r="AF414" s="87"/>
      <c r="AG414" s="87"/>
      <c r="AH414" s="87"/>
      <c r="AI414" s="87"/>
      <c r="AJ414" s="87"/>
      <c r="AK414" s="87"/>
      <c r="AL414" s="87"/>
      <c r="AM414" s="87"/>
      <c r="AN414" s="87"/>
      <c r="AO414" s="87"/>
      <c r="AP414" s="311"/>
      <c r="AQ414" s="354" t="s">
        <v>651</v>
      </c>
      <c r="AR414" s="87"/>
      <c r="AS414" s="87"/>
      <c r="AT414" s="87"/>
      <c r="AU414" s="87"/>
      <c r="AV414" s="87"/>
      <c r="AW414" s="87"/>
      <c r="AX414" s="87"/>
      <c r="AY414" s="87"/>
      <c r="AZ414" s="87"/>
      <c r="BA414" s="87"/>
      <c r="BB414" s="87"/>
      <c r="BC414" s="311"/>
      <c r="BD414" s="354" t="s">
        <v>651</v>
      </c>
      <c r="BE414" s="87"/>
      <c r="BF414" s="87"/>
      <c r="BG414" s="87"/>
      <c r="BH414" s="87"/>
      <c r="BI414" s="87"/>
      <c r="BJ414" s="87"/>
      <c r="BK414" s="87"/>
      <c r="BL414" s="87"/>
      <c r="BM414" s="87"/>
      <c r="BN414" s="87"/>
      <c r="BO414" s="87"/>
      <c r="BP414" s="311"/>
      <c r="BQ414" s="354" t="s">
        <v>651</v>
      </c>
      <c r="BR414" s="87"/>
      <c r="BS414" s="87"/>
      <c r="BT414" s="87"/>
      <c r="BU414" s="87"/>
      <c r="BV414" s="87"/>
      <c r="BW414" s="87"/>
      <c r="BX414" s="87"/>
      <c r="BY414" s="87"/>
      <c r="BZ414" s="87"/>
      <c r="CA414" s="87"/>
      <c r="CB414" s="87"/>
      <c r="CC414" s="311"/>
      <c r="CD414" s="311"/>
      <c r="CE414" s="311"/>
      <c r="CF414" s="311"/>
      <c r="CG414" s="311"/>
      <c r="CH414" s="311"/>
      <c r="CI414" s="311"/>
      <c r="CJ414" s="311"/>
      <c r="CK414" s="311"/>
      <c r="CL414" s="311"/>
      <c r="CM414" s="311"/>
      <c r="CN414" s="311"/>
      <c r="CO414" s="311"/>
      <c r="CP414" s="311"/>
      <c r="CQ414" s="311"/>
    </row>
    <row r="415" spans="2:95">
      <c r="B415" s="311"/>
      <c r="C415" s="311"/>
      <c r="D415" s="355" t="s">
        <v>652</v>
      </c>
      <c r="E415" s="87"/>
      <c r="F415" s="87"/>
      <c r="G415" s="87"/>
      <c r="H415" s="87"/>
      <c r="I415" s="481">
        <v>1673.43</v>
      </c>
      <c r="J415" s="87"/>
      <c r="K415" s="87"/>
      <c r="L415" s="87"/>
      <c r="M415" s="87"/>
      <c r="N415" s="87"/>
      <c r="O415" s="87"/>
      <c r="P415" s="311"/>
      <c r="Q415" s="355" t="s">
        <v>649</v>
      </c>
      <c r="R415" s="87"/>
      <c r="S415" s="87"/>
      <c r="T415" s="87"/>
      <c r="U415" s="87"/>
      <c r="V415" s="87"/>
      <c r="W415" s="87"/>
      <c r="X415" s="87"/>
      <c r="Y415" s="87"/>
      <c r="Z415" s="87"/>
      <c r="AA415" s="87"/>
      <c r="AB415" s="87"/>
      <c r="AC415" s="311"/>
      <c r="AD415" s="355" t="s">
        <v>649</v>
      </c>
      <c r="AE415" s="87"/>
      <c r="AF415" s="87"/>
      <c r="AG415" s="87"/>
      <c r="AH415" s="87"/>
      <c r="AI415" s="87"/>
      <c r="AJ415" s="87"/>
      <c r="AK415" s="87"/>
      <c r="AL415" s="87"/>
      <c r="AM415" s="87"/>
      <c r="AN415" s="87"/>
      <c r="AO415" s="87"/>
      <c r="AP415" s="311"/>
      <c r="AQ415" s="355" t="s">
        <v>649</v>
      </c>
      <c r="AR415" s="87"/>
      <c r="AS415" s="87"/>
      <c r="AT415" s="87"/>
      <c r="AU415" s="87"/>
      <c r="AV415" s="87"/>
      <c r="AW415" s="87"/>
      <c r="AX415" s="87"/>
      <c r="AY415" s="87"/>
      <c r="AZ415" s="87"/>
      <c r="BA415" s="87"/>
      <c r="BB415" s="87"/>
      <c r="BC415" s="311"/>
      <c r="BD415" s="355" t="s">
        <v>649</v>
      </c>
      <c r="BE415" s="87"/>
      <c r="BF415" s="87"/>
      <c r="BG415" s="87"/>
      <c r="BH415" s="87"/>
      <c r="BI415" s="87"/>
      <c r="BJ415" s="87"/>
      <c r="BK415" s="87"/>
      <c r="BL415" s="87"/>
      <c r="BM415" s="87"/>
      <c r="BN415" s="87"/>
      <c r="BO415" s="87"/>
      <c r="BP415" s="311"/>
      <c r="BQ415" s="355" t="s">
        <v>649</v>
      </c>
      <c r="BR415" s="87"/>
      <c r="BS415" s="87"/>
      <c r="BT415" s="87"/>
      <c r="BU415" s="87"/>
      <c r="BV415" s="87"/>
      <c r="BW415" s="87"/>
      <c r="BX415" s="87"/>
      <c r="BY415" s="87"/>
      <c r="BZ415" s="87"/>
      <c r="CA415" s="87"/>
      <c r="CB415" s="87"/>
      <c r="CC415" s="311"/>
      <c r="CD415" s="311"/>
      <c r="CE415" s="311"/>
      <c r="CF415" s="311"/>
      <c r="CG415" s="311"/>
      <c r="CH415" s="311"/>
      <c r="CI415" s="311"/>
      <c r="CJ415" s="311"/>
      <c r="CK415" s="311"/>
      <c r="CL415" s="311"/>
      <c r="CM415" s="311"/>
      <c r="CN415" s="311"/>
      <c r="CO415" s="311"/>
      <c r="CP415" s="311"/>
      <c r="CQ415" s="311"/>
    </row>
    <row r="416" spans="2:95">
      <c r="D416" s="87"/>
      <c r="E416" s="87"/>
      <c r="F416" s="87"/>
      <c r="G416" s="87"/>
      <c r="H416" s="87"/>
      <c r="I416" s="87"/>
      <c r="J416" s="87"/>
      <c r="K416" s="87"/>
      <c r="L416" s="87"/>
      <c r="M416" s="87"/>
      <c r="N416" s="87"/>
      <c r="O416" s="87"/>
      <c r="Q416" s="355" t="s">
        <v>649</v>
      </c>
      <c r="R416" s="87"/>
      <c r="S416" s="87"/>
      <c r="T416" s="87"/>
      <c r="U416" s="87"/>
      <c r="V416" s="87"/>
      <c r="W416" s="87"/>
      <c r="X416" s="87"/>
      <c r="Y416" s="87"/>
      <c r="Z416" s="87"/>
      <c r="AA416" s="87"/>
      <c r="AB416" s="87"/>
      <c r="AD416" s="355" t="s">
        <v>649</v>
      </c>
      <c r="AE416" s="87"/>
      <c r="AF416" s="87"/>
      <c r="AG416" s="87"/>
      <c r="AH416" s="87"/>
      <c r="AI416" s="87"/>
      <c r="AJ416" s="87"/>
      <c r="AK416" s="87"/>
      <c r="AL416" s="87"/>
      <c r="AM416" s="87"/>
      <c r="AN416" s="87"/>
      <c r="AO416" s="87"/>
      <c r="AQ416" s="355" t="s">
        <v>649</v>
      </c>
      <c r="AR416" s="87"/>
      <c r="AS416" s="87"/>
      <c r="AT416" s="87"/>
      <c r="AU416" s="87"/>
      <c r="AV416" s="87"/>
      <c r="AW416" s="87"/>
      <c r="AX416" s="87"/>
      <c r="AY416" s="87"/>
      <c r="AZ416" s="87"/>
      <c r="BA416" s="87"/>
      <c r="BB416" s="87"/>
      <c r="BD416" s="355" t="s">
        <v>649</v>
      </c>
      <c r="BE416" s="87"/>
      <c r="BF416" s="87"/>
      <c r="BG416" s="87"/>
      <c r="BH416" s="87"/>
      <c r="BI416" s="87"/>
      <c r="BJ416" s="87"/>
      <c r="BK416" s="87"/>
      <c r="BL416" s="87"/>
      <c r="BM416" s="87"/>
      <c r="BN416" s="87"/>
      <c r="BO416" s="87"/>
      <c r="BQ416" s="355" t="s">
        <v>649</v>
      </c>
      <c r="BR416" s="87"/>
      <c r="BS416" s="87"/>
      <c r="BT416" s="87"/>
      <c r="BU416" s="87"/>
      <c r="BV416" s="87"/>
      <c r="BW416" s="87"/>
      <c r="BX416" s="87"/>
      <c r="BY416" s="87"/>
      <c r="BZ416" s="87"/>
      <c r="CA416" s="87"/>
      <c r="CB416" s="87"/>
    </row>
    <row r="417" spans="2:95">
      <c r="B417" s="356"/>
      <c r="C417" s="356"/>
      <c r="D417" s="354" t="s">
        <v>653</v>
      </c>
      <c r="E417" s="299">
        <f>SUM(E411:E416)</f>
        <v>0</v>
      </c>
      <c r="F417" s="299">
        <f t="shared" ref="F417:O417" si="0">SUM(F411:F416)</f>
        <v>0</v>
      </c>
      <c r="G417" s="299">
        <f t="shared" si="0"/>
        <v>0</v>
      </c>
      <c r="H417" s="299">
        <f t="shared" si="0"/>
        <v>0</v>
      </c>
      <c r="I417" s="357">
        <f>SUM(I411:I416)</f>
        <v>8204.07</v>
      </c>
      <c r="J417" s="358">
        <f t="shared" si="0"/>
        <v>0</v>
      </c>
      <c r="K417" s="358">
        <f t="shared" si="0"/>
        <v>0</v>
      </c>
      <c r="L417" s="358">
        <f t="shared" si="0"/>
        <v>0</v>
      </c>
      <c r="M417" s="358">
        <f t="shared" si="0"/>
        <v>0</v>
      </c>
      <c r="N417" s="358">
        <f t="shared" si="0"/>
        <v>0</v>
      </c>
      <c r="O417" s="358">
        <f t="shared" si="0"/>
        <v>0</v>
      </c>
      <c r="P417" s="356"/>
      <c r="Q417" s="354" t="s">
        <v>653</v>
      </c>
      <c r="R417" s="358">
        <f>SUM(R411:R416)</f>
        <v>0</v>
      </c>
      <c r="S417" s="358">
        <f t="shared" ref="S417:AB417" si="1">SUM(S411:S416)</f>
        <v>0</v>
      </c>
      <c r="T417" s="358">
        <f t="shared" si="1"/>
        <v>0</v>
      </c>
      <c r="U417" s="358">
        <f t="shared" si="1"/>
        <v>0</v>
      </c>
      <c r="V417" s="358">
        <f t="shared" si="1"/>
        <v>0</v>
      </c>
      <c r="W417" s="358">
        <f t="shared" si="1"/>
        <v>0</v>
      </c>
      <c r="X417" s="358">
        <f t="shared" si="1"/>
        <v>0</v>
      </c>
      <c r="Y417" s="358">
        <f t="shared" si="1"/>
        <v>0</v>
      </c>
      <c r="Z417" s="358">
        <f t="shared" si="1"/>
        <v>0</v>
      </c>
      <c r="AA417" s="358">
        <f t="shared" si="1"/>
        <v>0</v>
      </c>
      <c r="AB417" s="358">
        <f t="shared" si="1"/>
        <v>0</v>
      </c>
      <c r="AC417" s="356"/>
      <c r="AD417" s="354" t="s">
        <v>653</v>
      </c>
      <c r="AE417" s="358">
        <f>SUM(AE411:AE416)</f>
        <v>0</v>
      </c>
      <c r="AF417" s="358">
        <f t="shared" ref="AF417:AO417" si="2">SUM(AF411:AF416)</f>
        <v>0</v>
      </c>
      <c r="AG417" s="358">
        <f t="shared" si="2"/>
        <v>0</v>
      </c>
      <c r="AH417" s="358">
        <f t="shared" si="2"/>
        <v>0</v>
      </c>
      <c r="AI417" s="358">
        <f t="shared" si="2"/>
        <v>0</v>
      </c>
      <c r="AJ417" s="358">
        <f t="shared" si="2"/>
        <v>0</v>
      </c>
      <c r="AK417" s="358">
        <f t="shared" si="2"/>
        <v>0</v>
      </c>
      <c r="AL417" s="358">
        <f t="shared" si="2"/>
        <v>0</v>
      </c>
      <c r="AM417" s="358">
        <f t="shared" si="2"/>
        <v>0</v>
      </c>
      <c r="AN417" s="358">
        <f t="shared" si="2"/>
        <v>0</v>
      </c>
      <c r="AO417" s="358">
        <f t="shared" si="2"/>
        <v>0</v>
      </c>
      <c r="AP417" s="356"/>
      <c r="AQ417" s="354" t="s">
        <v>653</v>
      </c>
      <c r="AR417" s="358">
        <f>SUM(AR411:AR416)</f>
        <v>0</v>
      </c>
      <c r="AS417" s="358">
        <f t="shared" ref="AS417:BB417" si="3">SUM(AS411:AS416)</f>
        <v>0</v>
      </c>
      <c r="AT417" s="358">
        <f t="shared" si="3"/>
        <v>0</v>
      </c>
      <c r="AU417" s="358">
        <f t="shared" si="3"/>
        <v>0</v>
      </c>
      <c r="AV417" s="358">
        <f t="shared" si="3"/>
        <v>0</v>
      </c>
      <c r="AW417" s="358">
        <f t="shared" si="3"/>
        <v>0</v>
      </c>
      <c r="AX417" s="358">
        <f t="shared" si="3"/>
        <v>0</v>
      </c>
      <c r="AY417" s="358">
        <f t="shared" si="3"/>
        <v>0</v>
      </c>
      <c r="AZ417" s="358">
        <f t="shared" si="3"/>
        <v>0</v>
      </c>
      <c r="BA417" s="358">
        <f t="shared" si="3"/>
        <v>0</v>
      </c>
      <c r="BB417" s="358">
        <f t="shared" si="3"/>
        <v>0</v>
      </c>
      <c r="BC417" s="356"/>
      <c r="BD417" s="354" t="s">
        <v>653</v>
      </c>
      <c r="BE417" s="358">
        <f>SUM(BE411:BE416)</f>
        <v>0</v>
      </c>
      <c r="BF417" s="358">
        <f t="shared" ref="BF417:BO417" si="4">SUM(BF411:BF416)</f>
        <v>0</v>
      </c>
      <c r="BG417" s="358">
        <f t="shared" si="4"/>
        <v>0</v>
      </c>
      <c r="BH417" s="358">
        <f t="shared" si="4"/>
        <v>0</v>
      </c>
      <c r="BI417" s="358">
        <f t="shared" si="4"/>
        <v>0</v>
      </c>
      <c r="BJ417" s="358">
        <f t="shared" si="4"/>
        <v>0</v>
      </c>
      <c r="BK417" s="358">
        <f t="shared" si="4"/>
        <v>0</v>
      </c>
      <c r="BL417" s="358">
        <f t="shared" si="4"/>
        <v>0</v>
      </c>
      <c r="BM417" s="358">
        <f t="shared" si="4"/>
        <v>0</v>
      </c>
      <c r="BN417" s="358">
        <f t="shared" si="4"/>
        <v>0</v>
      </c>
      <c r="BO417" s="358">
        <f t="shared" si="4"/>
        <v>0</v>
      </c>
      <c r="BP417" s="356"/>
      <c r="BQ417" s="354" t="s">
        <v>653</v>
      </c>
      <c r="BR417" s="358">
        <f>SUM(BR411:BR416)</f>
        <v>0</v>
      </c>
      <c r="BS417" s="358">
        <f t="shared" ref="BS417:CB417" si="5">SUM(BS411:BS416)</f>
        <v>0</v>
      </c>
      <c r="BT417" s="358">
        <f t="shared" si="5"/>
        <v>0</v>
      </c>
      <c r="BU417" s="358">
        <f t="shared" si="5"/>
        <v>0</v>
      </c>
      <c r="BV417" s="358">
        <f t="shared" si="5"/>
        <v>0</v>
      </c>
      <c r="BW417" s="358">
        <f t="shared" si="5"/>
        <v>0</v>
      </c>
      <c r="BX417" s="358">
        <f t="shared" si="5"/>
        <v>0</v>
      </c>
      <c r="BY417" s="358">
        <f t="shared" si="5"/>
        <v>0</v>
      </c>
      <c r="BZ417" s="358">
        <f t="shared" si="5"/>
        <v>0</v>
      </c>
      <c r="CA417" s="358">
        <f t="shared" si="5"/>
        <v>0</v>
      </c>
      <c r="CB417" s="358">
        <f t="shared" si="5"/>
        <v>0</v>
      </c>
      <c r="CC417" s="356"/>
      <c r="CD417" s="356"/>
      <c r="CE417" s="356"/>
      <c r="CF417" s="356"/>
      <c r="CG417" s="356"/>
      <c r="CH417" s="356"/>
      <c r="CI417" s="356"/>
      <c r="CJ417" s="356"/>
      <c r="CK417" s="356"/>
      <c r="CL417" s="356"/>
      <c r="CM417" s="356"/>
      <c r="CN417" s="356"/>
      <c r="CO417" s="356"/>
      <c r="CP417" s="356"/>
      <c r="CQ417" s="356"/>
    </row>
    <row r="418" spans="2:95">
      <c r="B418" s="311"/>
      <c r="C418" s="311"/>
      <c r="D418" s="354" t="s">
        <v>654</v>
      </c>
      <c r="P418" s="311"/>
      <c r="Q418" s="354" t="s">
        <v>654</v>
      </c>
      <c r="AC418" s="311"/>
      <c r="AD418" s="354" t="s">
        <v>654</v>
      </c>
      <c r="AP418" s="311"/>
      <c r="AQ418" s="354" t="s">
        <v>654</v>
      </c>
      <c r="BC418" s="311"/>
      <c r="BD418" s="354" t="s">
        <v>654</v>
      </c>
      <c r="BP418" s="311"/>
      <c r="BQ418" s="354" t="s">
        <v>654</v>
      </c>
      <c r="CC418" s="311"/>
      <c r="CD418" s="311"/>
      <c r="CE418" s="311"/>
      <c r="CF418" s="311"/>
      <c r="CG418" s="311"/>
      <c r="CH418" s="311"/>
      <c r="CI418" s="311"/>
      <c r="CJ418" s="311"/>
      <c r="CK418" s="311"/>
      <c r="CL418" s="311"/>
      <c r="CM418" s="311"/>
      <c r="CN418" s="311"/>
      <c r="CO418" s="311"/>
      <c r="CP418" s="311"/>
      <c r="CQ418" s="311"/>
    </row>
    <row r="419" spans="2:95">
      <c r="B419" s="311"/>
      <c r="C419" s="311"/>
      <c r="D419" s="355" t="s">
        <v>655</v>
      </c>
      <c r="E419" s="87"/>
      <c r="F419" s="87"/>
      <c r="G419" s="87"/>
      <c r="H419" s="87"/>
      <c r="I419" s="352"/>
      <c r="J419" s="352"/>
      <c r="K419" s="352"/>
      <c r="L419" s="352"/>
      <c r="M419" s="352"/>
      <c r="N419" s="352"/>
      <c r="O419" s="352"/>
      <c r="P419" s="311"/>
      <c r="Q419" s="354" t="s">
        <v>655</v>
      </c>
      <c r="AC419" s="311"/>
      <c r="AD419" s="354" t="s">
        <v>655</v>
      </c>
      <c r="AP419" s="311"/>
      <c r="AQ419" s="354" t="s">
        <v>655</v>
      </c>
      <c r="BC419" s="311"/>
      <c r="BD419" s="354" t="s">
        <v>655</v>
      </c>
      <c r="BP419" s="311"/>
      <c r="BQ419" s="354" t="s">
        <v>655</v>
      </c>
      <c r="CC419" s="311"/>
      <c r="CD419" s="311"/>
      <c r="CE419" s="311"/>
      <c r="CF419" s="311"/>
      <c r="CG419" s="311"/>
      <c r="CH419" s="311"/>
      <c r="CI419" s="311"/>
      <c r="CJ419" s="311"/>
      <c r="CK419" s="311"/>
      <c r="CL419" s="311"/>
      <c r="CM419" s="311"/>
      <c r="CN419" s="311"/>
      <c r="CO419" s="311"/>
      <c r="CP419" s="311"/>
      <c r="CQ419" s="311"/>
    </row>
    <row r="420" spans="2:95">
      <c r="D420" s="355" t="s">
        <v>656</v>
      </c>
      <c r="E420" s="87"/>
      <c r="F420" s="87"/>
      <c r="G420" s="87"/>
      <c r="H420" s="87"/>
      <c r="I420" s="481">
        <v>152.94999999999999</v>
      </c>
      <c r="J420" s="87"/>
      <c r="K420" s="87"/>
      <c r="L420" s="87"/>
      <c r="M420" s="87"/>
      <c r="N420" s="87"/>
      <c r="O420" s="352"/>
      <c r="Q420" s="355" t="s">
        <v>656</v>
      </c>
      <c r="R420" s="87"/>
      <c r="S420" s="87"/>
      <c r="T420" s="87"/>
      <c r="U420" s="87"/>
      <c r="V420" s="87"/>
      <c r="W420" s="87"/>
      <c r="X420" s="87"/>
      <c r="Y420" s="87"/>
      <c r="Z420" s="87"/>
      <c r="AA420" s="87"/>
      <c r="AB420" s="87"/>
      <c r="AD420" s="355" t="s">
        <v>656</v>
      </c>
      <c r="AE420" s="87"/>
      <c r="AF420" s="87"/>
      <c r="AG420" s="87"/>
      <c r="AH420" s="87"/>
      <c r="AI420" s="87"/>
      <c r="AJ420" s="87"/>
      <c r="AK420" s="87"/>
      <c r="AL420" s="87"/>
      <c r="AM420" s="87"/>
      <c r="AN420" s="87"/>
      <c r="AO420" s="87"/>
      <c r="AQ420" s="355" t="s">
        <v>656</v>
      </c>
      <c r="AR420" s="87"/>
      <c r="AS420" s="87"/>
      <c r="AT420" s="87"/>
      <c r="AU420" s="87"/>
      <c r="AV420" s="87"/>
      <c r="AW420" s="87"/>
      <c r="AX420" s="87"/>
      <c r="AY420" s="87"/>
      <c r="AZ420" s="87"/>
      <c r="BA420" s="87"/>
      <c r="BB420" s="87"/>
      <c r="BD420" s="355" t="s">
        <v>656</v>
      </c>
      <c r="BE420" s="87"/>
      <c r="BF420" s="87"/>
      <c r="BG420" s="87"/>
      <c r="BH420" s="87"/>
      <c r="BI420" s="87"/>
      <c r="BJ420" s="87"/>
      <c r="BK420" s="87"/>
      <c r="BL420" s="87"/>
      <c r="BM420" s="87"/>
      <c r="BN420" s="87"/>
      <c r="BO420" s="87"/>
      <c r="BQ420" s="355" t="s">
        <v>656</v>
      </c>
      <c r="BR420" s="87"/>
      <c r="BS420" s="87"/>
      <c r="BT420" s="87"/>
      <c r="BU420" s="87"/>
      <c r="BV420" s="87"/>
      <c r="BW420" s="87"/>
      <c r="BX420" s="87"/>
      <c r="BY420" s="87"/>
      <c r="BZ420" s="87"/>
      <c r="CA420" s="87"/>
      <c r="CB420" s="87"/>
    </row>
    <row r="421" spans="2:95">
      <c r="D421" s="355" t="s">
        <v>657</v>
      </c>
      <c r="E421" s="87"/>
      <c r="F421" s="87"/>
      <c r="G421" s="87"/>
      <c r="H421" s="87"/>
      <c r="I421" s="481">
        <v>1776.3200000000002</v>
      </c>
      <c r="J421" s="87"/>
      <c r="K421" s="87"/>
      <c r="L421" s="87"/>
      <c r="M421" s="87"/>
      <c r="N421" s="87"/>
      <c r="O421" s="87"/>
      <c r="Q421" s="355" t="s">
        <v>657</v>
      </c>
      <c r="R421" s="87"/>
      <c r="S421" s="87"/>
      <c r="T421" s="87"/>
      <c r="U421" s="87"/>
      <c r="V421" s="87"/>
      <c r="W421" s="87"/>
      <c r="X421" s="87"/>
      <c r="Y421" s="87"/>
      <c r="Z421" s="87"/>
      <c r="AA421" s="87"/>
      <c r="AB421" s="87"/>
      <c r="AD421" s="355" t="s">
        <v>657</v>
      </c>
      <c r="AE421" s="87"/>
      <c r="AF421" s="87"/>
      <c r="AG421" s="87"/>
      <c r="AH421" s="87"/>
      <c r="AI421" s="87"/>
      <c r="AJ421" s="87"/>
      <c r="AK421" s="87"/>
      <c r="AL421" s="87"/>
      <c r="AM421" s="87"/>
      <c r="AN421" s="87"/>
      <c r="AO421" s="87"/>
      <c r="AQ421" s="355" t="s">
        <v>657</v>
      </c>
      <c r="AR421" s="87"/>
      <c r="AS421" s="87"/>
      <c r="AT421" s="87"/>
      <c r="AU421" s="87"/>
      <c r="AV421" s="87"/>
      <c r="AW421" s="87"/>
      <c r="AX421" s="87"/>
      <c r="AY421" s="87"/>
      <c r="AZ421" s="87"/>
      <c r="BA421" s="87"/>
      <c r="BB421" s="87"/>
      <c r="BD421" s="355" t="s">
        <v>657</v>
      </c>
      <c r="BE421" s="87"/>
      <c r="BF421" s="87"/>
      <c r="BG421" s="87"/>
      <c r="BH421" s="87"/>
      <c r="BI421" s="87"/>
      <c r="BJ421" s="87"/>
      <c r="BK421" s="87"/>
      <c r="BL421" s="87"/>
      <c r="BM421" s="87"/>
      <c r="BN421" s="87"/>
      <c r="BO421" s="87"/>
      <c r="BQ421" s="355" t="s">
        <v>657</v>
      </c>
      <c r="BR421" s="87"/>
      <c r="BS421" s="87"/>
      <c r="BT421" s="87"/>
      <c r="BU421" s="87"/>
      <c r="BV421" s="87"/>
      <c r="BW421" s="87"/>
      <c r="BX421" s="87"/>
      <c r="BY421" s="87"/>
      <c r="BZ421" s="87"/>
      <c r="CA421" s="87"/>
      <c r="CB421" s="87"/>
    </row>
    <row r="422" spans="2:95">
      <c r="D422" s="355" t="s">
        <v>658</v>
      </c>
      <c r="E422" s="87"/>
      <c r="F422" s="87"/>
      <c r="G422" s="87"/>
      <c r="H422" s="87"/>
      <c r="I422" s="481">
        <v>1596.4</v>
      </c>
      <c r="J422" s="87"/>
      <c r="K422" s="87"/>
      <c r="L422" s="87"/>
      <c r="M422" s="87"/>
      <c r="N422" s="87"/>
      <c r="O422" s="87"/>
      <c r="Q422" s="355" t="s">
        <v>658</v>
      </c>
      <c r="R422" s="87"/>
      <c r="S422" s="87"/>
      <c r="T422" s="87"/>
      <c r="U422" s="87"/>
      <c r="V422" s="87"/>
      <c r="W422" s="87"/>
      <c r="X422" s="87"/>
      <c r="Y422" s="87"/>
      <c r="Z422" s="87"/>
      <c r="AA422" s="87"/>
      <c r="AB422" s="87"/>
      <c r="AD422" s="355" t="s">
        <v>658</v>
      </c>
      <c r="AE422" s="87"/>
      <c r="AF422" s="87"/>
      <c r="AG422" s="87"/>
      <c r="AH422" s="87"/>
      <c r="AI422" s="87"/>
      <c r="AJ422" s="87"/>
      <c r="AK422" s="87"/>
      <c r="AL422" s="87"/>
      <c r="AM422" s="87"/>
      <c r="AN422" s="87"/>
      <c r="AO422" s="87"/>
      <c r="AQ422" s="355" t="s">
        <v>658</v>
      </c>
      <c r="AR422" s="87"/>
      <c r="AS422" s="87"/>
      <c r="AT422" s="87"/>
      <c r="AU422" s="87"/>
      <c r="AV422" s="87"/>
      <c r="AW422" s="87"/>
      <c r="AX422" s="87"/>
      <c r="AY422" s="87"/>
      <c r="AZ422" s="87"/>
      <c r="BA422" s="87"/>
      <c r="BB422" s="87"/>
      <c r="BD422" s="355" t="s">
        <v>658</v>
      </c>
      <c r="BE422" s="87"/>
      <c r="BF422" s="87"/>
      <c r="BG422" s="87"/>
      <c r="BH422" s="87"/>
      <c r="BI422" s="87"/>
      <c r="BJ422" s="87"/>
      <c r="BK422" s="87"/>
      <c r="BL422" s="87"/>
      <c r="BM422" s="87"/>
      <c r="BN422" s="87"/>
      <c r="BO422" s="87"/>
      <c r="BQ422" s="355" t="s">
        <v>658</v>
      </c>
      <c r="BR422" s="87"/>
      <c r="BS422" s="87"/>
      <c r="BT422" s="87"/>
      <c r="BU422" s="87"/>
      <c r="BV422" s="87"/>
      <c r="BW422" s="87"/>
      <c r="BX422" s="87"/>
      <c r="BY422" s="87"/>
      <c r="BZ422" s="87"/>
      <c r="CA422" s="87"/>
      <c r="CB422" s="87"/>
    </row>
    <row r="423" spans="2:95">
      <c r="D423" s="355" t="s">
        <v>659</v>
      </c>
      <c r="E423" s="87"/>
      <c r="F423" s="87"/>
      <c r="G423" s="87"/>
      <c r="H423" s="87"/>
      <c r="I423" s="481">
        <v>321.47999999999996</v>
      </c>
      <c r="J423" s="87"/>
      <c r="K423" s="87"/>
      <c r="L423" s="87"/>
      <c r="M423" s="87"/>
      <c r="N423" s="87"/>
      <c r="O423" s="87"/>
      <c r="Q423" s="355" t="s">
        <v>659</v>
      </c>
      <c r="R423" s="87"/>
      <c r="S423" s="87"/>
      <c r="T423" s="87"/>
      <c r="U423" s="87"/>
      <c r="V423" s="87"/>
      <c r="W423" s="87"/>
      <c r="X423" s="87"/>
      <c r="Y423" s="87"/>
      <c r="Z423" s="87"/>
      <c r="AA423" s="87"/>
      <c r="AB423" s="87"/>
      <c r="AD423" s="355" t="s">
        <v>659</v>
      </c>
      <c r="AE423" s="87"/>
      <c r="AF423" s="87"/>
      <c r="AG423" s="87"/>
      <c r="AH423" s="87"/>
      <c r="AI423" s="87"/>
      <c r="AJ423" s="87"/>
      <c r="AK423" s="87"/>
      <c r="AL423" s="87"/>
      <c r="AM423" s="87"/>
      <c r="AN423" s="87"/>
      <c r="AO423" s="87"/>
      <c r="AQ423" s="355" t="s">
        <v>659</v>
      </c>
      <c r="AR423" s="87"/>
      <c r="AS423" s="87"/>
      <c r="AT423" s="87"/>
      <c r="AU423" s="87"/>
      <c r="AV423" s="87"/>
      <c r="AW423" s="87"/>
      <c r="AX423" s="87"/>
      <c r="AY423" s="87"/>
      <c r="AZ423" s="87"/>
      <c r="BA423" s="87"/>
      <c r="BB423" s="87"/>
      <c r="BD423" s="355" t="s">
        <v>659</v>
      </c>
      <c r="BE423" s="87"/>
      <c r="BF423" s="87"/>
      <c r="BG423" s="87"/>
      <c r="BH423" s="87"/>
      <c r="BI423" s="87"/>
      <c r="BJ423" s="87"/>
      <c r="BK423" s="87"/>
      <c r="BL423" s="87"/>
      <c r="BM423" s="87"/>
      <c r="BN423" s="87"/>
      <c r="BO423" s="87"/>
      <c r="BQ423" s="355" t="s">
        <v>659</v>
      </c>
      <c r="BR423" s="87"/>
      <c r="BS423" s="87"/>
      <c r="BT423" s="87"/>
      <c r="BU423" s="87"/>
      <c r="BV423" s="87"/>
      <c r="BW423" s="87"/>
      <c r="BX423" s="87"/>
      <c r="BY423" s="87"/>
      <c r="BZ423" s="87"/>
      <c r="CA423" s="87"/>
      <c r="CB423" s="87"/>
    </row>
    <row r="424" spans="2:95">
      <c r="D424" s="355" t="s">
        <v>660</v>
      </c>
      <c r="E424" s="87"/>
      <c r="F424" s="87"/>
      <c r="G424" s="87"/>
      <c r="H424" s="87"/>
      <c r="I424" s="481">
        <v>974.86</v>
      </c>
      <c r="J424" s="87"/>
      <c r="K424" s="87"/>
      <c r="L424" s="87"/>
      <c r="M424" s="87"/>
      <c r="N424" s="87"/>
      <c r="O424" s="87"/>
      <c r="Q424" s="355" t="s">
        <v>660</v>
      </c>
      <c r="R424" s="87"/>
      <c r="S424" s="87"/>
      <c r="T424" s="87"/>
      <c r="U424" s="87"/>
      <c r="V424" s="87"/>
      <c r="W424" s="87"/>
      <c r="X424" s="87"/>
      <c r="Y424" s="87"/>
      <c r="Z424" s="87"/>
      <c r="AA424" s="87"/>
      <c r="AB424" s="87"/>
      <c r="AD424" s="355" t="s">
        <v>660</v>
      </c>
      <c r="AE424" s="87"/>
      <c r="AF424" s="87"/>
      <c r="AG424" s="87"/>
      <c r="AH424" s="87"/>
      <c r="AI424" s="87"/>
      <c r="AJ424" s="87"/>
      <c r="AK424" s="87"/>
      <c r="AL424" s="87"/>
      <c r="AM424" s="87"/>
      <c r="AN424" s="87"/>
      <c r="AO424" s="87"/>
      <c r="AQ424" s="355" t="s">
        <v>660</v>
      </c>
      <c r="AR424" s="87"/>
      <c r="AS424" s="87"/>
      <c r="AT424" s="87"/>
      <c r="AU424" s="87"/>
      <c r="AV424" s="87"/>
      <c r="AW424" s="87"/>
      <c r="AX424" s="87"/>
      <c r="AY424" s="87"/>
      <c r="AZ424" s="87"/>
      <c r="BA424" s="87"/>
      <c r="BB424" s="87"/>
      <c r="BD424" s="355" t="s">
        <v>660</v>
      </c>
      <c r="BE424" s="87"/>
      <c r="BF424" s="87"/>
      <c r="BG424" s="87"/>
      <c r="BH424" s="87"/>
      <c r="BI424" s="87"/>
      <c r="BJ424" s="87"/>
      <c r="BK424" s="87"/>
      <c r="BL424" s="87"/>
      <c r="BM424" s="87"/>
      <c r="BN424" s="87"/>
      <c r="BO424" s="87"/>
      <c r="BQ424" s="355" t="s">
        <v>660</v>
      </c>
      <c r="BR424" s="87"/>
      <c r="BS424" s="87"/>
      <c r="BT424" s="87"/>
      <c r="BU424" s="87"/>
      <c r="BV424" s="87"/>
      <c r="BW424" s="87"/>
      <c r="BX424" s="87"/>
      <c r="BY424" s="87"/>
      <c r="BZ424" s="87"/>
      <c r="CA424" s="87"/>
      <c r="CB424" s="87"/>
    </row>
    <row r="425" spans="2:95">
      <c r="D425" s="355" t="s">
        <v>661</v>
      </c>
      <c r="E425" s="87"/>
      <c r="F425" s="87"/>
      <c r="G425" s="87"/>
      <c r="H425" s="87"/>
      <c r="I425" s="352"/>
      <c r="J425" s="87"/>
      <c r="K425" s="87"/>
      <c r="L425" s="87"/>
      <c r="M425" s="87"/>
      <c r="N425" s="87"/>
      <c r="O425" s="87"/>
      <c r="Q425" s="355" t="s">
        <v>661</v>
      </c>
      <c r="R425" s="87"/>
      <c r="S425" s="87"/>
      <c r="T425" s="87"/>
      <c r="U425" s="87"/>
      <c r="V425" s="87"/>
      <c r="W425" s="87"/>
      <c r="X425" s="87"/>
      <c r="Y425" s="87"/>
      <c r="Z425" s="87"/>
      <c r="AA425" s="87"/>
      <c r="AB425" s="87"/>
      <c r="AD425" s="355" t="s">
        <v>661</v>
      </c>
      <c r="AE425" s="87"/>
      <c r="AF425" s="87"/>
      <c r="AG425" s="87"/>
      <c r="AH425" s="87"/>
      <c r="AI425" s="87"/>
      <c r="AJ425" s="87"/>
      <c r="AK425" s="87"/>
      <c r="AL425" s="87"/>
      <c r="AM425" s="87"/>
      <c r="AN425" s="87"/>
      <c r="AO425" s="87"/>
      <c r="AQ425" s="355" t="s">
        <v>661</v>
      </c>
      <c r="AR425" s="87"/>
      <c r="AS425" s="87"/>
      <c r="AT425" s="87"/>
      <c r="AU425" s="87"/>
      <c r="AV425" s="87"/>
      <c r="AW425" s="87"/>
      <c r="AX425" s="87"/>
      <c r="AY425" s="87"/>
      <c r="AZ425" s="87"/>
      <c r="BA425" s="87"/>
      <c r="BB425" s="87"/>
      <c r="BD425" s="355" t="s">
        <v>661</v>
      </c>
      <c r="BE425" s="87"/>
      <c r="BF425" s="87"/>
      <c r="BG425" s="87"/>
      <c r="BH425" s="87"/>
      <c r="BI425" s="87"/>
      <c r="BJ425" s="87"/>
      <c r="BK425" s="87"/>
      <c r="BL425" s="87"/>
      <c r="BM425" s="87"/>
      <c r="BN425" s="87"/>
      <c r="BO425" s="87"/>
      <c r="BQ425" s="355" t="s">
        <v>661</v>
      </c>
      <c r="BR425" s="87"/>
      <c r="BS425" s="87"/>
      <c r="BT425" s="87"/>
      <c r="BU425" s="87"/>
      <c r="BV425" s="87"/>
      <c r="BW425" s="87"/>
      <c r="BX425" s="87"/>
      <c r="BY425" s="87"/>
      <c r="BZ425" s="87"/>
      <c r="CA425" s="87"/>
      <c r="CB425" s="87"/>
    </row>
    <row r="426" spans="2:95">
      <c r="D426" s="354"/>
      <c r="I426" s="352"/>
      <c r="J426" s="87"/>
      <c r="K426" s="87"/>
      <c r="L426" s="87"/>
      <c r="M426" s="87"/>
      <c r="N426" s="87"/>
      <c r="O426" s="87"/>
      <c r="Q426" s="355" t="s">
        <v>649</v>
      </c>
      <c r="R426" s="87"/>
      <c r="S426" s="87"/>
      <c r="T426" s="87"/>
      <c r="U426" s="87"/>
      <c r="V426" s="87"/>
      <c r="W426" s="87"/>
      <c r="X426" s="87"/>
      <c r="Y426" s="87"/>
      <c r="Z426" s="87"/>
      <c r="AA426" s="87"/>
      <c r="AB426" s="87"/>
      <c r="AD426" s="355" t="s">
        <v>649</v>
      </c>
      <c r="AE426" s="87"/>
      <c r="AF426" s="87"/>
      <c r="AG426" s="87"/>
      <c r="AH426" s="87"/>
      <c r="AI426" s="87"/>
      <c r="AJ426" s="87"/>
      <c r="AK426" s="87"/>
      <c r="AL426" s="87"/>
      <c r="AM426" s="87"/>
      <c r="AN426" s="87"/>
      <c r="AO426" s="87"/>
      <c r="AQ426" s="355" t="s">
        <v>649</v>
      </c>
      <c r="AR426" s="87"/>
      <c r="AS426" s="87"/>
      <c r="AT426" s="87"/>
      <c r="AU426" s="87"/>
      <c r="AV426" s="87"/>
      <c r="AW426" s="87"/>
      <c r="AX426" s="87"/>
      <c r="AY426" s="87"/>
      <c r="AZ426" s="87"/>
      <c r="BA426" s="87"/>
      <c r="BB426" s="87"/>
      <c r="BD426" s="355" t="s">
        <v>649</v>
      </c>
      <c r="BE426" s="87"/>
      <c r="BF426" s="87"/>
      <c r="BG426" s="87"/>
      <c r="BH426" s="87"/>
      <c r="BI426" s="87"/>
      <c r="BJ426" s="87"/>
      <c r="BK426" s="87"/>
      <c r="BL426" s="87"/>
      <c r="BM426" s="87"/>
      <c r="BN426" s="87"/>
      <c r="BO426" s="87"/>
      <c r="BQ426" s="355" t="s">
        <v>649</v>
      </c>
      <c r="BR426" s="87"/>
      <c r="BS426" s="87"/>
      <c r="BT426" s="87"/>
      <c r="BU426" s="87"/>
      <c r="BV426" s="87"/>
      <c r="BW426" s="87"/>
      <c r="BX426" s="87"/>
      <c r="BY426" s="87"/>
      <c r="BZ426" s="87"/>
      <c r="CA426" s="87"/>
      <c r="CB426" s="87"/>
    </row>
    <row r="427" spans="2:95">
      <c r="B427" s="311"/>
      <c r="C427" s="311"/>
      <c r="D427" s="355" t="s">
        <v>662</v>
      </c>
      <c r="E427" s="87"/>
      <c r="F427" s="87"/>
      <c r="G427" s="87"/>
      <c r="H427" s="87"/>
      <c r="I427" s="352"/>
      <c r="P427" s="311"/>
      <c r="Q427" s="354" t="s">
        <v>662</v>
      </c>
      <c r="AC427" s="311"/>
      <c r="AD427" s="354" t="s">
        <v>663</v>
      </c>
      <c r="AP427" s="311"/>
      <c r="AQ427" s="354" t="s">
        <v>663</v>
      </c>
      <c r="BC427" s="311"/>
      <c r="BD427" s="354" t="s">
        <v>663</v>
      </c>
      <c r="BP427" s="311"/>
      <c r="BQ427" s="354" t="s">
        <v>663</v>
      </c>
      <c r="CC427" s="311"/>
      <c r="CD427" s="311"/>
      <c r="CE427" s="311"/>
      <c r="CF427" s="311"/>
      <c r="CG427" s="311"/>
      <c r="CH427" s="311"/>
      <c r="CI427" s="311"/>
      <c r="CJ427" s="311"/>
      <c r="CK427" s="311"/>
      <c r="CL427" s="311"/>
      <c r="CM427" s="311"/>
      <c r="CN427" s="311"/>
      <c r="CO427" s="311"/>
      <c r="CP427" s="311"/>
      <c r="CQ427" s="311"/>
    </row>
    <row r="428" spans="2:95">
      <c r="D428" s="355" t="s">
        <v>664</v>
      </c>
      <c r="E428" s="87"/>
      <c r="F428" s="87"/>
      <c r="G428" s="87"/>
      <c r="H428" s="87"/>
      <c r="I428" s="481">
        <v>745.19999999999993</v>
      </c>
      <c r="J428" s="87"/>
      <c r="K428" s="87"/>
      <c r="L428" s="87"/>
      <c r="M428" s="87"/>
      <c r="N428" s="87"/>
      <c r="O428" s="87"/>
      <c r="Q428" s="355" t="s">
        <v>664</v>
      </c>
      <c r="R428" s="87"/>
      <c r="S428" s="87"/>
      <c r="T428" s="87"/>
      <c r="U428" s="87"/>
      <c r="V428" s="87"/>
      <c r="W428" s="87"/>
      <c r="X428" s="87"/>
      <c r="Y428" s="87"/>
      <c r="Z428" s="87"/>
      <c r="AA428" s="87"/>
      <c r="AB428" s="87"/>
      <c r="AD428" s="355" t="s">
        <v>664</v>
      </c>
      <c r="AE428" s="87"/>
      <c r="AF428" s="87"/>
      <c r="AG428" s="87"/>
      <c r="AH428" s="87"/>
      <c r="AI428" s="87"/>
      <c r="AJ428" s="87"/>
      <c r="AK428" s="87"/>
      <c r="AL428" s="87"/>
      <c r="AM428" s="87"/>
      <c r="AN428" s="87"/>
      <c r="AO428" s="87"/>
      <c r="AQ428" s="355" t="s">
        <v>664</v>
      </c>
      <c r="AR428" s="87"/>
      <c r="AS428" s="87"/>
      <c r="AT428" s="87"/>
      <c r="AU428" s="87"/>
      <c r="AV428" s="87"/>
      <c r="AW428" s="87"/>
      <c r="AX428" s="87"/>
      <c r="AY428" s="87"/>
      <c r="AZ428" s="87"/>
      <c r="BA428" s="87"/>
      <c r="BB428" s="87"/>
      <c r="BD428" s="355" t="s">
        <v>664</v>
      </c>
      <c r="BE428" s="87"/>
      <c r="BF428" s="87"/>
      <c r="BG428" s="87"/>
      <c r="BH428" s="87"/>
      <c r="BI428" s="87"/>
      <c r="BJ428" s="87"/>
      <c r="BK428" s="87"/>
      <c r="BL428" s="87"/>
      <c r="BM428" s="87"/>
      <c r="BN428" s="87"/>
      <c r="BO428" s="87"/>
      <c r="BQ428" s="355" t="s">
        <v>664</v>
      </c>
      <c r="BR428" s="87"/>
      <c r="BS428" s="87"/>
      <c r="BT428" s="87"/>
      <c r="BU428" s="87"/>
      <c r="BV428" s="87"/>
      <c r="BW428" s="87"/>
      <c r="BX428" s="87"/>
      <c r="BY428" s="87"/>
      <c r="BZ428" s="87"/>
      <c r="CA428" s="87"/>
      <c r="CB428" s="87"/>
    </row>
    <row r="429" spans="2:95">
      <c r="D429" s="355" t="s">
        <v>665</v>
      </c>
      <c r="E429" s="87"/>
      <c r="F429" s="87"/>
      <c r="G429" s="87"/>
      <c r="H429" s="87"/>
      <c r="I429" s="481">
        <v>12.21</v>
      </c>
      <c r="J429" s="87"/>
      <c r="K429" s="87"/>
      <c r="L429" s="87"/>
      <c r="M429" s="87"/>
      <c r="N429" s="87"/>
      <c r="O429" s="87"/>
      <c r="Q429" s="355" t="s">
        <v>665</v>
      </c>
      <c r="R429" s="87"/>
      <c r="S429" s="87"/>
      <c r="T429" s="87"/>
      <c r="U429" s="87"/>
      <c r="V429" s="87"/>
      <c r="W429" s="87"/>
      <c r="X429" s="87"/>
      <c r="Y429" s="87"/>
      <c r="Z429" s="87"/>
      <c r="AA429" s="87"/>
      <c r="AB429" s="87"/>
      <c r="AD429" s="355" t="s">
        <v>665</v>
      </c>
      <c r="AE429" s="87"/>
      <c r="AF429" s="87"/>
      <c r="AG429" s="87"/>
      <c r="AH429" s="87"/>
      <c r="AI429" s="87"/>
      <c r="AJ429" s="87"/>
      <c r="AK429" s="87"/>
      <c r="AL429" s="87"/>
      <c r="AM429" s="87"/>
      <c r="AN429" s="87"/>
      <c r="AO429" s="87"/>
      <c r="AQ429" s="355" t="s">
        <v>665</v>
      </c>
      <c r="AR429" s="87"/>
      <c r="AS429" s="87"/>
      <c r="AT429" s="87"/>
      <c r="AU429" s="87"/>
      <c r="AV429" s="87"/>
      <c r="AW429" s="87"/>
      <c r="AX429" s="87"/>
      <c r="AY429" s="87"/>
      <c r="AZ429" s="87"/>
      <c r="BA429" s="87"/>
      <c r="BB429" s="87"/>
      <c r="BD429" s="355" t="s">
        <v>665</v>
      </c>
      <c r="BE429" s="87"/>
      <c r="BF429" s="87"/>
      <c r="BG429" s="87"/>
      <c r="BH429" s="87"/>
      <c r="BI429" s="87"/>
      <c r="BJ429" s="87"/>
      <c r="BK429" s="87"/>
      <c r="BL429" s="87"/>
      <c r="BM429" s="87"/>
      <c r="BN429" s="87"/>
      <c r="BO429" s="87"/>
      <c r="BQ429" s="355" t="s">
        <v>665</v>
      </c>
      <c r="BR429" s="87"/>
      <c r="BS429" s="87"/>
      <c r="BT429" s="87"/>
      <c r="BU429" s="87"/>
      <c r="BV429" s="87"/>
      <c r="BW429" s="87"/>
      <c r="BX429" s="87"/>
      <c r="BY429" s="87"/>
      <c r="BZ429" s="87"/>
      <c r="CA429" s="87"/>
      <c r="CB429" s="87"/>
    </row>
    <row r="430" spans="2:95">
      <c r="D430" s="355"/>
      <c r="E430" s="358"/>
      <c r="F430" s="358"/>
      <c r="G430" s="358"/>
      <c r="H430" s="358"/>
      <c r="I430" s="358"/>
      <c r="J430" s="87"/>
      <c r="K430" s="87"/>
      <c r="L430" s="87"/>
      <c r="M430" s="87"/>
      <c r="N430" s="87"/>
      <c r="O430" s="87"/>
      <c r="Q430" s="355" t="s">
        <v>649</v>
      </c>
      <c r="R430" s="87"/>
      <c r="S430" s="87"/>
      <c r="T430" s="87"/>
      <c r="U430" s="87"/>
      <c r="V430" s="87"/>
      <c r="W430" s="87"/>
      <c r="X430" s="87"/>
      <c r="Y430" s="87"/>
      <c r="Z430" s="87"/>
      <c r="AA430" s="87"/>
      <c r="AB430" s="87"/>
      <c r="AD430" s="355" t="s">
        <v>649</v>
      </c>
      <c r="AE430" s="87"/>
      <c r="AF430" s="87"/>
      <c r="AG430" s="87"/>
      <c r="AH430" s="87"/>
      <c r="AI430" s="87"/>
      <c r="AJ430" s="87"/>
      <c r="AK430" s="87"/>
      <c r="AL430" s="87"/>
      <c r="AM430" s="87"/>
      <c r="AN430" s="87"/>
      <c r="AO430" s="87"/>
      <c r="AQ430" s="355" t="s">
        <v>649</v>
      </c>
      <c r="AR430" s="87"/>
      <c r="AS430" s="87"/>
      <c r="AT430" s="87"/>
      <c r="AU430" s="87"/>
      <c r="AV430" s="87"/>
      <c r="AW430" s="87"/>
      <c r="AX430" s="87"/>
      <c r="AY430" s="87"/>
      <c r="AZ430" s="87"/>
      <c r="BA430" s="87"/>
      <c r="BB430" s="87"/>
      <c r="BD430" s="355" t="s">
        <v>649</v>
      </c>
      <c r="BE430" s="87"/>
      <c r="BF430" s="87"/>
      <c r="BG430" s="87"/>
      <c r="BH430" s="87"/>
      <c r="BI430" s="87"/>
      <c r="BJ430" s="87"/>
      <c r="BK430" s="87"/>
      <c r="BL430" s="87"/>
      <c r="BM430" s="87"/>
      <c r="BN430" s="87"/>
      <c r="BO430" s="87"/>
      <c r="BQ430" s="355" t="s">
        <v>649</v>
      </c>
      <c r="BR430" s="87"/>
      <c r="BS430" s="87"/>
      <c r="BT430" s="87"/>
      <c r="BU430" s="87"/>
      <c r="BV430" s="87"/>
      <c r="BW430" s="87"/>
      <c r="BX430" s="87"/>
      <c r="BY430" s="87"/>
      <c r="BZ430" s="87"/>
      <c r="CA430" s="87"/>
      <c r="CB430" s="87"/>
    </row>
    <row r="431" spans="2:95">
      <c r="B431" s="356"/>
      <c r="C431" s="356"/>
      <c r="D431" s="359" t="s">
        <v>666</v>
      </c>
      <c r="E431" s="360">
        <f>SUM(E420:E429)</f>
        <v>0</v>
      </c>
      <c r="F431" s="360">
        <f t="shared" ref="F431:O431" si="6">SUM(F420:F429)</f>
        <v>0</v>
      </c>
      <c r="G431" s="360">
        <f t="shared" si="6"/>
        <v>0</v>
      </c>
      <c r="H431" s="360">
        <f t="shared" si="6"/>
        <v>0</v>
      </c>
      <c r="I431" s="361">
        <f>SUM(I420:I429)</f>
        <v>5579.42</v>
      </c>
      <c r="J431" s="358">
        <f t="shared" si="6"/>
        <v>0</v>
      </c>
      <c r="K431" s="358">
        <f t="shared" si="6"/>
        <v>0</v>
      </c>
      <c r="L431" s="358">
        <f t="shared" si="6"/>
        <v>0</v>
      </c>
      <c r="M431" s="358">
        <f t="shared" si="6"/>
        <v>0</v>
      </c>
      <c r="N431" s="358">
        <f t="shared" si="6"/>
        <v>0</v>
      </c>
      <c r="O431" s="358">
        <f t="shared" si="6"/>
        <v>0</v>
      </c>
      <c r="P431" s="356"/>
      <c r="Q431" s="354" t="s">
        <v>666</v>
      </c>
      <c r="R431" s="358">
        <f>SUM(R420:R429)</f>
        <v>0</v>
      </c>
      <c r="S431" s="358">
        <f t="shared" ref="S431:AB431" si="7">SUM(S420:S429)</f>
        <v>0</v>
      </c>
      <c r="T431" s="358">
        <f t="shared" si="7"/>
        <v>0</v>
      </c>
      <c r="U431" s="358">
        <f t="shared" si="7"/>
        <v>0</v>
      </c>
      <c r="V431" s="358">
        <f t="shared" si="7"/>
        <v>0</v>
      </c>
      <c r="W431" s="358">
        <f t="shared" si="7"/>
        <v>0</v>
      </c>
      <c r="X431" s="358">
        <f t="shared" si="7"/>
        <v>0</v>
      </c>
      <c r="Y431" s="358">
        <f t="shared" si="7"/>
        <v>0</v>
      </c>
      <c r="Z431" s="358">
        <f t="shared" si="7"/>
        <v>0</v>
      </c>
      <c r="AA431" s="358">
        <f t="shared" si="7"/>
        <v>0</v>
      </c>
      <c r="AB431" s="358">
        <f t="shared" si="7"/>
        <v>0</v>
      </c>
      <c r="AC431" s="356"/>
      <c r="AD431" s="354" t="s">
        <v>666</v>
      </c>
      <c r="AE431" s="358">
        <f>SUM(AE420:AE429)</f>
        <v>0</v>
      </c>
      <c r="AF431" s="358">
        <f t="shared" ref="AF431:AO431" si="8">SUM(AF420:AF429)</f>
        <v>0</v>
      </c>
      <c r="AG431" s="358">
        <f t="shared" si="8"/>
        <v>0</v>
      </c>
      <c r="AH431" s="358">
        <f t="shared" si="8"/>
        <v>0</v>
      </c>
      <c r="AI431" s="358">
        <f t="shared" si="8"/>
        <v>0</v>
      </c>
      <c r="AJ431" s="358">
        <f t="shared" si="8"/>
        <v>0</v>
      </c>
      <c r="AK431" s="358">
        <f t="shared" si="8"/>
        <v>0</v>
      </c>
      <c r="AL431" s="358">
        <f t="shared" si="8"/>
        <v>0</v>
      </c>
      <c r="AM431" s="358">
        <f t="shared" si="8"/>
        <v>0</v>
      </c>
      <c r="AN431" s="358">
        <f t="shared" si="8"/>
        <v>0</v>
      </c>
      <c r="AO431" s="358">
        <f t="shared" si="8"/>
        <v>0</v>
      </c>
      <c r="AP431" s="356"/>
      <c r="AQ431" s="354" t="s">
        <v>666</v>
      </c>
      <c r="AR431" s="358">
        <f>SUM(AR420:AR429)</f>
        <v>0</v>
      </c>
      <c r="AS431" s="358">
        <f t="shared" ref="AS431:BB431" si="9">SUM(AS420:AS429)</f>
        <v>0</v>
      </c>
      <c r="AT431" s="358">
        <f t="shared" si="9"/>
        <v>0</v>
      </c>
      <c r="AU431" s="358">
        <f t="shared" si="9"/>
        <v>0</v>
      </c>
      <c r="AV431" s="358">
        <f t="shared" si="9"/>
        <v>0</v>
      </c>
      <c r="AW431" s="358">
        <f t="shared" si="9"/>
        <v>0</v>
      </c>
      <c r="AX431" s="358">
        <f t="shared" si="9"/>
        <v>0</v>
      </c>
      <c r="AY431" s="358">
        <f t="shared" si="9"/>
        <v>0</v>
      </c>
      <c r="AZ431" s="358">
        <f t="shared" si="9"/>
        <v>0</v>
      </c>
      <c r="BA431" s="358">
        <f t="shared" si="9"/>
        <v>0</v>
      </c>
      <c r="BB431" s="358">
        <f t="shared" si="9"/>
        <v>0</v>
      </c>
      <c r="BC431" s="356"/>
      <c r="BD431" s="354" t="s">
        <v>666</v>
      </c>
      <c r="BE431" s="358">
        <f>SUM(BE420:BE429)</f>
        <v>0</v>
      </c>
      <c r="BF431" s="358">
        <f t="shared" ref="BF431:BO431" si="10">SUM(BF420:BF429)</f>
        <v>0</v>
      </c>
      <c r="BG431" s="358">
        <f t="shared" si="10"/>
        <v>0</v>
      </c>
      <c r="BH431" s="358">
        <f t="shared" si="10"/>
        <v>0</v>
      </c>
      <c r="BI431" s="358">
        <f t="shared" si="10"/>
        <v>0</v>
      </c>
      <c r="BJ431" s="358">
        <f t="shared" si="10"/>
        <v>0</v>
      </c>
      <c r="BK431" s="358">
        <f t="shared" si="10"/>
        <v>0</v>
      </c>
      <c r="BL431" s="358">
        <f t="shared" si="10"/>
        <v>0</v>
      </c>
      <c r="BM431" s="358">
        <f t="shared" si="10"/>
        <v>0</v>
      </c>
      <c r="BN431" s="358">
        <f t="shared" si="10"/>
        <v>0</v>
      </c>
      <c r="BO431" s="358">
        <f t="shared" si="10"/>
        <v>0</v>
      </c>
      <c r="BP431" s="356"/>
      <c r="BQ431" s="354" t="s">
        <v>666</v>
      </c>
      <c r="BR431" s="358">
        <f>SUM(BR420:BR429)</f>
        <v>0</v>
      </c>
      <c r="BS431" s="358">
        <f t="shared" ref="BS431:CB431" si="11">SUM(BS420:BS429)</f>
        <v>0</v>
      </c>
      <c r="BT431" s="358">
        <f t="shared" si="11"/>
        <v>0</v>
      </c>
      <c r="BU431" s="358">
        <f t="shared" si="11"/>
        <v>0</v>
      </c>
      <c r="BV431" s="358">
        <f t="shared" si="11"/>
        <v>0</v>
      </c>
      <c r="BW431" s="358">
        <f t="shared" si="11"/>
        <v>0</v>
      </c>
      <c r="BX431" s="358">
        <f t="shared" si="11"/>
        <v>0</v>
      </c>
      <c r="BY431" s="358">
        <f t="shared" si="11"/>
        <v>0</v>
      </c>
      <c r="BZ431" s="358">
        <f t="shared" si="11"/>
        <v>0</v>
      </c>
      <c r="CA431" s="358">
        <f t="shared" si="11"/>
        <v>0</v>
      </c>
      <c r="CB431" s="358">
        <f t="shared" si="11"/>
        <v>0</v>
      </c>
      <c r="CC431" s="356"/>
      <c r="CD431" s="356"/>
      <c r="CE431" s="356"/>
      <c r="CF431" s="356"/>
      <c r="CG431" s="356"/>
      <c r="CH431" s="356"/>
      <c r="CI431" s="356"/>
      <c r="CJ431" s="356"/>
      <c r="CK431" s="356"/>
      <c r="CL431" s="356"/>
      <c r="CM431" s="356"/>
      <c r="CN431" s="356"/>
      <c r="CO431" s="356"/>
      <c r="CP431" s="356"/>
      <c r="CQ431" s="356"/>
    </row>
    <row r="432" spans="2:95" s="311" customFormat="1">
      <c r="B432" s="356"/>
      <c r="C432" s="356"/>
      <c r="D432" s="359" t="s">
        <v>667</v>
      </c>
      <c r="E432" s="362"/>
      <c r="F432" s="362"/>
      <c r="G432" s="362"/>
      <c r="H432" s="362"/>
      <c r="I432" s="363">
        <f>+I417-I431</f>
        <v>2624.6499999999996</v>
      </c>
      <c r="J432" s="360"/>
      <c r="K432" s="360"/>
      <c r="L432" s="360"/>
      <c r="M432" s="360"/>
      <c r="N432" s="360"/>
      <c r="O432" s="360"/>
      <c r="P432" s="356"/>
      <c r="Q432" s="354" t="s">
        <v>667</v>
      </c>
      <c r="R432" s="360"/>
      <c r="S432" s="360"/>
      <c r="T432" s="360"/>
      <c r="U432" s="360"/>
      <c r="V432" s="360"/>
      <c r="W432" s="360"/>
      <c r="X432" s="360"/>
      <c r="Y432" s="360"/>
      <c r="Z432" s="360"/>
      <c r="AA432" s="360"/>
      <c r="AB432" s="360"/>
      <c r="AC432" s="356"/>
      <c r="AD432" s="354" t="s">
        <v>667</v>
      </c>
      <c r="AE432" s="360"/>
      <c r="AF432" s="360"/>
      <c r="AG432" s="360"/>
      <c r="AH432" s="360"/>
      <c r="AI432" s="360"/>
      <c r="AJ432" s="360"/>
      <c r="AK432" s="360"/>
      <c r="AL432" s="360"/>
      <c r="AM432" s="360"/>
      <c r="AN432" s="360"/>
      <c r="AO432" s="360"/>
      <c r="AP432" s="356"/>
      <c r="AQ432" s="354" t="s">
        <v>667</v>
      </c>
      <c r="AR432" s="360"/>
      <c r="AS432" s="360"/>
      <c r="AT432" s="360"/>
      <c r="AU432" s="360"/>
      <c r="AV432" s="360"/>
      <c r="AW432" s="360"/>
      <c r="AX432" s="360"/>
      <c r="AY432" s="360"/>
      <c r="AZ432" s="360"/>
      <c r="BA432" s="360"/>
      <c r="BB432" s="360"/>
      <c r="BC432" s="356"/>
      <c r="BD432" s="354" t="s">
        <v>667</v>
      </c>
      <c r="BE432" s="360"/>
      <c r="BF432" s="360"/>
      <c r="BG432" s="360"/>
      <c r="BH432" s="360"/>
      <c r="BI432" s="360"/>
      <c r="BJ432" s="360"/>
      <c r="BK432" s="360"/>
      <c r="BL432" s="360"/>
      <c r="BM432" s="360"/>
      <c r="BN432" s="360"/>
      <c r="BO432" s="360"/>
      <c r="BP432" s="356"/>
      <c r="BQ432" s="354" t="s">
        <v>667</v>
      </c>
      <c r="BR432" s="360"/>
      <c r="BS432" s="360"/>
      <c r="BT432" s="360"/>
      <c r="BU432" s="360"/>
      <c r="BV432" s="360"/>
      <c r="BW432" s="360"/>
      <c r="BX432" s="360"/>
      <c r="BY432" s="360"/>
      <c r="BZ432" s="360"/>
      <c r="CA432" s="360"/>
      <c r="CB432" s="360"/>
      <c r="CC432" s="356"/>
      <c r="CD432" s="356"/>
      <c r="CE432" s="356"/>
      <c r="CF432" s="356"/>
      <c r="CG432" s="356"/>
      <c r="CH432" s="356"/>
      <c r="CI432" s="356"/>
      <c r="CJ432" s="356"/>
      <c r="CK432" s="356"/>
      <c r="CL432" s="356"/>
      <c r="CM432" s="356"/>
      <c r="CN432" s="356"/>
      <c r="CO432" s="356"/>
      <c r="CP432" s="356"/>
      <c r="CQ432" s="356"/>
    </row>
    <row r="433" spans="2:95">
      <c r="B433" s="311"/>
      <c r="C433" s="311"/>
      <c r="D433" s="355" t="s">
        <v>668</v>
      </c>
      <c r="E433" s="87"/>
      <c r="F433" s="87"/>
      <c r="G433" s="87"/>
      <c r="H433" s="87"/>
      <c r="I433" s="481">
        <v>350.1</v>
      </c>
      <c r="J433" s="87"/>
      <c r="K433" s="87"/>
      <c r="L433" s="87"/>
      <c r="M433" s="87"/>
      <c r="N433" s="87"/>
      <c r="O433" s="87"/>
      <c r="P433" s="311"/>
      <c r="Q433" s="354" t="s">
        <v>668</v>
      </c>
      <c r="R433" s="87"/>
      <c r="S433" s="87"/>
      <c r="T433" s="87"/>
      <c r="U433" s="87"/>
      <c r="V433" s="87"/>
      <c r="W433" s="87"/>
      <c r="X433" s="87"/>
      <c r="Y433" s="87"/>
      <c r="Z433" s="87"/>
      <c r="AA433" s="87"/>
      <c r="AB433" s="87"/>
      <c r="AC433" s="311"/>
      <c r="AD433" s="354" t="s">
        <v>668</v>
      </c>
      <c r="AE433" s="87"/>
      <c r="AF433" s="87"/>
      <c r="AG433" s="87"/>
      <c r="AH433" s="87"/>
      <c r="AI433" s="87"/>
      <c r="AJ433" s="87"/>
      <c r="AK433" s="87"/>
      <c r="AL433" s="87"/>
      <c r="AM433" s="87"/>
      <c r="AN433" s="87"/>
      <c r="AO433" s="87"/>
      <c r="AP433" s="311"/>
      <c r="AQ433" s="354" t="s">
        <v>668</v>
      </c>
      <c r="AR433" s="87"/>
      <c r="AS433" s="87"/>
      <c r="AT433" s="87"/>
      <c r="AU433" s="87"/>
      <c r="AV433" s="87"/>
      <c r="AW433" s="87"/>
      <c r="AX433" s="87"/>
      <c r="AY433" s="87"/>
      <c r="AZ433" s="87"/>
      <c r="BA433" s="87"/>
      <c r="BB433" s="87"/>
      <c r="BC433" s="311"/>
      <c r="BD433" s="354" t="s">
        <v>668</v>
      </c>
      <c r="BE433" s="87"/>
      <c r="BF433" s="87"/>
      <c r="BG433" s="87"/>
      <c r="BH433" s="87"/>
      <c r="BI433" s="87"/>
      <c r="BJ433" s="87"/>
      <c r="BK433" s="87"/>
      <c r="BL433" s="87"/>
      <c r="BM433" s="87"/>
      <c r="BN433" s="87"/>
      <c r="BO433" s="87"/>
      <c r="BP433" s="311"/>
      <c r="BQ433" s="354" t="s">
        <v>668</v>
      </c>
      <c r="BR433" s="87"/>
      <c r="BS433" s="87"/>
      <c r="BT433" s="87"/>
      <c r="BU433" s="87"/>
      <c r="BV433" s="87"/>
      <c r="BW433" s="87"/>
      <c r="BX433" s="87"/>
      <c r="BY433" s="87"/>
      <c r="BZ433" s="87"/>
      <c r="CA433" s="87"/>
      <c r="CB433" s="87"/>
      <c r="CC433" s="311"/>
      <c r="CD433" s="311"/>
      <c r="CE433" s="311"/>
      <c r="CF433" s="311"/>
      <c r="CG433" s="311"/>
      <c r="CH433" s="311"/>
      <c r="CI433" s="311"/>
      <c r="CJ433" s="311"/>
      <c r="CK433" s="311"/>
      <c r="CL433" s="311"/>
      <c r="CM433" s="311"/>
      <c r="CN433" s="311"/>
      <c r="CO433" s="311"/>
      <c r="CP433" s="311"/>
      <c r="CQ433" s="311"/>
    </row>
    <row r="434" spans="2:95">
      <c r="B434" s="311"/>
      <c r="C434" s="311"/>
      <c r="D434" s="355" t="s">
        <v>669</v>
      </c>
      <c r="E434" s="355"/>
      <c r="F434" s="87"/>
      <c r="G434" s="87"/>
      <c r="H434" s="87"/>
      <c r="I434" s="352"/>
      <c r="J434" s="87"/>
      <c r="K434" s="87"/>
      <c r="L434" s="87"/>
      <c r="M434" s="87"/>
      <c r="N434" s="87"/>
      <c r="O434" s="87"/>
      <c r="P434" s="311"/>
      <c r="Q434" s="354" t="s">
        <v>669</v>
      </c>
      <c r="R434" s="87"/>
      <c r="S434" s="87"/>
      <c r="T434" s="87"/>
      <c r="U434" s="87"/>
      <c r="V434" s="87"/>
      <c r="W434" s="87"/>
      <c r="X434" s="87"/>
      <c r="Y434" s="87"/>
      <c r="Z434" s="87"/>
      <c r="AA434" s="87"/>
      <c r="AB434" s="87"/>
      <c r="AC434" s="311"/>
      <c r="AD434" s="354" t="s">
        <v>669</v>
      </c>
      <c r="AE434" s="87"/>
      <c r="AF434" s="87"/>
      <c r="AG434" s="87"/>
      <c r="AH434" s="87"/>
      <c r="AI434" s="87"/>
      <c r="AJ434" s="87"/>
      <c r="AK434" s="87"/>
      <c r="AL434" s="87"/>
      <c r="AM434" s="87"/>
      <c r="AN434" s="87"/>
      <c r="AO434" s="87"/>
      <c r="AP434" s="311"/>
      <c r="AQ434" s="354" t="s">
        <v>669</v>
      </c>
      <c r="AR434" s="87"/>
      <c r="AS434" s="87"/>
      <c r="AT434" s="87"/>
      <c r="AU434" s="87"/>
      <c r="AV434" s="87"/>
      <c r="AW434" s="87"/>
      <c r="AX434" s="87"/>
      <c r="AY434" s="87"/>
      <c r="AZ434" s="87"/>
      <c r="BA434" s="87"/>
      <c r="BB434" s="87"/>
      <c r="BC434" s="311"/>
      <c r="BD434" s="354" t="s">
        <v>669</v>
      </c>
      <c r="BE434" s="87"/>
      <c r="BF434" s="87"/>
      <c r="BG434" s="87"/>
      <c r="BH434" s="87"/>
      <c r="BI434" s="87"/>
      <c r="BJ434" s="87"/>
      <c r="BK434" s="87"/>
      <c r="BL434" s="87"/>
      <c r="BM434" s="87"/>
      <c r="BN434" s="87"/>
      <c r="BO434" s="87"/>
      <c r="BP434" s="311"/>
      <c r="BQ434" s="354" t="s">
        <v>669</v>
      </c>
      <c r="BR434" s="87"/>
      <c r="BS434" s="87"/>
      <c r="BT434" s="87"/>
      <c r="BU434" s="87"/>
      <c r="BV434" s="87"/>
      <c r="BW434" s="87"/>
      <c r="BX434" s="87"/>
      <c r="BY434" s="87"/>
      <c r="BZ434" s="87"/>
      <c r="CA434" s="87"/>
      <c r="CB434" s="87"/>
      <c r="CC434" s="311"/>
      <c r="CD434" s="311"/>
      <c r="CE434" s="311"/>
      <c r="CF434" s="311"/>
      <c r="CG434" s="311"/>
      <c r="CH434" s="311"/>
      <c r="CI434" s="311"/>
      <c r="CJ434" s="311"/>
      <c r="CK434" s="311"/>
      <c r="CL434" s="311"/>
      <c r="CM434" s="311"/>
      <c r="CN434" s="311"/>
      <c r="CO434" s="311"/>
      <c r="CP434" s="311"/>
      <c r="CQ434" s="311"/>
    </row>
    <row r="435" spans="2:95">
      <c r="D435" s="355" t="s">
        <v>655</v>
      </c>
      <c r="E435" s="87"/>
      <c r="F435" s="87"/>
      <c r="G435" s="87"/>
      <c r="H435" s="87"/>
      <c r="I435" s="481">
        <v>302.72000000000003</v>
      </c>
      <c r="J435" s="87"/>
      <c r="K435" s="87"/>
      <c r="L435" s="87"/>
      <c r="M435" s="87"/>
      <c r="N435" s="87"/>
      <c r="O435" s="87"/>
      <c r="Q435" s="276" t="s">
        <v>655</v>
      </c>
      <c r="R435" s="87"/>
      <c r="S435" s="87"/>
      <c r="T435" s="87"/>
      <c r="U435" s="87"/>
      <c r="V435" s="87"/>
      <c r="W435" s="87"/>
      <c r="X435" s="87"/>
      <c r="Y435" s="87"/>
      <c r="Z435" s="87"/>
      <c r="AA435" s="87"/>
      <c r="AB435" s="87"/>
      <c r="AD435" s="276" t="s">
        <v>655</v>
      </c>
      <c r="AE435" s="87"/>
      <c r="AF435" s="87"/>
      <c r="AG435" s="87"/>
      <c r="AH435" s="87"/>
      <c r="AI435" s="87"/>
      <c r="AJ435" s="87"/>
      <c r="AK435" s="87"/>
      <c r="AL435" s="87"/>
      <c r="AM435" s="87"/>
      <c r="AN435" s="87"/>
      <c r="AO435" s="87"/>
      <c r="AQ435" s="276" t="s">
        <v>655</v>
      </c>
      <c r="AR435" s="87"/>
      <c r="AS435" s="87"/>
      <c r="AT435" s="87"/>
      <c r="AU435" s="87"/>
      <c r="AV435" s="87"/>
      <c r="AW435" s="87"/>
      <c r="AX435" s="87"/>
      <c r="AY435" s="87"/>
      <c r="AZ435" s="87"/>
      <c r="BA435" s="87"/>
      <c r="BB435" s="87"/>
      <c r="BD435" s="276" t="s">
        <v>655</v>
      </c>
      <c r="BE435" s="87"/>
      <c r="BF435" s="87"/>
      <c r="BG435" s="87"/>
      <c r="BH435" s="87"/>
      <c r="BI435" s="87"/>
      <c r="BJ435" s="87"/>
      <c r="BK435" s="87"/>
      <c r="BL435" s="87"/>
      <c r="BM435" s="87"/>
      <c r="BN435" s="87"/>
      <c r="BO435" s="87"/>
      <c r="BQ435" s="276" t="s">
        <v>655</v>
      </c>
      <c r="BR435" s="87"/>
      <c r="BS435" s="87"/>
      <c r="BT435" s="87"/>
      <c r="BU435" s="87"/>
      <c r="BV435" s="87"/>
      <c r="BW435" s="87"/>
      <c r="BX435" s="87"/>
      <c r="BY435" s="87"/>
      <c r="BZ435" s="87"/>
      <c r="CA435" s="87"/>
      <c r="CB435" s="87"/>
    </row>
    <row r="436" spans="2:95">
      <c r="D436" s="355" t="s">
        <v>663</v>
      </c>
      <c r="E436" s="360"/>
      <c r="F436" s="360"/>
      <c r="G436" s="360"/>
      <c r="H436" s="360"/>
      <c r="I436" s="489">
        <v>31.499999999999996</v>
      </c>
      <c r="J436" s="87"/>
      <c r="K436" s="87"/>
      <c r="L436" s="87"/>
      <c r="M436" s="87"/>
      <c r="N436" s="87"/>
      <c r="O436" s="87"/>
      <c r="Q436" s="276" t="s">
        <v>663</v>
      </c>
      <c r="R436" s="87"/>
      <c r="S436" s="87"/>
      <c r="T436" s="87"/>
      <c r="U436" s="87"/>
      <c r="V436" s="87"/>
      <c r="W436" s="87"/>
      <c r="X436" s="87"/>
      <c r="Y436" s="87"/>
      <c r="Z436" s="87"/>
      <c r="AA436" s="87"/>
      <c r="AB436" s="87"/>
      <c r="AD436" s="276" t="s">
        <v>663</v>
      </c>
      <c r="AE436" s="87"/>
      <c r="AF436" s="87"/>
      <c r="AG436" s="87"/>
      <c r="AH436" s="87"/>
      <c r="AI436" s="87"/>
      <c r="AJ436" s="87"/>
      <c r="AK436" s="87"/>
      <c r="AL436" s="87"/>
      <c r="AM436" s="87"/>
      <c r="AN436" s="87"/>
      <c r="AO436" s="87"/>
      <c r="AQ436" s="276" t="s">
        <v>663</v>
      </c>
      <c r="AR436" s="87"/>
      <c r="AS436" s="87"/>
      <c r="AT436" s="87"/>
      <c r="AU436" s="87"/>
      <c r="AV436" s="87"/>
      <c r="AW436" s="87"/>
      <c r="AX436" s="87"/>
      <c r="AY436" s="87"/>
      <c r="AZ436" s="87"/>
      <c r="BA436" s="87"/>
      <c r="BB436" s="87"/>
      <c r="BD436" s="276" t="s">
        <v>663</v>
      </c>
      <c r="BE436" s="87"/>
      <c r="BF436" s="87"/>
      <c r="BG436" s="87"/>
      <c r="BH436" s="87"/>
      <c r="BI436" s="87"/>
      <c r="BJ436" s="87"/>
      <c r="BK436" s="87"/>
      <c r="BL436" s="87"/>
      <c r="BM436" s="87"/>
      <c r="BN436" s="87"/>
      <c r="BO436" s="87"/>
      <c r="BQ436" s="276" t="s">
        <v>663</v>
      </c>
      <c r="BR436" s="87"/>
      <c r="BS436" s="87"/>
      <c r="BT436" s="87"/>
      <c r="BU436" s="87"/>
      <c r="BV436" s="87"/>
      <c r="BW436" s="87"/>
      <c r="BX436" s="87"/>
      <c r="BY436" s="87"/>
      <c r="BZ436" s="87"/>
      <c r="CA436" s="87"/>
      <c r="CB436" s="87"/>
    </row>
    <row r="437" spans="2:95" s="311" customFormat="1">
      <c r="B437" s="356"/>
      <c r="C437" s="356"/>
      <c r="D437" s="359" t="s">
        <v>670</v>
      </c>
      <c r="E437" s="360"/>
      <c r="F437" s="360"/>
      <c r="G437" s="360"/>
      <c r="H437" s="360"/>
      <c r="I437" s="364">
        <f>+I432-I433</f>
        <v>2274.5499999999997</v>
      </c>
      <c r="J437" s="360"/>
      <c r="K437" s="360"/>
      <c r="L437" s="360"/>
      <c r="M437" s="360"/>
      <c r="N437" s="360"/>
      <c r="O437" s="360"/>
      <c r="P437" s="356"/>
      <c r="Q437" s="354" t="s">
        <v>670</v>
      </c>
      <c r="R437" s="360"/>
      <c r="S437" s="360"/>
      <c r="T437" s="360"/>
      <c r="U437" s="360"/>
      <c r="V437" s="360"/>
      <c r="W437" s="360"/>
      <c r="X437" s="360"/>
      <c r="Y437" s="360"/>
      <c r="Z437" s="360"/>
      <c r="AA437" s="360"/>
      <c r="AB437" s="360"/>
      <c r="AC437" s="356"/>
      <c r="AD437" s="354" t="s">
        <v>670</v>
      </c>
      <c r="AE437" s="360"/>
      <c r="AF437" s="360"/>
      <c r="AG437" s="360"/>
      <c r="AH437" s="360"/>
      <c r="AI437" s="360"/>
      <c r="AJ437" s="360"/>
      <c r="AK437" s="360"/>
      <c r="AL437" s="360"/>
      <c r="AM437" s="360"/>
      <c r="AN437" s="360"/>
      <c r="AO437" s="360"/>
      <c r="AP437" s="356"/>
      <c r="AQ437" s="354" t="s">
        <v>670</v>
      </c>
      <c r="AR437" s="360"/>
      <c r="AS437" s="360"/>
      <c r="AT437" s="360"/>
      <c r="AU437" s="360"/>
      <c r="AV437" s="360"/>
      <c r="AW437" s="360"/>
      <c r="AX437" s="360"/>
      <c r="AY437" s="360"/>
      <c r="AZ437" s="360"/>
      <c r="BA437" s="360"/>
      <c r="BB437" s="360"/>
      <c r="BC437" s="356"/>
      <c r="BD437" s="354" t="s">
        <v>670</v>
      </c>
      <c r="BE437" s="360"/>
      <c r="BF437" s="360"/>
      <c r="BG437" s="360"/>
      <c r="BH437" s="360"/>
      <c r="BI437" s="360"/>
      <c r="BJ437" s="360"/>
      <c r="BK437" s="360"/>
      <c r="BL437" s="360"/>
      <c r="BM437" s="360"/>
      <c r="BN437" s="360"/>
      <c r="BO437" s="360"/>
      <c r="BP437" s="356"/>
      <c r="BQ437" s="354" t="s">
        <v>670</v>
      </c>
      <c r="BR437" s="360"/>
      <c r="BS437" s="360"/>
      <c r="BT437" s="360"/>
      <c r="BU437" s="360"/>
      <c r="BV437" s="360"/>
      <c r="BW437" s="360"/>
      <c r="BX437" s="360"/>
      <c r="BY437" s="360"/>
      <c r="BZ437" s="360"/>
      <c r="CA437" s="360"/>
      <c r="CB437" s="360"/>
      <c r="CC437" s="356"/>
      <c r="CD437" s="356"/>
      <c r="CE437" s="356"/>
      <c r="CF437" s="356"/>
      <c r="CG437" s="356"/>
      <c r="CH437" s="356"/>
      <c r="CI437" s="356"/>
      <c r="CJ437" s="356"/>
      <c r="CK437" s="356"/>
      <c r="CL437" s="356"/>
      <c r="CM437" s="356"/>
      <c r="CN437" s="356"/>
      <c r="CO437" s="356"/>
      <c r="CP437" s="356"/>
      <c r="CQ437" s="356"/>
    </row>
    <row r="438" spans="2:95">
      <c r="D438" s="365"/>
    </row>
    <row r="439" spans="2:95">
      <c r="D439" s="366"/>
    </row>
    <row r="446" spans="2:95" s="36" customFormat="1" ht="18">
      <c r="D446" s="345" t="s">
        <v>243</v>
      </c>
      <c r="Q446" s="345"/>
      <c r="AD446" s="345"/>
      <c r="AQ446" s="345"/>
      <c r="BD446" s="345"/>
      <c r="BQ446" s="345"/>
    </row>
    <row r="447" spans="2:95" s="316" customFormat="1"/>
    <row r="448" spans="2:95" s="316" customFormat="1"/>
    <row r="449" spans="3:94" s="316" customFormat="1" ht="18">
      <c r="C449" s="7" t="s">
        <v>671</v>
      </c>
    </row>
    <row r="450" spans="3:94" s="316" customFormat="1" ht="15.75">
      <c r="D450" s="33" t="s">
        <v>672</v>
      </c>
      <c r="Q450" s="33" t="s">
        <v>673</v>
      </c>
      <c r="AD450" s="33" t="s">
        <v>674</v>
      </c>
      <c r="AQ450" s="33" t="s">
        <v>675</v>
      </c>
      <c r="BD450" s="33" t="s">
        <v>676</v>
      </c>
      <c r="BQ450" s="33" t="s">
        <v>677</v>
      </c>
      <c r="CE450" s="33" t="s">
        <v>678</v>
      </c>
    </row>
    <row r="451" spans="3:94" s="316" customFormat="1">
      <c r="D451" s="147"/>
      <c r="Q451" s="147" t="s">
        <v>679</v>
      </c>
      <c r="AD451" s="147" t="s">
        <v>680</v>
      </c>
      <c r="AQ451" s="147" t="s">
        <v>680</v>
      </c>
      <c r="BD451" s="147" t="s">
        <v>680</v>
      </c>
      <c r="BQ451" s="147" t="s">
        <v>680</v>
      </c>
      <c r="CE451" s="147" t="s">
        <v>679</v>
      </c>
    </row>
    <row r="452" spans="3:94" s="316" customFormat="1">
      <c r="D452" s="338" t="s">
        <v>442</v>
      </c>
      <c r="E452" s="338">
        <v>2009</v>
      </c>
      <c r="F452" s="338">
        <v>2010</v>
      </c>
      <c r="G452" s="338">
        <v>2011</v>
      </c>
      <c r="H452" s="338">
        <v>2012</v>
      </c>
      <c r="I452" s="338">
        <v>2013</v>
      </c>
      <c r="J452" s="338">
        <v>2014</v>
      </c>
      <c r="K452" s="338">
        <v>2015</v>
      </c>
      <c r="L452" s="338">
        <v>2016</v>
      </c>
      <c r="M452" s="338">
        <v>2017</v>
      </c>
      <c r="N452" s="338">
        <v>2018</v>
      </c>
      <c r="O452" s="338">
        <v>2019</v>
      </c>
      <c r="Q452" s="338" t="s">
        <v>442</v>
      </c>
      <c r="R452" s="338">
        <v>2009</v>
      </c>
      <c r="S452" s="338">
        <v>2010</v>
      </c>
      <c r="T452" s="338">
        <v>2011</v>
      </c>
      <c r="U452" s="338">
        <v>2012</v>
      </c>
      <c r="V452" s="338">
        <v>2013</v>
      </c>
      <c r="W452" s="338">
        <v>2014</v>
      </c>
      <c r="X452" s="338">
        <v>2015</v>
      </c>
      <c r="Y452" s="338">
        <v>2016</v>
      </c>
      <c r="Z452" s="338">
        <v>2017</v>
      </c>
      <c r="AA452" s="338">
        <v>2018</v>
      </c>
      <c r="AB452" s="338">
        <v>2019</v>
      </c>
      <c r="AD452" s="338" t="s">
        <v>442</v>
      </c>
      <c r="AE452" s="338">
        <v>2009</v>
      </c>
      <c r="AF452" s="338">
        <v>2010</v>
      </c>
      <c r="AG452" s="338">
        <v>2011</v>
      </c>
      <c r="AH452" s="338">
        <v>2012</v>
      </c>
      <c r="AI452" s="338">
        <v>2013</v>
      </c>
      <c r="AJ452" s="338">
        <v>2014</v>
      </c>
      <c r="AK452" s="338">
        <v>2015</v>
      </c>
      <c r="AL452" s="338">
        <v>2016</v>
      </c>
      <c r="AM452" s="338">
        <v>2017</v>
      </c>
      <c r="AN452" s="338">
        <v>2018</v>
      </c>
      <c r="AO452" s="338">
        <v>2019</v>
      </c>
      <c r="AQ452" s="338" t="s">
        <v>442</v>
      </c>
      <c r="AR452" s="338">
        <v>2009</v>
      </c>
      <c r="AS452" s="338">
        <v>2010</v>
      </c>
      <c r="AT452" s="338">
        <v>2011</v>
      </c>
      <c r="AU452" s="338">
        <v>2012</v>
      </c>
      <c r="AV452" s="338">
        <v>2013</v>
      </c>
      <c r="AW452" s="338">
        <v>2014</v>
      </c>
      <c r="AX452" s="338">
        <v>2015</v>
      </c>
      <c r="AY452" s="338">
        <v>2016</v>
      </c>
      <c r="AZ452" s="338">
        <v>2017</v>
      </c>
      <c r="BA452" s="338">
        <v>2018</v>
      </c>
      <c r="BB452" s="338">
        <v>2019</v>
      </c>
      <c r="BD452" s="338" t="s">
        <v>442</v>
      </c>
      <c r="BE452" s="338">
        <v>2009</v>
      </c>
      <c r="BF452" s="338">
        <v>2010</v>
      </c>
      <c r="BG452" s="338">
        <v>2011</v>
      </c>
      <c r="BH452" s="338">
        <v>2012</v>
      </c>
      <c r="BI452" s="338">
        <v>2013</v>
      </c>
      <c r="BJ452" s="338">
        <v>2014</v>
      </c>
      <c r="BK452" s="338">
        <v>2015</v>
      </c>
      <c r="BL452" s="338">
        <v>2016</v>
      </c>
      <c r="BM452" s="338">
        <v>2017</v>
      </c>
      <c r="BN452" s="338">
        <v>2018</v>
      </c>
      <c r="BO452" s="338">
        <v>2019</v>
      </c>
      <c r="BQ452" s="338" t="s">
        <v>442</v>
      </c>
      <c r="BR452" s="338">
        <v>2009</v>
      </c>
      <c r="BS452" s="338">
        <v>2010</v>
      </c>
      <c r="BT452" s="338">
        <v>2011</v>
      </c>
      <c r="BU452" s="338">
        <v>2012</v>
      </c>
      <c r="BV452" s="338">
        <v>2013</v>
      </c>
      <c r="BW452" s="338">
        <v>2014</v>
      </c>
      <c r="BX452" s="338">
        <v>2015</v>
      </c>
      <c r="BY452" s="338">
        <v>2016</v>
      </c>
      <c r="BZ452" s="338">
        <v>2017</v>
      </c>
      <c r="CA452" s="338">
        <v>2018</v>
      </c>
      <c r="CB452" s="338">
        <v>2019</v>
      </c>
      <c r="CE452" s="338" t="s">
        <v>442</v>
      </c>
      <c r="CF452" s="338">
        <v>2009</v>
      </c>
      <c r="CG452" s="338">
        <v>2010</v>
      </c>
      <c r="CH452" s="338">
        <v>2011</v>
      </c>
      <c r="CI452" s="338">
        <v>2012</v>
      </c>
      <c r="CJ452" s="338">
        <v>2013</v>
      </c>
      <c r="CK452" s="338">
        <v>2014</v>
      </c>
      <c r="CL452" s="338">
        <v>2015</v>
      </c>
      <c r="CM452" s="338">
        <v>2016</v>
      </c>
      <c r="CN452" s="338">
        <v>2017</v>
      </c>
      <c r="CO452" s="338">
        <v>2018</v>
      </c>
      <c r="CP452" s="338">
        <v>2019</v>
      </c>
    </row>
    <row r="453" spans="3:94" s="316" customFormat="1">
      <c r="D453" s="327" t="s">
        <v>443</v>
      </c>
      <c r="E453" s="490">
        <v>16982.64</v>
      </c>
      <c r="F453" s="491">
        <v>19651.32</v>
      </c>
      <c r="G453" s="491">
        <v>17895.28</v>
      </c>
      <c r="H453" s="491">
        <v>20427.150000000001</v>
      </c>
      <c r="I453" s="491">
        <v>14586.300000000001</v>
      </c>
      <c r="J453" s="491">
        <v>20563.32</v>
      </c>
      <c r="K453" s="87"/>
      <c r="L453" s="87"/>
      <c r="M453" s="87"/>
      <c r="N453" s="87"/>
      <c r="O453" s="87"/>
      <c r="Q453" s="327" t="s">
        <v>443</v>
      </c>
      <c r="R453" s="491">
        <v>2235</v>
      </c>
      <c r="S453" s="491">
        <v>4114.8</v>
      </c>
      <c r="T453" s="491">
        <v>4510</v>
      </c>
      <c r="U453" s="491">
        <v>2733.75</v>
      </c>
      <c r="V453" s="491">
        <v>3954.6</v>
      </c>
      <c r="W453" s="491">
        <v>2764.12</v>
      </c>
      <c r="X453" s="87"/>
      <c r="Y453" s="87"/>
      <c r="Z453" s="87"/>
      <c r="AA453" s="87"/>
      <c r="AB453" s="87"/>
      <c r="AD453" s="327" t="s">
        <v>443</v>
      </c>
      <c r="AE453" s="491">
        <v>1106.76</v>
      </c>
      <c r="AF453" s="491">
        <v>1338.7</v>
      </c>
      <c r="AG453" s="491">
        <v>1041.22</v>
      </c>
      <c r="AH453" s="491">
        <v>1450.8</v>
      </c>
      <c r="AI453" s="491">
        <v>1285.7600000000002</v>
      </c>
      <c r="AJ453" s="491">
        <v>1314.24</v>
      </c>
      <c r="AK453" s="87"/>
      <c r="AL453" s="87"/>
      <c r="AM453" s="87"/>
      <c r="AN453" s="87"/>
      <c r="AO453" s="87"/>
      <c r="AQ453" s="327" t="s">
        <v>443</v>
      </c>
      <c r="AR453" s="494">
        <v>887.4</v>
      </c>
      <c r="AS453" s="494">
        <v>1178.75</v>
      </c>
      <c r="AT453" s="494">
        <v>794.31</v>
      </c>
      <c r="AU453" s="494">
        <v>531</v>
      </c>
      <c r="AV453" s="494">
        <v>486.34999999999997</v>
      </c>
      <c r="AW453" s="494">
        <v>737.46</v>
      </c>
      <c r="AX453" s="87"/>
      <c r="AY453" s="87"/>
      <c r="AZ453" s="87"/>
      <c r="BA453" s="87"/>
      <c r="BB453" s="87"/>
      <c r="BD453" s="327" t="s">
        <v>443</v>
      </c>
      <c r="BE453" s="491">
        <v>105.91</v>
      </c>
      <c r="BF453" s="491">
        <v>69.349999999999994</v>
      </c>
      <c r="BG453" s="491">
        <v>54.08</v>
      </c>
      <c r="BH453" s="491">
        <v>51.3</v>
      </c>
      <c r="BI453" s="491">
        <v>46.99</v>
      </c>
      <c r="BJ453" s="491">
        <v>42.24</v>
      </c>
      <c r="BK453" s="87"/>
      <c r="BL453" s="87"/>
      <c r="BM453" s="87"/>
      <c r="BN453" s="87"/>
      <c r="BO453" s="87"/>
      <c r="BQ453" s="327" t="s">
        <v>443</v>
      </c>
      <c r="BR453" s="491">
        <v>39.99</v>
      </c>
      <c r="BS453" s="491">
        <v>38.419999999999995</v>
      </c>
      <c r="BT453" s="491">
        <v>39.06</v>
      </c>
      <c r="BU453" s="491">
        <v>16.329999999999998</v>
      </c>
      <c r="BV453" s="491">
        <v>19.2</v>
      </c>
      <c r="BW453" s="491">
        <v>12.9</v>
      </c>
      <c r="BX453" s="87"/>
      <c r="BY453" s="87"/>
      <c r="BZ453" s="87"/>
      <c r="CA453" s="87"/>
      <c r="CB453" s="87"/>
      <c r="CE453" s="327" t="s">
        <v>443</v>
      </c>
      <c r="CF453" s="490">
        <v>27.599999999999998</v>
      </c>
      <c r="CG453" s="490">
        <v>22</v>
      </c>
      <c r="CH453" s="490">
        <v>18.72</v>
      </c>
      <c r="CI453" s="490">
        <v>8.52</v>
      </c>
      <c r="CJ453" s="490">
        <v>8.9600000000000009</v>
      </c>
      <c r="CK453" s="490">
        <v>8.08</v>
      </c>
      <c r="CL453" s="87"/>
      <c r="CM453" s="87"/>
      <c r="CN453" s="87"/>
      <c r="CO453" s="87"/>
      <c r="CP453" s="87"/>
    </row>
    <row r="454" spans="3:94" s="316" customFormat="1">
      <c r="D454" s="87" t="s">
        <v>444</v>
      </c>
      <c r="E454" s="490">
        <v>11246.04</v>
      </c>
      <c r="F454" s="491">
        <v>9907.8000000000011</v>
      </c>
      <c r="G454" s="491">
        <v>9017.42</v>
      </c>
      <c r="H454" s="491">
        <v>11386.82</v>
      </c>
      <c r="I454" s="491">
        <v>6293.14</v>
      </c>
      <c r="J454" s="491">
        <v>6704.1</v>
      </c>
      <c r="K454" s="87"/>
      <c r="L454" s="87"/>
      <c r="M454" s="87"/>
      <c r="N454" s="87"/>
      <c r="O454" s="87"/>
      <c r="Q454" s="87" t="s">
        <v>444</v>
      </c>
      <c r="R454" s="491">
        <v>2372.37</v>
      </c>
      <c r="S454" s="491">
        <v>3175</v>
      </c>
      <c r="T454" s="491">
        <v>2966.7599999999998</v>
      </c>
      <c r="U454" s="491">
        <v>1880</v>
      </c>
      <c r="V454" s="491">
        <v>1518.3999999999999</v>
      </c>
      <c r="W454" s="491">
        <v>1669.53</v>
      </c>
      <c r="X454" s="87"/>
      <c r="Y454" s="87"/>
      <c r="Z454" s="87"/>
      <c r="AA454" s="87"/>
      <c r="AB454" s="87"/>
      <c r="AD454" s="87" t="s">
        <v>444</v>
      </c>
      <c r="AE454" s="491">
        <v>1408.35</v>
      </c>
      <c r="AF454" s="491">
        <v>1290</v>
      </c>
      <c r="AG454" s="491">
        <v>913.04</v>
      </c>
      <c r="AH454" s="491">
        <v>781.69</v>
      </c>
      <c r="AI454" s="491">
        <v>965.2</v>
      </c>
      <c r="AJ454" s="491">
        <v>880.74</v>
      </c>
      <c r="AK454" s="87"/>
      <c r="AL454" s="87"/>
      <c r="AM454" s="87"/>
      <c r="AN454" s="87"/>
      <c r="AO454" s="87"/>
      <c r="AQ454" s="87" t="s">
        <v>444</v>
      </c>
      <c r="AR454" s="494">
        <v>670.17</v>
      </c>
      <c r="AS454" s="494">
        <v>668.5200000000001</v>
      </c>
      <c r="AT454" s="494">
        <v>447.71999999999997</v>
      </c>
      <c r="AU454" s="494">
        <v>398.52</v>
      </c>
      <c r="AV454" s="494">
        <v>525.98</v>
      </c>
      <c r="AW454" s="494">
        <v>328.79</v>
      </c>
      <c r="AX454" s="87"/>
      <c r="AY454" s="87"/>
      <c r="AZ454" s="87"/>
      <c r="BA454" s="87"/>
      <c r="BB454" s="87"/>
      <c r="BD454" s="87" t="s">
        <v>444</v>
      </c>
      <c r="BE454" s="491">
        <v>21.75</v>
      </c>
      <c r="BF454" s="491">
        <v>16.38</v>
      </c>
      <c r="BG454" s="491">
        <v>15.54</v>
      </c>
      <c r="BH454" s="491">
        <v>20.16</v>
      </c>
      <c r="BI454" s="491">
        <v>21.32</v>
      </c>
      <c r="BJ454" s="491">
        <v>32.25</v>
      </c>
      <c r="BK454" s="87"/>
      <c r="BL454" s="87"/>
      <c r="BM454" s="87"/>
      <c r="BN454" s="87"/>
      <c r="BO454" s="87"/>
      <c r="BQ454" s="87" t="s">
        <v>444</v>
      </c>
      <c r="BR454" s="491">
        <v>8.24</v>
      </c>
      <c r="BS454" s="491">
        <v>7.8400000000000007</v>
      </c>
      <c r="BT454" s="491">
        <v>7.1400000000000006</v>
      </c>
      <c r="BU454" s="491">
        <v>2.61</v>
      </c>
      <c r="BV454" s="491">
        <v>0</v>
      </c>
      <c r="BW454" s="491">
        <v>0</v>
      </c>
      <c r="BX454" s="87"/>
      <c r="BY454" s="87"/>
      <c r="BZ454" s="87"/>
      <c r="CA454" s="87"/>
      <c r="CB454" s="87"/>
      <c r="CE454" s="87" t="s">
        <v>444</v>
      </c>
      <c r="CF454" s="490">
        <v>9.5400000000000009</v>
      </c>
      <c r="CG454" s="490">
        <v>4.5</v>
      </c>
      <c r="CH454" s="490">
        <v>4.08</v>
      </c>
      <c r="CI454" s="490">
        <v>1.58</v>
      </c>
      <c r="CJ454" s="490">
        <v>2.2799999999999998</v>
      </c>
      <c r="CK454" s="490">
        <v>1.6</v>
      </c>
      <c r="CL454" s="87"/>
      <c r="CM454" s="87"/>
      <c r="CN454" s="87"/>
      <c r="CO454" s="87"/>
      <c r="CP454" s="87"/>
    </row>
    <row r="455" spans="3:94" s="316" customFormat="1" outlineLevel="1">
      <c r="D455" s="328" t="s">
        <v>445</v>
      </c>
      <c r="E455" s="490">
        <v>1591.44</v>
      </c>
      <c r="F455" s="491">
        <v>2100.8000000000002</v>
      </c>
      <c r="G455" s="491">
        <v>2052.08</v>
      </c>
      <c r="H455" s="491">
        <v>1643.22</v>
      </c>
      <c r="I455" s="491">
        <v>1522.11</v>
      </c>
      <c r="J455" s="491">
        <v>861.93999999999994</v>
      </c>
      <c r="K455" s="87"/>
      <c r="L455" s="87"/>
      <c r="M455" s="87"/>
      <c r="N455" s="87"/>
      <c r="O455" s="87"/>
      <c r="Q455" s="328" t="s">
        <v>445</v>
      </c>
      <c r="R455" s="490">
        <v>521.36</v>
      </c>
      <c r="S455" s="491">
        <v>700</v>
      </c>
      <c r="T455" s="491">
        <v>662.5</v>
      </c>
      <c r="U455" s="491">
        <v>632.22</v>
      </c>
      <c r="V455" s="491">
        <v>347.8</v>
      </c>
      <c r="W455" s="491">
        <v>369.75</v>
      </c>
      <c r="X455" s="87"/>
      <c r="Y455" s="87"/>
      <c r="Z455" s="87"/>
      <c r="AA455" s="87"/>
      <c r="AB455" s="87"/>
      <c r="AD455" s="328" t="s">
        <v>445</v>
      </c>
      <c r="AE455" s="490">
        <v>227.51999999999998</v>
      </c>
      <c r="AF455" s="491">
        <v>231</v>
      </c>
      <c r="AG455" s="491">
        <v>227.73999999999998</v>
      </c>
      <c r="AH455" s="491">
        <v>158.94999999999999</v>
      </c>
      <c r="AI455" s="491">
        <v>181.29999999999998</v>
      </c>
      <c r="AJ455" s="491">
        <v>134.63999999999999</v>
      </c>
      <c r="AK455" s="87"/>
      <c r="AL455" s="87"/>
      <c r="AM455" s="87"/>
      <c r="AN455" s="87"/>
      <c r="AO455" s="87"/>
      <c r="AQ455" s="328" t="s">
        <v>445</v>
      </c>
      <c r="AR455" s="491">
        <v>179.28</v>
      </c>
      <c r="AS455" s="491">
        <v>213.84</v>
      </c>
      <c r="AT455" s="491">
        <v>180.36</v>
      </c>
      <c r="AU455" s="491">
        <v>141.94999999999999</v>
      </c>
      <c r="AV455" s="491">
        <v>187.61999999999998</v>
      </c>
      <c r="AW455" s="491">
        <v>114</v>
      </c>
      <c r="AX455" s="87"/>
      <c r="AY455" s="87"/>
      <c r="AZ455" s="87"/>
      <c r="BA455" s="87"/>
      <c r="BB455" s="87"/>
      <c r="BD455" s="328" t="s">
        <v>445</v>
      </c>
      <c r="BE455" s="490">
        <v>23.43</v>
      </c>
      <c r="BF455" s="491">
        <v>23.56</v>
      </c>
      <c r="BG455" s="491">
        <v>36.479999999999997</v>
      </c>
      <c r="BH455" s="491">
        <v>38.76</v>
      </c>
      <c r="BI455" s="491">
        <v>28.080000000000002</v>
      </c>
      <c r="BJ455" s="491">
        <v>31.68</v>
      </c>
      <c r="BK455" s="87"/>
      <c r="BL455" s="87"/>
      <c r="BM455" s="87"/>
      <c r="BN455" s="87"/>
      <c r="BO455" s="87"/>
      <c r="BQ455" s="328" t="s">
        <v>445</v>
      </c>
      <c r="BR455" s="490">
        <v>0.86</v>
      </c>
      <c r="BS455" s="491">
        <v>0</v>
      </c>
      <c r="BT455" s="491">
        <v>0</v>
      </c>
      <c r="BU455" s="491">
        <v>0</v>
      </c>
      <c r="BV455" s="491">
        <v>0</v>
      </c>
      <c r="BW455" s="491">
        <v>0</v>
      </c>
      <c r="BX455" s="87"/>
      <c r="BY455" s="87"/>
      <c r="BZ455" s="87"/>
      <c r="CA455" s="87"/>
      <c r="CB455" s="87"/>
      <c r="CE455" s="328" t="s">
        <v>445</v>
      </c>
      <c r="CF455" s="490">
        <v>0</v>
      </c>
      <c r="CG455" s="490">
        <v>0</v>
      </c>
      <c r="CH455" s="490">
        <v>0</v>
      </c>
      <c r="CI455" s="490">
        <v>0</v>
      </c>
      <c r="CJ455" s="490">
        <v>0</v>
      </c>
      <c r="CK455" s="490">
        <v>0</v>
      </c>
      <c r="CL455" s="87"/>
      <c r="CM455" s="87"/>
      <c r="CN455" s="87"/>
      <c r="CO455" s="87"/>
      <c r="CP455" s="87"/>
    </row>
    <row r="456" spans="3:94" s="316" customFormat="1" outlineLevel="1">
      <c r="D456" s="329" t="s">
        <v>446</v>
      </c>
      <c r="E456" s="490">
        <v>5642.0899999999992</v>
      </c>
      <c r="F456" s="491">
        <v>4461.13</v>
      </c>
      <c r="G456" s="491">
        <v>5711.6600000000008</v>
      </c>
      <c r="H456" s="491">
        <v>6159.08</v>
      </c>
      <c r="I456" s="491">
        <v>4251.6000000000004</v>
      </c>
      <c r="J456" s="491">
        <v>3799.05</v>
      </c>
      <c r="K456" s="87"/>
      <c r="L456" s="87"/>
      <c r="M456" s="87"/>
      <c r="N456" s="87"/>
      <c r="O456" s="87"/>
      <c r="Q456" s="329" t="s">
        <v>446</v>
      </c>
      <c r="R456" s="490">
        <v>1300</v>
      </c>
      <c r="S456" s="491">
        <v>1622.2199999999998</v>
      </c>
      <c r="T456" s="491">
        <v>1491</v>
      </c>
      <c r="U456" s="491">
        <v>1797.7799999999997</v>
      </c>
      <c r="V456" s="491">
        <v>1964.69</v>
      </c>
      <c r="W456" s="491">
        <v>1160.25</v>
      </c>
      <c r="X456" s="87"/>
      <c r="Y456" s="87"/>
      <c r="Z456" s="87"/>
      <c r="AA456" s="87"/>
      <c r="AB456" s="87"/>
      <c r="AD456" s="329" t="s">
        <v>446</v>
      </c>
      <c r="AE456" s="490">
        <v>374.01</v>
      </c>
      <c r="AF456" s="491">
        <v>615.85</v>
      </c>
      <c r="AG456" s="491">
        <v>475.20000000000005</v>
      </c>
      <c r="AH456" s="491">
        <v>473.55</v>
      </c>
      <c r="AI456" s="491">
        <v>735.42</v>
      </c>
      <c r="AJ456" s="491">
        <v>500.98999999999995</v>
      </c>
      <c r="AK456" s="87"/>
      <c r="AL456" s="87"/>
      <c r="AM456" s="87"/>
      <c r="AN456" s="87"/>
      <c r="AO456" s="87"/>
      <c r="AQ456" s="329" t="s">
        <v>446</v>
      </c>
      <c r="AR456" s="491">
        <v>291.47999999999996</v>
      </c>
      <c r="AS456" s="491">
        <v>355.26</v>
      </c>
      <c r="AT456" s="491">
        <v>478.75</v>
      </c>
      <c r="AU456" s="491">
        <v>318.2</v>
      </c>
      <c r="AV456" s="491">
        <v>461.01</v>
      </c>
      <c r="AW456" s="491">
        <v>275.5</v>
      </c>
      <c r="AX456" s="87"/>
      <c r="AY456" s="87"/>
      <c r="AZ456" s="87"/>
      <c r="BA456" s="87"/>
      <c r="BB456" s="87"/>
      <c r="BD456" s="329" t="s">
        <v>446</v>
      </c>
      <c r="BE456" s="490">
        <v>21</v>
      </c>
      <c r="BF456" s="491">
        <v>16.34</v>
      </c>
      <c r="BG456" s="491">
        <v>14.56</v>
      </c>
      <c r="BH456" s="491">
        <v>18.149999999999999</v>
      </c>
      <c r="BI456" s="491">
        <v>10.45</v>
      </c>
      <c r="BJ456" s="491">
        <v>9.99</v>
      </c>
      <c r="BK456" s="87"/>
      <c r="BL456" s="87"/>
      <c r="BM456" s="87"/>
      <c r="BN456" s="87"/>
      <c r="BO456" s="87"/>
      <c r="BQ456" s="329" t="s">
        <v>446</v>
      </c>
      <c r="BR456" s="490">
        <v>16.66</v>
      </c>
      <c r="BS456" s="491">
        <v>8.3999999999999986</v>
      </c>
      <c r="BT456" s="491">
        <v>6.0600000000000005</v>
      </c>
      <c r="BU456" s="491">
        <v>7.4399999999999995</v>
      </c>
      <c r="BV456" s="491">
        <v>3.72</v>
      </c>
      <c r="BW456" s="491">
        <v>3.28</v>
      </c>
      <c r="BX456" s="87"/>
      <c r="BY456" s="87"/>
      <c r="BZ456" s="87"/>
      <c r="CA456" s="87"/>
      <c r="CB456" s="87"/>
      <c r="CE456" s="329" t="s">
        <v>446</v>
      </c>
      <c r="CF456" s="490">
        <v>6.08</v>
      </c>
      <c r="CG456" s="490">
        <v>5.34</v>
      </c>
      <c r="CH456" s="490">
        <v>6.05</v>
      </c>
      <c r="CI456" s="490">
        <v>5.75</v>
      </c>
      <c r="CJ456" s="490">
        <v>3.9000000000000004</v>
      </c>
      <c r="CK456" s="490">
        <v>2.2999999999999998</v>
      </c>
      <c r="CL456" s="87"/>
      <c r="CM456" s="87"/>
      <c r="CN456" s="87"/>
      <c r="CO456" s="87"/>
      <c r="CP456" s="87"/>
    </row>
    <row r="457" spans="3:94" s="316" customFormat="1" outlineLevel="1">
      <c r="D457" s="329" t="s">
        <v>447</v>
      </c>
      <c r="E457" s="490">
        <v>2683.98</v>
      </c>
      <c r="F457" s="491">
        <v>3131.82</v>
      </c>
      <c r="G457" s="491">
        <v>1937.0800000000002</v>
      </c>
      <c r="H457" s="491">
        <v>2411.2800000000002</v>
      </c>
      <c r="I457" s="491">
        <v>1808.8</v>
      </c>
      <c r="J457" s="491">
        <v>1786.7</v>
      </c>
      <c r="K457" s="87"/>
      <c r="L457" s="87"/>
      <c r="M457" s="87"/>
      <c r="N457" s="87"/>
      <c r="O457" s="87"/>
      <c r="Q457" s="329" t="s">
        <v>447</v>
      </c>
      <c r="R457" s="491">
        <v>584.66</v>
      </c>
      <c r="S457" s="491">
        <v>743.36</v>
      </c>
      <c r="T457" s="491">
        <v>845.90000000000009</v>
      </c>
      <c r="U457" s="491">
        <v>1065.96</v>
      </c>
      <c r="V457" s="491">
        <v>818.3</v>
      </c>
      <c r="W457" s="491">
        <v>1024.24</v>
      </c>
      <c r="X457" s="87"/>
      <c r="Y457" s="87"/>
      <c r="Z457" s="87"/>
      <c r="AA457" s="87"/>
      <c r="AB457" s="87"/>
      <c r="AD457" s="329" t="s">
        <v>447</v>
      </c>
      <c r="AE457" s="490">
        <v>382.53</v>
      </c>
      <c r="AF457" s="491">
        <v>255.20000000000002</v>
      </c>
      <c r="AG457" s="491">
        <v>303.05</v>
      </c>
      <c r="AH457" s="491">
        <v>368.52000000000004</v>
      </c>
      <c r="AI457" s="491">
        <v>430.86</v>
      </c>
      <c r="AJ457" s="491">
        <v>321.89999999999998</v>
      </c>
      <c r="AK457" s="87"/>
      <c r="AL457" s="87"/>
      <c r="AM457" s="87"/>
      <c r="AN457" s="87"/>
      <c r="AO457" s="87"/>
      <c r="AQ457" s="329" t="s">
        <v>447</v>
      </c>
      <c r="AR457" s="491">
        <v>166.53</v>
      </c>
      <c r="AS457" s="491">
        <v>173.4</v>
      </c>
      <c r="AT457" s="491">
        <v>159.03</v>
      </c>
      <c r="AU457" s="491">
        <v>217.5</v>
      </c>
      <c r="AV457" s="491">
        <v>191.52</v>
      </c>
      <c r="AW457" s="491">
        <v>207.76000000000002</v>
      </c>
      <c r="AX457" s="87"/>
      <c r="AY457" s="87"/>
      <c r="AZ457" s="87"/>
      <c r="BA457" s="87"/>
      <c r="BB457" s="87"/>
      <c r="BD457" s="329" t="s">
        <v>447</v>
      </c>
      <c r="BE457" s="490">
        <v>5</v>
      </c>
      <c r="BF457" s="491">
        <v>2.56</v>
      </c>
      <c r="BG457" s="491">
        <v>1.74</v>
      </c>
      <c r="BH457" s="491">
        <v>0.94</v>
      </c>
      <c r="BI457" s="491">
        <v>0.83</v>
      </c>
      <c r="BJ457" s="491">
        <v>1.1100000000000001</v>
      </c>
      <c r="BK457" s="87"/>
      <c r="BL457" s="87"/>
      <c r="BM457" s="87"/>
      <c r="BN457" s="87"/>
      <c r="BO457" s="87"/>
      <c r="BQ457" s="329" t="s">
        <v>447</v>
      </c>
      <c r="BR457" s="490">
        <v>13.32</v>
      </c>
      <c r="BS457" s="491">
        <v>6.4799999999999995</v>
      </c>
      <c r="BT457" s="491">
        <v>11.700000000000001</v>
      </c>
      <c r="BU457" s="491">
        <v>10.89</v>
      </c>
      <c r="BV457" s="491">
        <v>0</v>
      </c>
      <c r="BW457" s="491">
        <v>0</v>
      </c>
      <c r="BX457" s="87"/>
      <c r="BY457" s="87"/>
      <c r="BZ457" s="87"/>
      <c r="CA457" s="87"/>
      <c r="CB457" s="87"/>
      <c r="CE457" s="329" t="s">
        <v>447</v>
      </c>
      <c r="CF457" s="490">
        <v>0</v>
      </c>
      <c r="CG457" s="490">
        <v>0</v>
      </c>
      <c r="CH457" s="490">
        <v>0</v>
      </c>
      <c r="CI457" s="490">
        <v>0</v>
      </c>
      <c r="CJ457" s="490">
        <v>0</v>
      </c>
      <c r="CK457" s="490">
        <v>0</v>
      </c>
      <c r="CL457" s="87"/>
      <c r="CM457" s="87"/>
      <c r="CN457" s="87"/>
      <c r="CO457" s="87"/>
      <c r="CP457" s="87"/>
    </row>
    <row r="458" spans="3:94" s="316" customFormat="1" outlineLevel="1">
      <c r="D458" s="329" t="s">
        <v>448</v>
      </c>
      <c r="E458" s="490">
        <v>4143.96</v>
      </c>
      <c r="F458" s="491">
        <v>4458.75</v>
      </c>
      <c r="G458" s="491">
        <v>3358.08</v>
      </c>
      <c r="H458" s="491">
        <v>3874.3</v>
      </c>
      <c r="I458" s="491">
        <v>2556</v>
      </c>
      <c r="J458" s="491">
        <v>2193.36</v>
      </c>
      <c r="K458" s="87"/>
      <c r="L458" s="87"/>
      <c r="M458" s="87"/>
      <c r="N458" s="87"/>
      <c r="O458" s="87"/>
      <c r="Q458" s="329" t="s">
        <v>448</v>
      </c>
      <c r="R458" s="491">
        <v>1132</v>
      </c>
      <c r="S458" s="491">
        <v>874.54</v>
      </c>
      <c r="T458" s="491">
        <v>1078.2</v>
      </c>
      <c r="U458" s="491">
        <v>817.29000000000008</v>
      </c>
      <c r="V458" s="491">
        <v>948.6</v>
      </c>
      <c r="W458" s="491">
        <v>589.84</v>
      </c>
      <c r="X458" s="87"/>
      <c r="Y458" s="87"/>
      <c r="Z458" s="87"/>
      <c r="AA458" s="87"/>
      <c r="AB458" s="87"/>
      <c r="AD458" s="329" t="s">
        <v>448</v>
      </c>
      <c r="AE458" s="490">
        <v>623.61</v>
      </c>
      <c r="AF458" s="491">
        <v>559.61</v>
      </c>
      <c r="AG458" s="491">
        <v>493.5</v>
      </c>
      <c r="AH458" s="491">
        <v>542.64</v>
      </c>
      <c r="AI458" s="491">
        <v>357.52</v>
      </c>
      <c r="AJ458" s="491">
        <v>450.08</v>
      </c>
      <c r="AK458" s="87"/>
      <c r="AL458" s="87"/>
      <c r="AM458" s="87"/>
      <c r="AN458" s="87"/>
      <c r="AO458" s="87"/>
      <c r="AQ458" s="329" t="s">
        <v>448</v>
      </c>
      <c r="AR458" s="491">
        <v>273.88</v>
      </c>
      <c r="AS458" s="491">
        <v>352.98</v>
      </c>
      <c r="AT458" s="491">
        <v>338</v>
      </c>
      <c r="AU458" s="491">
        <v>343.75</v>
      </c>
      <c r="AV458" s="491">
        <v>229.68</v>
      </c>
      <c r="AW458" s="491">
        <v>202.02</v>
      </c>
      <c r="AX458" s="87"/>
      <c r="AY458" s="87"/>
      <c r="AZ458" s="87"/>
      <c r="BA458" s="87"/>
      <c r="BB458" s="87"/>
      <c r="BD458" s="329" t="s">
        <v>448</v>
      </c>
      <c r="BE458" s="490">
        <v>4.6000000000000005</v>
      </c>
      <c r="BF458" s="491">
        <v>3.69</v>
      </c>
      <c r="BG458" s="491">
        <v>2.2599999999999998</v>
      </c>
      <c r="BH458" s="491">
        <v>1.23</v>
      </c>
      <c r="BI458" s="491">
        <v>1.1100000000000001</v>
      </c>
      <c r="BJ458" s="491">
        <v>1.56</v>
      </c>
      <c r="BK458" s="87"/>
      <c r="BL458" s="87"/>
      <c r="BM458" s="87"/>
      <c r="BN458" s="87"/>
      <c r="BO458" s="87"/>
      <c r="BQ458" s="329" t="s">
        <v>448</v>
      </c>
      <c r="BR458" s="490">
        <v>11.52</v>
      </c>
      <c r="BS458" s="491">
        <v>9.36</v>
      </c>
      <c r="BT458" s="491">
        <v>8.8000000000000007</v>
      </c>
      <c r="BU458" s="491">
        <v>9.7200000000000006</v>
      </c>
      <c r="BV458" s="491">
        <v>8.4</v>
      </c>
      <c r="BW458" s="491">
        <v>4.5</v>
      </c>
      <c r="BX458" s="87"/>
      <c r="BY458" s="87"/>
      <c r="BZ458" s="87"/>
      <c r="CA458" s="87"/>
      <c r="CB458" s="87"/>
      <c r="CE458" s="329" t="s">
        <v>448</v>
      </c>
      <c r="CF458" s="490">
        <v>7.9799999999999995</v>
      </c>
      <c r="CG458" s="490">
        <v>5.16</v>
      </c>
      <c r="CH458" s="490">
        <v>3.95</v>
      </c>
      <c r="CI458" s="490">
        <v>3.3899999999999997</v>
      </c>
      <c r="CJ458" s="490">
        <v>1.68</v>
      </c>
      <c r="CK458" s="490">
        <v>1.44</v>
      </c>
      <c r="CL458" s="87"/>
      <c r="CM458" s="87"/>
      <c r="CN458" s="87"/>
      <c r="CO458" s="87"/>
      <c r="CP458" s="87"/>
    </row>
    <row r="459" spans="3:94" s="316" customFormat="1" outlineLevel="1">
      <c r="D459" s="329" t="s">
        <v>449</v>
      </c>
      <c r="E459" s="490">
        <v>961.5</v>
      </c>
      <c r="F459" s="491">
        <v>817.5</v>
      </c>
      <c r="G459" s="491">
        <v>703.5</v>
      </c>
      <c r="H459" s="491">
        <v>793.43999999999994</v>
      </c>
      <c r="I459" s="491">
        <v>431.97</v>
      </c>
      <c r="J459" s="491">
        <v>367.5</v>
      </c>
      <c r="K459" s="87"/>
      <c r="L459" s="87"/>
      <c r="M459" s="87"/>
      <c r="N459" s="87"/>
      <c r="O459" s="87"/>
      <c r="Q459" s="329" t="s">
        <v>449</v>
      </c>
      <c r="R459" s="491">
        <v>308.45999999999998</v>
      </c>
      <c r="S459" s="491">
        <v>248.2</v>
      </c>
      <c r="T459" s="491">
        <v>235.45</v>
      </c>
      <c r="U459" s="491">
        <v>204.85</v>
      </c>
      <c r="V459" s="491">
        <v>199.5</v>
      </c>
      <c r="W459" s="491">
        <v>122.45</v>
      </c>
      <c r="X459" s="87"/>
      <c r="Y459" s="87"/>
      <c r="Z459" s="87"/>
      <c r="AA459" s="87"/>
      <c r="AB459" s="87"/>
      <c r="AD459" s="329" t="s">
        <v>449</v>
      </c>
      <c r="AE459" s="490">
        <v>150.96</v>
      </c>
      <c r="AF459" s="491">
        <v>111.60000000000001</v>
      </c>
      <c r="AG459" s="491">
        <v>152.22</v>
      </c>
      <c r="AH459" s="491">
        <v>84.48</v>
      </c>
      <c r="AI459" s="491">
        <v>76.8</v>
      </c>
      <c r="AJ459" s="491">
        <v>65.539999999999992</v>
      </c>
      <c r="AK459" s="87"/>
      <c r="AL459" s="87"/>
      <c r="AM459" s="87"/>
      <c r="AN459" s="87"/>
      <c r="AO459" s="87"/>
      <c r="AQ459" s="329" t="s">
        <v>449</v>
      </c>
      <c r="AR459" s="491">
        <v>90.47</v>
      </c>
      <c r="AS459" s="491">
        <v>97.759999999999991</v>
      </c>
      <c r="AT459" s="491">
        <v>124.80000000000001</v>
      </c>
      <c r="AU459" s="491">
        <v>94.830000000000013</v>
      </c>
      <c r="AV459" s="491">
        <v>70.850000000000009</v>
      </c>
      <c r="AW459" s="491">
        <v>51.48</v>
      </c>
      <c r="AX459" s="87"/>
      <c r="AY459" s="87"/>
      <c r="AZ459" s="87"/>
      <c r="BA459" s="87"/>
      <c r="BB459" s="87"/>
      <c r="BD459" s="329" t="s">
        <v>449</v>
      </c>
      <c r="BE459" s="490">
        <v>0.84</v>
      </c>
      <c r="BF459" s="491">
        <v>1.24</v>
      </c>
      <c r="BG459" s="491">
        <v>0.76</v>
      </c>
      <c r="BH459" s="491">
        <v>1.08</v>
      </c>
      <c r="BI459" s="491">
        <v>1.28</v>
      </c>
      <c r="BJ459" s="491">
        <v>1.02</v>
      </c>
      <c r="BK459" s="87"/>
      <c r="BL459" s="87"/>
      <c r="BM459" s="87"/>
      <c r="BN459" s="87"/>
      <c r="BO459" s="87"/>
      <c r="BQ459" s="329" t="s">
        <v>449</v>
      </c>
      <c r="BR459" s="490">
        <v>6.25</v>
      </c>
      <c r="BS459" s="491">
        <v>5.6000000000000005</v>
      </c>
      <c r="BT459" s="491">
        <v>5.6999999999999993</v>
      </c>
      <c r="BU459" s="491">
        <v>2.14</v>
      </c>
      <c r="BV459" s="491">
        <v>0</v>
      </c>
      <c r="BW459" s="491">
        <v>0</v>
      </c>
      <c r="BX459" s="87"/>
      <c r="BY459" s="87"/>
      <c r="BZ459" s="87"/>
      <c r="CA459" s="87"/>
      <c r="CB459" s="87"/>
      <c r="CE459" s="329" t="s">
        <v>449</v>
      </c>
      <c r="CF459" s="490">
        <v>1.18</v>
      </c>
      <c r="CG459" s="490">
        <v>0.92</v>
      </c>
      <c r="CH459" s="490">
        <v>1.1399999999999999</v>
      </c>
      <c r="CI459" s="490">
        <v>0.82</v>
      </c>
      <c r="CJ459" s="490">
        <v>0</v>
      </c>
      <c r="CK459" s="490">
        <v>0</v>
      </c>
      <c r="CL459" s="87"/>
      <c r="CM459" s="87"/>
      <c r="CN459" s="87"/>
      <c r="CO459" s="87"/>
      <c r="CP459" s="87"/>
    </row>
    <row r="460" spans="3:94" s="316" customFormat="1" outlineLevel="1">
      <c r="D460" s="329" t="s">
        <v>450</v>
      </c>
      <c r="E460" s="490">
        <v>2238.75</v>
      </c>
      <c r="F460" s="491">
        <v>1080.72</v>
      </c>
      <c r="G460" s="491">
        <v>1030.28</v>
      </c>
      <c r="H460" s="491">
        <v>901</v>
      </c>
      <c r="I460" s="491">
        <v>643.28</v>
      </c>
      <c r="J460" s="491">
        <v>601.20000000000005</v>
      </c>
      <c r="K460" s="87"/>
      <c r="L460" s="87"/>
      <c r="M460" s="87"/>
      <c r="N460" s="87"/>
      <c r="O460" s="87"/>
      <c r="Q460" s="329" t="s">
        <v>450</v>
      </c>
      <c r="R460" s="491">
        <v>169.69</v>
      </c>
      <c r="S460" s="491">
        <v>254.13</v>
      </c>
      <c r="T460" s="491">
        <v>144.9</v>
      </c>
      <c r="U460" s="491">
        <v>137.94</v>
      </c>
      <c r="V460" s="491">
        <v>104.03</v>
      </c>
      <c r="W460" s="491">
        <v>65.8</v>
      </c>
      <c r="X460" s="87"/>
      <c r="Y460" s="87"/>
      <c r="Z460" s="87"/>
      <c r="AA460" s="87"/>
      <c r="AB460" s="87"/>
      <c r="AD460" s="329" t="s">
        <v>450</v>
      </c>
      <c r="AE460" s="490">
        <v>88</v>
      </c>
      <c r="AF460" s="491">
        <v>102.60000000000001</v>
      </c>
      <c r="AG460" s="491">
        <v>78.02</v>
      </c>
      <c r="AH460" s="491">
        <v>79.56</v>
      </c>
      <c r="AI460" s="491">
        <v>56.55</v>
      </c>
      <c r="AJ460" s="491">
        <v>57.660000000000004</v>
      </c>
      <c r="AK460" s="87"/>
      <c r="AL460" s="87"/>
      <c r="AM460" s="87"/>
      <c r="AN460" s="87"/>
      <c r="AO460" s="87"/>
      <c r="AQ460" s="329" t="s">
        <v>450</v>
      </c>
      <c r="AR460" s="491">
        <v>107.10000000000001</v>
      </c>
      <c r="AS460" s="491">
        <v>88.88</v>
      </c>
      <c r="AT460" s="491">
        <v>59.339999999999996</v>
      </c>
      <c r="AU460" s="491">
        <v>39.42</v>
      </c>
      <c r="AV460" s="491">
        <v>39</v>
      </c>
      <c r="AW460" s="491">
        <v>60</v>
      </c>
      <c r="AX460" s="87"/>
      <c r="AY460" s="87"/>
      <c r="AZ460" s="87"/>
      <c r="BA460" s="87"/>
      <c r="BB460" s="87"/>
      <c r="BD460" s="329" t="s">
        <v>450</v>
      </c>
      <c r="BE460" s="490">
        <v>6.24</v>
      </c>
      <c r="BF460" s="491">
        <v>1.44</v>
      </c>
      <c r="BG460" s="491">
        <v>2.5</v>
      </c>
      <c r="BH460" s="491">
        <v>1.6</v>
      </c>
      <c r="BI460" s="491">
        <v>1.1200000000000001</v>
      </c>
      <c r="BJ460" s="491">
        <v>0.96</v>
      </c>
      <c r="BK460" s="87"/>
      <c r="BL460" s="87"/>
      <c r="BM460" s="87"/>
      <c r="BN460" s="87"/>
      <c r="BO460" s="87"/>
      <c r="BQ460" s="329" t="s">
        <v>450</v>
      </c>
      <c r="BR460" s="490">
        <v>7.21</v>
      </c>
      <c r="BS460" s="491">
        <v>7.32</v>
      </c>
      <c r="BT460" s="491">
        <v>7.28</v>
      </c>
      <c r="BU460" s="491">
        <v>4.3600000000000003</v>
      </c>
      <c r="BV460" s="491">
        <v>9.6</v>
      </c>
      <c r="BW460" s="491">
        <v>7.28</v>
      </c>
      <c r="BX460" s="87"/>
      <c r="BY460" s="87"/>
      <c r="BZ460" s="87"/>
      <c r="CA460" s="87"/>
      <c r="CB460" s="87"/>
      <c r="CE460" s="329" t="s">
        <v>450</v>
      </c>
      <c r="CF460" s="490">
        <v>4.75</v>
      </c>
      <c r="CG460" s="491">
        <v>2.36</v>
      </c>
      <c r="CH460" s="491">
        <v>0</v>
      </c>
      <c r="CI460" s="491">
        <v>0</v>
      </c>
      <c r="CJ460" s="491">
        <v>0</v>
      </c>
      <c r="CK460" s="491">
        <v>0</v>
      </c>
      <c r="CL460" s="87"/>
      <c r="CM460" s="87"/>
      <c r="CN460" s="87"/>
      <c r="CO460" s="87"/>
      <c r="CP460" s="87"/>
    </row>
    <row r="461" spans="3:94" s="316" customFormat="1" outlineLevel="1">
      <c r="D461" s="330" t="s">
        <v>451</v>
      </c>
      <c r="E461" s="490">
        <v>12635.19</v>
      </c>
      <c r="F461" s="491">
        <v>22165.989999999998</v>
      </c>
      <c r="G461" s="491">
        <v>27188.340000000004</v>
      </c>
      <c r="H461" s="491">
        <v>23803.200000000001</v>
      </c>
      <c r="I461" s="491">
        <v>26567.31</v>
      </c>
      <c r="J461" s="491">
        <v>28806.03</v>
      </c>
      <c r="K461" s="87"/>
      <c r="L461" s="87"/>
      <c r="M461" s="87"/>
      <c r="N461" s="87"/>
      <c r="O461" s="87"/>
      <c r="Q461" s="330" t="s">
        <v>451</v>
      </c>
      <c r="R461" s="491">
        <v>2343.6</v>
      </c>
      <c r="S461" s="491">
        <v>3020.7999999999997</v>
      </c>
      <c r="T461" s="491">
        <v>3197.7</v>
      </c>
      <c r="U461" s="491">
        <v>5417.9100000000008</v>
      </c>
      <c r="V461" s="491">
        <v>4485.78</v>
      </c>
      <c r="W461" s="491">
        <v>7965</v>
      </c>
      <c r="X461" s="87"/>
      <c r="Y461" s="87"/>
      <c r="Z461" s="87"/>
      <c r="AA461" s="87"/>
      <c r="AB461" s="87"/>
      <c r="AD461" s="330" t="s">
        <v>451</v>
      </c>
      <c r="AE461" s="490">
        <v>555.79999999999995</v>
      </c>
      <c r="AF461" s="491">
        <v>1075.5900000000001</v>
      </c>
      <c r="AG461" s="491">
        <v>1182.72</v>
      </c>
      <c r="AH461" s="491">
        <v>1963.08</v>
      </c>
      <c r="AI461" s="491">
        <v>1556.17</v>
      </c>
      <c r="AJ461" s="491">
        <v>3032.32</v>
      </c>
      <c r="AK461" s="87"/>
      <c r="AL461" s="87"/>
      <c r="AM461" s="87"/>
      <c r="AN461" s="87"/>
      <c r="AO461" s="87"/>
      <c r="AQ461" s="330" t="s">
        <v>451</v>
      </c>
      <c r="AR461" s="490">
        <v>983.40000000000009</v>
      </c>
      <c r="AS461" s="491">
        <v>1182.1500000000001</v>
      </c>
      <c r="AT461" s="491">
        <v>1450.9</v>
      </c>
      <c r="AU461" s="491">
        <v>2019.3</v>
      </c>
      <c r="AV461" s="491">
        <v>1538.81</v>
      </c>
      <c r="AW461" s="491">
        <v>2061.3199999999997</v>
      </c>
      <c r="AX461" s="87"/>
      <c r="AY461" s="87"/>
      <c r="AZ461" s="87"/>
      <c r="BA461" s="87"/>
      <c r="BB461" s="87"/>
      <c r="BD461" s="330" t="s">
        <v>451</v>
      </c>
      <c r="BE461" s="490">
        <v>36.119999999999997</v>
      </c>
      <c r="BF461" s="491">
        <v>35.880000000000003</v>
      </c>
      <c r="BG461" s="491">
        <v>30</v>
      </c>
      <c r="BH461" s="491">
        <v>24.48</v>
      </c>
      <c r="BI461" s="491">
        <v>18.190000000000001</v>
      </c>
      <c r="BJ461" s="491">
        <v>15.2</v>
      </c>
      <c r="BK461" s="87"/>
      <c r="BL461" s="87"/>
      <c r="BM461" s="87"/>
      <c r="BN461" s="87"/>
      <c r="BO461" s="87"/>
      <c r="BQ461" s="330" t="s">
        <v>451</v>
      </c>
      <c r="BR461" s="490">
        <v>118.26</v>
      </c>
      <c r="BS461" s="491">
        <v>113.97999999999999</v>
      </c>
      <c r="BT461" s="491">
        <v>153.92000000000002</v>
      </c>
      <c r="BU461" s="491">
        <v>137.5</v>
      </c>
      <c r="BV461" s="491">
        <v>127.33</v>
      </c>
      <c r="BW461" s="491">
        <v>108.78000000000002</v>
      </c>
      <c r="BX461" s="87"/>
      <c r="BY461" s="87"/>
      <c r="BZ461" s="87"/>
      <c r="CA461" s="87"/>
      <c r="CB461" s="87"/>
      <c r="CE461" s="330" t="s">
        <v>451</v>
      </c>
      <c r="CF461" s="490">
        <v>295.39000000000004</v>
      </c>
      <c r="CG461" s="491">
        <v>247.5</v>
      </c>
      <c r="CH461" s="491">
        <v>194.35999999999999</v>
      </c>
      <c r="CI461" s="491">
        <v>194.97</v>
      </c>
      <c r="CJ461" s="491">
        <v>110.96</v>
      </c>
      <c r="CK461" s="491">
        <v>97.2</v>
      </c>
      <c r="CL461" s="87"/>
      <c r="CM461" s="87"/>
      <c r="CN461" s="87"/>
      <c r="CO461" s="87"/>
      <c r="CP461" s="87"/>
    </row>
    <row r="462" spans="3:94" s="316" customFormat="1" outlineLevel="1">
      <c r="D462" s="330" t="s">
        <v>452</v>
      </c>
      <c r="E462" s="490">
        <v>0</v>
      </c>
      <c r="F462" s="491">
        <v>0</v>
      </c>
      <c r="G462" s="491">
        <v>0</v>
      </c>
      <c r="H462" s="491">
        <v>0</v>
      </c>
      <c r="I462" s="491">
        <v>0</v>
      </c>
      <c r="J462" s="491">
        <v>0</v>
      </c>
      <c r="K462" s="87"/>
      <c r="L462" s="87"/>
      <c r="M462" s="87"/>
      <c r="N462" s="87"/>
      <c r="O462" s="87"/>
      <c r="Q462" s="330" t="s">
        <v>452</v>
      </c>
      <c r="R462" s="491">
        <v>0</v>
      </c>
      <c r="S462" s="491">
        <v>0</v>
      </c>
      <c r="T462" s="491">
        <v>0</v>
      </c>
      <c r="U462" s="491">
        <v>0</v>
      </c>
      <c r="V462" s="491">
        <v>0</v>
      </c>
      <c r="W462" s="491">
        <v>0</v>
      </c>
      <c r="X462" s="87"/>
      <c r="Y462" s="87"/>
      <c r="Z462" s="87"/>
      <c r="AA462" s="87"/>
      <c r="AB462" s="87"/>
      <c r="AD462" s="330" t="s">
        <v>452</v>
      </c>
      <c r="AE462" s="490">
        <v>0</v>
      </c>
      <c r="AF462" s="491">
        <v>0</v>
      </c>
      <c r="AG462" s="491">
        <v>0</v>
      </c>
      <c r="AH462" s="491">
        <v>0</v>
      </c>
      <c r="AI462" s="491">
        <v>0</v>
      </c>
      <c r="AJ462" s="491">
        <v>0</v>
      </c>
      <c r="AK462" s="87"/>
      <c r="AL462" s="87"/>
      <c r="AM462" s="87"/>
      <c r="AN462" s="87"/>
      <c r="AO462" s="87"/>
      <c r="AQ462" s="330" t="s">
        <v>452</v>
      </c>
      <c r="AR462" s="491">
        <v>0</v>
      </c>
      <c r="AS462" s="491">
        <v>0</v>
      </c>
      <c r="AT462" s="491">
        <v>0</v>
      </c>
      <c r="AU462" s="491">
        <v>0</v>
      </c>
      <c r="AV462" s="491">
        <v>0</v>
      </c>
      <c r="AW462" s="491">
        <v>0</v>
      </c>
      <c r="AX462" s="87"/>
      <c r="AY462" s="87"/>
      <c r="AZ462" s="87"/>
      <c r="BA462" s="87"/>
      <c r="BB462" s="87"/>
      <c r="BD462" s="330" t="s">
        <v>452</v>
      </c>
      <c r="BE462" s="492">
        <v>0</v>
      </c>
      <c r="BF462" s="492">
        <v>0</v>
      </c>
      <c r="BG462" s="492">
        <v>0</v>
      </c>
      <c r="BH462" s="492">
        <v>0</v>
      </c>
      <c r="BI462" s="492">
        <v>0</v>
      </c>
      <c r="BJ462" s="492">
        <v>0</v>
      </c>
      <c r="BK462" s="87"/>
      <c r="BL462" s="87"/>
      <c r="BM462" s="87"/>
      <c r="BN462" s="87"/>
      <c r="BO462" s="87"/>
      <c r="BQ462" s="330" t="s">
        <v>452</v>
      </c>
      <c r="BR462" s="490">
        <v>0</v>
      </c>
      <c r="BS462" s="491">
        <v>0</v>
      </c>
      <c r="BT462" s="491">
        <v>0</v>
      </c>
      <c r="BU462" s="491">
        <v>0</v>
      </c>
      <c r="BV462" s="491">
        <v>0</v>
      </c>
      <c r="BW462" s="491">
        <v>0</v>
      </c>
      <c r="BX462" s="87"/>
      <c r="BY462" s="87"/>
      <c r="BZ462" s="87"/>
      <c r="CA462" s="87"/>
      <c r="CB462" s="87"/>
      <c r="CE462" s="330" t="s">
        <v>452</v>
      </c>
      <c r="CF462" s="490">
        <v>0</v>
      </c>
      <c r="CG462" s="491">
        <v>0</v>
      </c>
      <c r="CH462" s="491">
        <v>0</v>
      </c>
      <c r="CI462" s="491">
        <v>0</v>
      </c>
      <c r="CJ462" s="491">
        <v>0</v>
      </c>
      <c r="CK462" s="491">
        <v>0</v>
      </c>
      <c r="CL462" s="87"/>
      <c r="CM462" s="87"/>
      <c r="CN462" s="87"/>
      <c r="CO462" s="87"/>
      <c r="CP462" s="87"/>
    </row>
    <row r="463" spans="3:94" s="316" customFormat="1" outlineLevel="1">
      <c r="D463" s="330" t="s">
        <v>27</v>
      </c>
      <c r="E463" s="490">
        <v>346.5</v>
      </c>
      <c r="F463" s="490">
        <v>390.71999999999997</v>
      </c>
      <c r="G463" s="490">
        <v>350.76</v>
      </c>
      <c r="H463" s="490">
        <v>428.09000000000003</v>
      </c>
      <c r="I463" s="490">
        <v>353.34000000000003</v>
      </c>
      <c r="J463" s="490">
        <v>438.75</v>
      </c>
      <c r="K463" s="87"/>
      <c r="L463" s="87"/>
      <c r="M463" s="87"/>
      <c r="N463" s="87"/>
      <c r="O463" s="87"/>
      <c r="Q463" s="330" t="s">
        <v>27</v>
      </c>
      <c r="R463" s="491">
        <v>15.54</v>
      </c>
      <c r="S463" s="491">
        <v>19.75</v>
      </c>
      <c r="T463" s="491">
        <v>16.940000000000001</v>
      </c>
      <c r="U463" s="491">
        <v>24.5</v>
      </c>
      <c r="V463" s="491">
        <v>28.71</v>
      </c>
      <c r="W463" s="491">
        <v>27.119999999999997</v>
      </c>
      <c r="X463" s="87"/>
      <c r="Y463" s="87"/>
      <c r="Z463" s="87"/>
      <c r="AA463" s="87"/>
      <c r="AB463" s="87"/>
      <c r="AD463" s="330" t="s">
        <v>27</v>
      </c>
      <c r="AE463" s="490">
        <v>4.04</v>
      </c>
      <c r="AF463" s="491">
        <v>7.6300000000000008</v>
      </c>
      <c r="AG463" s="491">
        <v>11.399999999999999</v>
      </c>
      <c r="AH463" s="491">
        <v>11.6</v>
      </c>
      <c r="AI463" s="491">
        <v>14.689999999999998</v>
      </c>
      <c r="AJ463" s="491">
        <v>11.52</v>
      </c>
      <c r="AK463" s="87"/>
      <c r="AL463" s="87"/>
      <c r="AM463" s="87"/>
      <c r="AN463" s="87"/>
      <c r="AO463" s="87"/>
      <c r="AQ463" s="330" t="s">
        <v>27</v>
      </c>
      <c r="AR463" s="493">
        <v>8.2999999999999989</v>
      </c>
      <c r="AS463" s="493">
        <v>8.61</v>
      </c>
      <c r="AT463" s="493">
        <v>6.08</v>
      </c>
      <c r="AU463" s="493">
        <v>8.3999999999999986</v>
      </c>
      <c r="AV463" s="493">
        <v>11.879999999999999</v>
      </c>
      <c r="AW463" s="493">
        <v>7.7000000000000011</v>
      </c>
      <c r="AX463" s="87"/>
      <c r="AY463" s="87"/>
      <c r="AZ463" s="87"/>
      <c r="BA463" s="87"/>
      <c r="BB463" s="87"/>
      <c r="BD463" s="330" t="s">
        <v>27</v>
      </c>
      <c r="BE463" s="490">
        <v>2.7</v>
      </c>
      <c r="BF463" s="491">
        <v>2.58</v>
      </c>
      <c r="BG463" s="491">
        <v>0.92</v>
      </c>
      <c r="BH463" s="491">
        <v>1.06</v>
      </c>
      <c r="BI463" s="491">
        <v>1.1000000000000001</v>
      </c>
      <c r="BJ463" s="491">
        <v>0.83</v>
      </c>
      <c r="BK463" s="87"/>
      <c r="BL463" s="87"/>
      <c r="BM463" s="87"/>
      <c r="BN463" s="87"/>
      <c r="BO463" s="87"/>
      <c r="BQ463" s="330" t="s">
        <v>27</v>
      </c>
      <c r="BR463" s="492">
        <v>0</v>
      </c>
      <c r="BS463" s="492">
        <v>0</v>
      </c>
      <c r="BT463" s="492">
        <v>0</v>
      </c>
      <c r="BU463" s="492">
        <v>0</v>
      </c>
      <c r="BV463" s="492">
        <v>0</v>
      </c>
      <c r="BW463" s="492">
        <v>0</v>
      </c>
      <c r="BX463" s="87"/>
      <c r="BY463" s="87"/>
      <c r="BZ463" s="87"/>
      <c r="CA463" s="87"/>
      <c r="CB463" s="87"/>
      <c r="CE463" s="330" t="s">
        <v>27</v>
      </c>
      <c r="CF463" s="490">
        <v>0</v>
      </c>
      <c r="CG463" s="490">
        <v>0</v>
      </c>
      <c r="CH463" s="490">
        <v>0</v>
      </c>
      <c r="CI463" s="490">
        <v>0</v>
      </c>
      <c r="CJ463" s="490">
        <v>0</v>
      </c>
      <c r="CK463" s="490">
        <v>0</v>
      </c>
      <c r="CL463" s="87"/>
      <c r="CM463" s="87"/>
      <c r="CN463" s="87"/>
      <c r="CO463" s="87"/>
      <c r="CP463" s="87"/>
    </row>
    <row r="464" spans="3:94" s="316" customFormat="1" outlineLevel="1">
      <c r="D464" s="330" t="s">
        <v>28</v>
      </c>
      <c r="E464" s="490">
        <v>219.48</v>
      </c>
      <c r="F464" s="490">
        <v>146.52000000000001</v>
      </c>
      <c r="G464" s="490">
        <v>192.95999999999998</v>
      </c>
      <c r="H464" s="490">
        <v>285</v>
      </c>
      <c r="I464" s="490">
        <v>298.24</v>
      </c>
      <c r="J464" s="490">
        <v>221.76000000000002</v>
      </c>
      <c r="K464" s="87"/>
      <c r="L464" s="87"/>
      <c r="M464" s="87"/>
      <c r="N464" s="87"/>
      <c r="O464" s="87"/>
      <c r="Q464" s="330" t="s">
        <v>28</v>
      </c>
      <c r="R464" s="491">
        <v>4.5600000000000005</v>
      </c>
      <c r="S464" s="491">
        <v>5.6</v>
      </c>
      <c r="T464" s="491">
        <v>7.26</v>
      </c>
      <c r="U464" s="491">
        <v>5.3000000000000007</v>
      </c>
      <c r="V464" s="491">
        <v>2.64</v>
      </c>
      <c r="W464" s="491">
        <v>3.66</v>
      </c>
      <c r="X464" s="87"/>
      <c r="Y464" s="87"/>
      <c r="Z464" s="87"/>
      <c r="AA464" s="87"/>
      <c r="AB464" s="87"/>
      <c r="AD464" s="330" t="s">
        <v>28</v>
      </c>
      <c r="AE464" s="490">
        <v>3.9000000000000004</v>
      </c>
      <c r="AF464" s="491">
        <v>3.85</v>
      </c>
      <c r="AG464" s="491">
        <v>4.68</v>
      </c>
      <c r="AH464" s="491">
        <v>5.45</v>
      </c>
      <c r="AI464" s="491">
        <v>5.16</v>
      </c>
      <c r="AJ464" s="491">
        <v>5.75</v>
      </c>
      <c r="AK464" s="87"/>
      <c r="AL464" s="87"/>
      <c r="AM464" s="87"/>
      <c r="AN464" s="87"/>
      <c r="AO464" s="87"/>
      <c r="AQ464" s="330" t="s">
        <v>28</v>
      </c>
      <c r="AR464" s="493">
        <v>9.6199999999999992</v>
      </c>
      <c r="AS464" s="493">
        <v>13.35</v>
      </c>
      <c r="AT464" s="493">
        <v>13.299999999999999</v>
      </c>
      <c r="AU464" s="493">
        <v>19.190000000000001</v>
      </c>
      <c r="AV464" s="493">
        <v>19.89</v>
      </c>
      <c r="AW464" s="493">
        <v>18.04</v>
      </c>
      <c r="AX464" s="87"/>
      <c r="AY464" s="87"/>
      <c r="AZ464" s="87"/>
      <c r="BA464" s="87"/>
      <c r="BB464" s="87"/>
      <c r="BD464" s="330" t="s">
        <v>28</v>
      </c>
      <c r="BE464" s="490">
        <v>0</v>
      </c>
      <c r="BF464" s="491">
        <v>0</v>
      </c>
      <c r="BG464" s="491">
        <v>0</v>
      </c>
      <c r="BH464" s="491">
        <v>0</v>
      </c>
      <c r="BI464" s="491">
        <v>0</v>
      </c>
      <c r="BJ464" s="491">
        <v>0</v>
      </c>
      <c r="BK464" s="87"/>
      <c r="BL464" s="87"/>
      <c r="BM464" s="87"/>
      <c r="BN464" s="87"/>
      <c r="BO464" s="87"/>
      <c r="BQ464" s="330" t="s">
        <v>28</v>
      </c>
      <c r="BR464" s="490">
        <v>3.72</v>
      </c>
      <c r="BS464" s="491">
        <v>5.6999999999999993</v>
      </c>
      <c r="BT464" s="491">
        <v>6.35</v>
      </c>
      <c r="BU464" s="491">
        <v>2.0999999999999996</v>
      </c>
      <c r="BV464" s="491">
        <v>2.4899999999999998</v>
      </c>
      <c r="BW464" s="491">
        <v>2.8499999999999996</v>
      </c>
      <c r="BX464" s="87"/>
      <c r="BY464" s="87"/>
      <c r="BZ464" s="87"/>
      <c r="CA464" s="87"/>
      <c r="CB464" s="87"/>
      <c r="CE464" s="330" t="s">
        <v>28</v>
      </c>
      <c r="CF464" s="490">
        <v>0</v>
      </c>
      <c r="CG464" s="490">
        <v>0</v>
      </c>
      <c r="CH464" s="490">
        <v>0</v>
      </c>
      <c r="CI464" s="490">
        <v>0</v>
      </c>
      <c r="CJ464" s="490">
        <v>0</v>
      </c>
      <c r="CK464" s="490">
        <v>0</v>
      </c>
      <c r="CL464" s="87"/>
      <c r="CM464" s="87"/>
      <c r="CN464" s="87"/>
      <c r="CO464" s="87"/>
      <c r="CP464" s="87"/>
    </row>
    <row r="465" spans="4:94" s="316" customFormat="1" outlineLevel="1">
      <c r="D465" s="329" t="s">
        <v>453</v>
      </c>
      <c r="E465" s="490">
        <v>1.0900000000000001</v>
      </c>
      <c r="F465" s="490">
        <v>0.97</v>
      </c>
      <c r="G465" s="490">
        <v>1.27</v>
      </c>
      <c r="H465" s="490">
        <v>1.56</v>
      </c>
      <c r="I465" s="490">
        <v>3.3899999999999997</v>
      </c>
      <c r="J465" s="490">
        <v>3.12</v>
      </c>
      <c r="K465" s="87"/>
      <c r="L465" s="87"/>
      <c r="M465" s="87"/>
      <c r="N465" s="87"/>
      <c r="O465" s="87"/>
      <c r="Q465" s="329" t="s">
        <v>453</v>
      </c>
      <c r="R465" s="491">
        <v>2.54</v>
      </c>
      <c r="S465" s="491">
        <v>2</v>
      </c>
      <c r="T465" s="491">
        <v>1.98</v>
      </c>
      <c r="U465" s="491">
        <v>2.36</v>
      </c>
      <c r="V465" s="491">
        <v>2.42</v>
      </c>
      <c r="W465" s="491">
        <v>2.14</v>
      </c>
      <c r="X465" s="87"/>
      <c r="Y465" s="87"/>
      <c r="Z465" s="87"/>
      <c r="AA465" s="87"/>
      <c r="AB465" s="87"/>
      <c r="AD465" s="329" t="s">
        <v>453</v>
      </c>
      <c r="AE465" s="490">
        <v>0</v>
      </c>
      <c r="AF465" s="491">
        <v>0</v>
      </c>
      <c r="AG465" s="491">
        <v>0</v>
      </c>
      <c r="AH465" s="491">
        <v>0</v>
      </c>
      <c r="AI465" s="491">
        <v>0</v>
      </c>
      <c r="AJ465" s="491">
        <v>0</v>
      </c>
      <c r="AK465" s="87"/>
      <c r="AL465" s="87"/>
      <c r="AM465" s="87"/>
      <c r="AN465" s="87"/>
      <c r="AO465" s="87"/>
      <c r="AQ465" s="329" t="s">
        <v>453</v>
      </c>
      <c r="AR465" s="490">
        <v>0</v>
      </c>
      <c r="AS465" s="491">
        <v>0</v>
      </c>
      <c r="AT465" s="491">
        <v>0</v>
      </c>
      <c r="AU465" s="491">
        <v>0</v>
      </c>
      <c r="AV465" s="491">
        <v>0</v>
      </c>
      <c r="AW465" s="491">
        <v>0</v>
      </c>
      <c r="AX465" s="87"/>
      <c r="AY465" s="87"/>
      <c r="AZ465" s="87"/>
      <c r="BA465" s="87"/>
      <c r="BB465" s="87"/>
      <c r="BD465" s="329" t="s">
        <v>453</v>
      </c>
      <c r="BE465" s="490">
        <v>0</v>
      </c>
      <c r="BF465" s="491">
        <v>0</v>
      </c>
      <c r="BG465" s="491">
        <v>0</v>
      </c>
      <c r="BH465" s="491">
        <v>0</v>
      </c>
      <c r="BI465" s="491">
        <v>0</v>
      </c>
      <c r="BJ465" s="491">
        <v>0</v>
      </c>
      <c r="BK465" s="87"/>
      <c r="BL465" s="87"/>
      <c r="BM465" s="87"/>
      <c r="BN465" s="87"/>
      <c r="BO465" s="87"/>
      <c r="BQ465" s="329" t="s">
        <v>453</v>
      </c>
      <c r="BR465" s="490">
        <v>0</v>
      </c>
      <c r="BS465" s="491">
        <v>0</v>
      </c>
      <c r="BT465" s="491">
        <v>0.77</v>
      </c>
      <c r="BU465" s="491">
        <v>0.78</v>
      </c>
      <c r="BV465" s="491">
        <v>1.02</v>
      </c>
      <c r="BW465" s="491">
        <v>1.03</v>
      </c>
      <c r="BX465" s="87"/>
      <c r="BY465" s="87"/>
      <c r="BZ465" s="87"/>
      <c r="CA465" s="87"/>
      <c r="CB465" s="87"/>
      <c r="CE465" s="329" t="s">
        <v>453</v>
      </c>
      <c r="CF465" s="490">
        <v>0</v>
      </c>
      <c r="CG465" s="490">
        <v>0</v>
      </c>
      <c r="CH465" s="490">
        <v>0</v>
      </c>
      <c r="CI465" s="490">
        <v>0</v>
      </c>
      <c r="CJ465" s="490">
        <v>0</v>
      </c>
      <c r="CK465" s="490">
        <v>0</v>
      </c>
      <c r="CL465" s="87"/>
      <c r="CM465" s="87"/>
      <c r="CN465" s="87"/>
      <c r="CO465" s="87"/>
      <c r="CP465" s="87"/>
    </row>
    <row r="466" spans="4:94" s="316" customFormat="1" outlineLevel="1">
      <c r="D466" s="329" t="s">
        <v>454</v>
      </c>
      <c r="E466" s="490">
        <v>7.1999999999999993</v>
      </c>
      <c r="F466" s="490">
        <v>1.26</v>
      </c>
      <c r="G466" s="490">
        <v>1.21</v>
      </c>
      <c r="H466" s="490">
        <v>1.07</v>
      </c>
      <c r="I466" s="490">
        <v>1</v>
      </c>
      <c r="J466" s="490">
        <v>0.78</v>
      </c>
      <c r="K466" s="87"/>
      <c r="L466" s="87"/>
      <c r="M466" s="87"/>
      <c r="N466" s="87"/>
      <c r="O466" s="87"/>
      <c r="Q466" s="329" t="s">
        <v>454</v>
      </c>
      <c r="R466" s="491">
        <v>0</v>
      </c>
      <c r="S466" s="491">
        <v>0</v>
      </c>
      <c r="T466" s="491">
        <v>0</v>
      </c>
      <c r="U466" s="491">
        <v>0</v>
      </c>
      <c r="V466" s="491">
        <v>0</v>
      </c>
      <c r="W466" s="491">
        <v>0</v>
      </c>
      <c r="X466" s="87"/>
      <c r="Y466" s="87"/>
      <c r="Z466" s="87"/>
      <c r="AA466" s="87"/>
      <c r="AB466" s="87"/>
      <c r="AD466" s="329" t="s">
        <v>454</v>
      </c>
      <c r="AE466" s="490">
        <v>0</v>
      </c>
      <c r="AF466" s="491">
        <v>0</v>
      </c>
      <c r="AG466" s="491">
        <v>0</v>
      </c>
      <c r="AH466" s="491">
        <v>0</v>
      </c>
      <c r="AI466" s="491">
        <v>0</v>
      </c>
      <c r="AJ466" s="491">
        <v>0</v>
      </c>
      <c r="AK466" s="87"/>
      <c r="AL466" s="87"/>
      <c r="AM466" s="87"/>
      <c r="AN466" s="87"/>
      <c r="AO466" s="87"/>
      <c r="AQ466" s="329" t="s">
        <v>454</v>
      </c>
      <c r="AR466" s="490">
        <v>0</v>
      </c>
      <c r="AS466" s="491">
        <v>0</v>
      </c>
      <c r="AT466" s="491">
        <v>0</v>
      </c>
      <c r="AU466" s="491">
        <v>0</v>
      </c>
      <c r="AV466" s="491">
        <v>0</v>
      </c>
      <c r="AW466" s="491">
        <v>0</v>
      </c>
      <c r="AX466" s="87"/>
      <c r="AY466" s="87"/>
      <c r="AZ466" s="87"/>
      <c r="BA466" s="87"/>
      <c r="BB466" s="87"/>
      <c r="BD466" s="329" t="s">
        <v>454</v>
      </c>
      <c r="BE466" s="490">
        <v>0</v>
      </c>
      <c r="BF466" s="491">
        <v>0</v>
      </c>
      <c r="BG466" s="491">
        <v>0</v>
      </c>
      <c r="BH466" s="491">
        <v>0</v>
      </c>
      <c r="BI466" s="491">
        <v>0</v>
      </c>
      <c r="BJ466" s="491">
        <v>0</v>
      </c>
      <c r="BK466" s="87"/>
      <c r="BL466" s="87"/>
      <c r="BM466" s="87"/>
      <c r="BN466" s="87"/>
      <c r="BO466" s="87"/>
      <c r="BQ466" s="329" t="s">
        <v>454</v>
      </c>
      <c r="BR466" s="490">
        <v>3.76</v>
      </c>
      <c r="BS466" s="491">
        <v>4.04</v>
      </c>
      <c r="BT466" s="491">
        <v>4.76</v>
      </c>
      <c r="BU466" s="491">
        <v>2.92</v>
      </c>
      <c r="BV466" s="491">
        <v>3.44</v>
      </c>
      <c r="BW466" s="491">
        <v>4.5199999999999996</v>
      </c>
      <c r="BX466" s="87"/>
      <c r="BY466" s="87"/>
      <c r="BZ466" s="87"/>
      <c r="CA466" s="87"/>
      <c r="CB466" s="87"/>
      <c r="CE466" s="329" t="s">
        <v>454</v>
      </c>
      <c r="CF466" s="490">
        <v>0</v>
      </c>
      <c r="CG466" s="490">
        <v>0</v>
      </c>
      <c r="CH466" s="490">
        <v>0</v>
      </c>
      <c r="CI466" s="490">
        <v>0</v>
      </c>
      <c r="CJ466" s="490">
        <v>0</v>
      </c>
      <c r="CK466" s="490">
        <v>0</v>
      </c>
      <c r="CL466" s="87"/>
      <c r="CM466" s="87"/>
      <c r="CN466" s="87"/>
      <c r="CO466" s="87"/>
      <c r="CP466" s="87"/>
    </row>
    <row r="467" spans="4:94" s="316" customFormat="1" outlineLevel="1">
      <c r="D467" s="329" t="s">
        <v>455</v>
      </c>
      <c r="E467" s="490">
        <v>0</v>
      </c>
      <c r="F467" s="490">
        <v>0</v>
      </c>
      <c r="G467" s="490">
        <v>0</v>
      </c>
      <c r="H467" s="490">
        <v>0</v>
      </c>
      <c r="I467" s="490">
        <v>0</v>
      </c>
      <c r="J467" s="490">
        <v>0</v>
      </c>
      <c r="K467" s="87"/>
      <c r="L467" s="87"/>
      <c r="M467" s="87"/>
      <c r="N467" s="87"/>
      <c r="O467" s="87"/>
      <c r="Q467" s="329" t="s">
        <v>455</v>
      </c>
      <c r="R467" s="491">
        <v>0</v>
      </c>
      <c r="S467" s="491">
        <v>0</v>
      </c>
      <c r="T467" s="491">
        <v>0</v>
      </c>
      <c r="U467" s="491">
        <v>0</v>
      </c>
      <c r="V467" s="491">
        <v>0</v>
      </c>
      <c r="W467" s="491">
        <v>0</v>
      </c>
      <c r="X467" s="87"/>
      <c r="Y467" s="87"/>
      <c r="Z467" s="87"/>
      <c r="AA467" s="87"/>
      <c r="AB467" s="87"/>
      <c r="AD467" s="329" t="s">
        <v>455</v>
      </c>
      <c r="AE467" s="490">
        <v>0</v>
      </c>
      <c r="AF467" s="491">
        <v>0</v>
      </c>
      <c r="AG467" s="491">
        <v>0</v>
      </c>
      <c r="AH467" s="491">
        <v>0</v>
      </c>
      <c r="AI467" s="491">
        <v>0</v>
      </c>
      <c r="AJ467" s="491">
        <v>0</v>
      </c>
      <c r="AK467" s="87"/>
      <c r="AL467" s="87"/>
      <c r="AM467" s="87"/>
      <c r="AN467" s="87"/>
      <c r="AO467" s="87"/>
      <c r="AQ467" s="329" t="s">
        <v>455</v>
      </c>
      <c r="AR467" s="491">
        <v>0</v>
      </c>
      <c r="AS467" s="491">
        <v>0</v>
      </c>
      <c r="AT467" s="491">
        <v>0</v>
      </c>
      <c r="AU467" s="491">
        <v>0</v>
      </c>
      <c r="AV467" s="491">
        <v>0</v>
      </c>
      <c r="AW467" s="491">
        <v>0</v>
      </c>
      <c r="AX467" s="87"/>
      <c r="AY467" s="87"/>
      <c r="AZ467" s="87"/>
      <c r="BA467" s="87"/>
      <c r="BB467" s="87"/>
      <c r="BD467" s="329" t="s">
        <v>455</v>
      </c>
      <c r="BE467" s="490">
        <v>0</v>
      </c>
      <c r="BF467" s="491">
        <v>0</v>
      </c>
      <c r="BG467" s="491">
        <v>0</v>
      </c>
      <c r="BH467" s="491">
        <v>0</v>
      </c>
      <c r="BI467" s="491">
        <v>0</v>
      </c>
      <c r="BJ467" s="491">
        <v>0</v>
      </c>
      <c r="BK467" s="87"/>
      <c r="BL467" s="87"/>
      <c r="BM467" s="87"/>
      <c r="BN467" s="87"/>
      <c r="BO467" s="87"/>
      <c r="BQ467" s="329" t="s">
        <v>455</v>
      </c>
      <c r="BR467" s="490">
        <v>0</v>
      </c>
      <c r="BS467" s="491">
        <v>0</v>
      </c>
      <c r="BT467" s="491">
        <v>0</v>
      </c>
      <c r="BU467" s="491">
        <v>0</v>
      </c>
      <c r="BV467" s="491">
        <v>0</v>
      </c>
      <c r="BW467" s="491">
        <v>0</v>
      </c>
      <c r="BX467" s="87"/>
      <c r="BY467" s="87"/>
      <c r="BZ467" s="87"/>
      <c r="CA467" s="87"/>
      <c r="CB467" s="87"/>
      <c r="CE467" s="329" t="s">
        <v>455</v>
      </c>
      <c r="CF467" s="490">
        <v>0</v>
      </c>
      <c r="CG467" s="490">
        <v>0</v>
      </c>
      <c r="CH467" s="490">
        <v>0</v>
      </c>
      <c r="CI467" s="490">
        <v>0</v>
      </c>
      <c r="CJ467" s="490">
        <v>0</v>
      </c>
      <c r="CK467" s="490">
        <v>0</v>
      </c>
      <c r="CL467" s="87"/>
      <c r="CM467" s="87"/>
      <c r="CN467" s="87"/>
      <c r="CO467" s="87"/>
      <c r="CP467" s="87"/>
    </row>
    <row r="468" spans="4:94" s="316" customFormat="1" outlineLevel="1">
      <c r="D468" s="329" t="s">
        <v>456</v>
      </c>
      <c r="E468" s="490">
        <v>0</v>
      </c>
      <c r="F468" s="491">
        <v>0</v>
      </c>
      <c r="G468" s="491">
        <v>0</v>
      </c>
      <c r="H468" s="491">
        <v>0</v>
      </c>
      <c r="I468" s="491">
        <v>0</v>
      </c>
      <c r="J468" s="491">
        <v>0</v>
      </c>
      <c r="K468" s="87"/>
      <c r="L468" s="87"/>
      <c r="M468" s="87"/>
      <c r="N468" s="87"/>
      <c r="O468" s="87"/>
      <c r="Q468" s="329" t="s">
        <v>456</v>
      </c>
      <c r="R468" s="491">
        <v>0</v>
      </c>
      <c r="S468" s="491">
        <v>0</v>
      </c>
      <c r="T468" s="491">
        <v>0</v>
      </c>
      <c r="U468" s="491">
        <v>0</v>
      </c>
      <c r="V468" s="491">
        <v>0</v>
      </c>
      <c r="W468" s="491">
        <v>0</v>
      </c>
      <c r="X468" s="87"/>
      <c r="Y468" s="87"/>
      <c r="Z468" s="87"/>
      <c r="AA468" s="87"/>
      <c r="AB468" s="87"/>
      <c r="AD468" s="329" t="s">
        <v>456</v>
      </c>
      <c r="AE468" s="490">
        <v>0</v>
      </c>
      <c r="AF468" s="491">
        <v>0</v>
      </c>
      <c r="AG468" s="491">
        <v>0</v>
      </c>
      <c r="AH468" s="491">
        <v>0</v>
      </c>
      <c r="AI468" s="491">
        <v>0</v>
      </c>
      <c r="AJ468" s="491">
        <v>0</v>
      </c>
      <c r="AK468" s="87"/>
      <c r="AL468" s="87"/>
      <c r="AM468" s="87"/>
      <c r="AN468" s="87"/>
      <c r="AO468" s="87"/>
      <c r="AQ468" s="329" t="s">
        <v>456</v>
      </c>
      <c r="AR468" s="491">
        <v>0</v>
      </c>
      <c r="AS468" s="491">
        <v>0</v>
      </c>
      <c r="AT468" s="491">
        <v>0</v>
      </c>
      <c r="AU468" s="491">
        <v>0</v>
      </c>
      <c r="AV468" s="491">
        <v>0</v>
      </c>
      <c r="AW468" s="491">
        <v>0</v>
      </c>
      <c r="AX468" s="87"/>
      <c r="AY468" s="87"/>
      <c r="AZ468" s="87"/>
      <c r="BA468" s="87"/>
      <c r="BB468" s="87"/>
      <c r="BD468" s="329" t="s">
        <v>456</v>
      </c>
      <c r="BE468" s="492">
        <v>0</v>
      </c>
      <c r="BF468" s="492">
        <v>0</v>
      </c>
      <c r="BG468" s="492">
        <v>0</v>
      </c>
      <c r="BH468" s="492">
        <v>0</v>
      </c>
      <c r="BI468" s="492">
        <v>0</v>
      </c>
      <c r="BJ468" s="492">
        <v>0</v>
      </c>
      <c r="BK468" s="87"/>
      <c r="BL468" s="87"/>
      <c r="BM468" s="87"/>
      <c r="BN468" s="87"/>
      <c r="BO468" s="87"/>
      <c r="BQ468" s="329" t="s">
        <v>456</v>
      </c>
      <c r="BR468" s="492">
        <v>0</v>
      </c>
      <c r="BS468" s="492">
        <v>0</v>
      </c>
      <c r="BT468" s="492">
        <v>0</v>
      </c>
      <c r="BU468" s="492">
        <v>0</v>
      </c>
      <c r="BV468" s="492">
        <v>0</v>
      </c>
      <c r="BW468" s="492">
        <v>0</v>
      </c>
      <c r="BX468" s="87"/>
      <c r="BY468" s="87"/>
      <c r="BZ468" s="87"/>
      <c r="CA468" s="87"/>
      <c r="CB468" s="87"/>
      <c r="CE468" s="329" t="s">
        <v>456</v>
      </c>
      <c r="CF468" s="490">
        <v>0</v>
      </c>
      <c r="CG468" s="491">
        <v>0</v>
      </c>
      <c r="CH468" s="491">
        <v>0</v>
      </c>
      <c r="CI468" s="491">
        <v>0</v>
      </c>
      <c r="CJ468" s="491">
        <v>0</v>
      </c>
      <c r="CK468" s="491">
        <v>0</v>
      </c>
      <c r="CL468" s="87"/>
      <c r="CM468" s="87"/>
      <c r="CN468" s="87"/>
      <c r="CO468" s="87"/>
      <c r="CP468" s="87"/>
    </row>
    <row r="469" spans="4:94" s="316" customFormat="1" outlineLevel="1">
      <c r="D469" s="327" t="s">
        <v>457</v>
      </c>
      <c r="E469" s="490">
        <v>111.75</v>
      </c>
      <c r="F469" s="491">
        <v>219.71</v>
      </c>
      <c r="G469" s="491">
        <v>411.25</v>
      </c>
      <c r="H469" s="491">
        <v>961.28</v>
      </c>
      <c r="I469" s="491">
        <v>1593.9</v>
      </c>
      <c r="J469" s="491">
        <v>1926.9</v>
      </c>
      <c r="K469" s="87"/>
      <c r="L469" s="87"/>
      <c r="M469" s="87"/>
      <c r="N469" s="87"/>
      <c r="O469" s="87"/>
      <c r="Q469" s="327" t="s">
        <v>457</v>
      </c>
      <c r="R469" s="491">
        <v>6.02</v>
      </c>
      <c r="S469" s="491">
        <v>12.9</v>
      </c>
      <c r="T469" s="491">
        <v>23.310000000000002</v>
      </c>
      <c r="U469" s="491">
        <v>57.04</v>
      </c>
      <c r="V469" s="491">
        <v>142.73999999999998</v>
      </c>
      <c r="W469" s="491">
        <v>299.16000000000003</v>
      </c>
      <c r="X469" s="87"/>
      <c r="Y469" s="87"/>
      <c r="Z469" s="87"/>
      <c r="AA469" s="87"/>
      <c r="AB469" s="87"/>
      <c r="AD469" s="327" t="s">
        <v>457</v>
      </c>
      <c r="AE469" s="490">
        <v>1.4</v>
      </c>
      <c r="AF469" s="491">
        <v>3.6</v>
      </c>
      <c r="AG469" s="491">
        <v>9.9</v>
      </c>
      <c r="AH469" s="491">
        <v>41.28</v>
      </c>
      <c r="AI469" s="491">
        <v>39.6</v>
      </c>
      <c r="AJ469" s="491">
        <v>43.309999999999995</v>
      </c>
      <c r="AK469" s="87"/>
      <c r="AL469" s="87"/>
      <c r="AM469" s="87"/>
      <c r="AN469" s="87"/>
      <c r="AO469" s="87"/>
      <c r="AQ469" s="327" t="s">
        <v>457</v>
      </c>
      <c r="AR469" s="491">
        <v>12.18</v>
      </c>
      <c r="AS469" s="491">
        <v>17.849999999999998</v>
      </c>
      <c r="AT469" s="491">
        <v>34.29</v>
      </c>
      <c r="AU469" s="491">
        <v>40.89</v>
      </c>
      <c r="AV469" s="491">
        <v>86.52</v>
      </c>
      <c r="AW469" s="491">
        <v>151.25</v>
      </c>
      <c r="AX469" s="87"/>
      <c r="AY469" s="87"/>
      <c r="AZ469" s="87"/>
      <c r="BA469" s="87"/>
      <c r="BB469" s="87"/>
      <c r="BD469" s="327" t="s">
        <v>457</v>
      </c>
      <c r="BE469" s="491">
        <v>1.01</v>
      </c>
      <c r="BF469" s="491">
        <v>2.1</v>
      </c>
      <c r="BG469" s="491">
        <v>4.68</v>
      </c>
      <c r="BH469" s="491">
        <v>1.5</v>
      </c>
      <c r="BI469" s="491">
        <v>6.15</v>
      </c>
      <c r="BJ469" s="491">
        <v>5.88</v>
      </c>
      <c r="BK469" s="87"/>
      <c r="BL469" s="87"/>
      <c r="BM469" s="87"/>
      <c r="BN469" s="87"/>
      <c r="BO469" s="87"/>
      <c r="BQ469" s="327" t="s">
        <v>457</v>
      </c>
      <c r="BR469" s="492">
        <v>0</v>
      </c>
      <c r="BS469" s="492">
        <v>0</v>
      </c>
      <c r="BT469" s="492">
        <v>0</v>
      </c>
      <c r="BU469" s="492">
        <v>0</v>
      </c>
      <c r="BV469" s="492">
        <v>0</v>
      </c>
      <c r="BW469" s="492">
        <v>0</v>
      </c>
      <c r="BX469" s="87"/>
      <c r="BY469" s="87"/>
      <c r="BZ469" s="87"/>
      <c r="CA469" s="87"/>
      <c r="CB469" s="87"/>
      <c r="CE469" s="327" t="s">
        <v>457</v>
      </c>
      <c r="CF469" s="490">
        <v>0</v>
      </c>
      <c r="CG469" s="491">
        <v>0</v>
      </c>
      <c r="CH469" s="491">
        <v>0</v>
      </c>
      <c r="CI469" s="491">
        <v>0</v>
      </c>
      <c r="CJ469" s="491">
        <v>0</v>
      </c>
      <c r="CK469" s="491">
        <v>0</v>
      </c>
      <c r="CL469" s="87"/>
      <c r="CM469" s="87"/>
      <c r="CN469" s="87"/>
      <c r="CO469" s="87"/>
      <c r="CP469" s="87"/>
    </row>
    <row r="470" spans="4:94" s="316" customFormat="1" outlineLevel="1">
      <c r="D470" s="329" t="s">
        <v>458</v>
      </c>
      <c r="E470" s="490">
        <v>21</v>
      </c>
      <c r="F470" s="491">
        <v>44.53</v>
      </c>
      <c r="G470" s="491">
        <v>139.36000000000001</v>
      </c>
      <c r="H470" s="491">
        <v>327.45000000000005</v>
      </c>
      <c r="I470" s="491">
        <v>658.32</v>
      </c>
      <c r="J470" s="491">
        <v>1142.3999999999999</v>
      </c>
      <c r="K470" s="87"/>
      <c r="L470" s="87"/>
      <c r="M470" s="87"/>
      <c r="N470" s="87"/>
      <c r="O470" s="87"/>
      <c r="Q470" s="329" t="s">
        <v>458</v>
      </c>
      <c r="R470" s="491">
        <v>1.01</v>
      </c>
      <c r="S470" s="491">
        <v>2.64</v>
      </c>
      <c r="T470" s="491">
        <v>6.5</v>
      </c>
      <c r="U470" s="491">
        <v>17.399999999999999</v>
      </c>
      <c r="V470" s="491">
        <v>45.54</v>
      </c>
      <c r="W470" s="491">
        <v>149.94</v>
      </c>
      <c r="X470" s="87"/>
      <c r="Y470" s="87"/>
      <c r="Z470" s="87"/>
      <c r="AA470" s="87"/>
      <c r="AB470" s="87"/>
      <c r="AD470" s="329" t="s">
        <v>458</v>
      </c>
      <c r="AE470" s="490">
        <v>0</v>
      </c>
      <c r="AF470" s="491">
        <v>1.1100000000000001</v>
      </c>
      <c r="AG470" s="491">
        <v>0</v>
      </c>
      <c r="AH470" s="491">
        <v>6.09</v>
      </c>
      <c r="AI470" s="491">
        <v>18.75</v>
      </c>
      <c r="AJ470" s="491">
        <v>35.340000000000003</v>
      </c>
      <c r="AK470" s="87"/>
      <c r="AL470" s="87"/>
      <c r="AM470" s="87"/>
      <c r="AN470" s="87"/>
      <c r="AO470" s="87"/>
      <c r="AQ470" s="329" t="s">
        <v>458</v>
      </c>
      <c r="AR470" s="491">
        <v>7.74</v>
      </c>
      <c r="AS470" s="491">
        <v>6.16</v>
      </c>
      <c r="AT470" s="491">
        <v>8.0499999999999989</v>
      </c>
      <c r="AU470" s="491">
        <v>10.45</v>
      </c>
      <c r="AV470" s="491">
        <v>18</v>
      </c>
      <c r="AW470" s="491">
        <v>41.58</v>
      </c>
      <c r="AX470" s="87"/>
      <c r="AY470" s="87"/>
      <c r="AZ470" s="87"/>
      <c r="BA470" s="87"/>
      <c r="BB470" s="87"/>
      <c r="BD470" s="329" t="s">
        <v>458</v>
      </c>
      <c r="BE470" s="491">
        <v>0</v>
      </c>
      <c r="BF470" s="491">
        <v>1.46</v>
      </c>
      <c r="BG470" s="491">
        <v>2.48</v>
      </c>
      <c r="BH470" s="491">
        <v>5.05</v>
      </c>
      <c r="BI470" s="491">
        <v>5</v>
      </c>
      <c r="BJ470" s="491">
        <v>6.4</v>
      </c>
      <c r="BK470" s="87"/>
      <c r="BL470" s="87"/>
      <c r="BM470" s="87"/>
      <c r="BN470" s="87"/>
      <c r="BO470" s="87"/>
      <c r="BQ470" s="329" t="s">
        <v>458</v>
      </c>
      <c r="BR470" s="490">
        <v>0</v>
      </c>
      <c r="BS470" s="491">
        <v>0</v>
      </c>
      <c r="BT470" s="491">
        <v>0</v>
      </c>
      <c r="BU470" s="491">
        <v>0</v>
      </c>
      <c r="BV470" s="491">
        <v>0</v>
      </c>
      <c r="BW470" s="491">
        <v>0</v>
      </c>
      <c r="BX470" s="87"/>
      <c r="BY470" s="87"/>
      <c r="BZ470" s="87"/>
      <c r="CA470" s="87"/>
      <c r="CB470" s="87"/>
      <c r="CE470" s="329" t="s">
        <v>458</v>
      </c>
      <c r="CF470" s="490">
        <v>0</v>
      </c>
      <c r="CG470" s="491">
        <v>0</v>
      </c>
      <c r="CH470" s="491">
        <v>0</v>
      </c>
      <c r="CI470" s="491">
        <v>0</v>
      </c>
      <c r="CJ470" s="491">
        <v>0</v>
      </c>
      <c r="CK470" s="491">
        <v>0</v>
      </c>
      <c r="CL470" s="87"/>
      <c r="CM470" s="87"/>
      <c r="CN470" s="87"/>
      <c r="CO470" s="87"/>
      <c r="CP470" s="87"/>
    </row>
    <row r="471" spans="4:94" s="316" customFormat="1" outlineLevel="1">
      <c r="D471" s="329" t="s">
        <v>459</v>
      </c>
      <c r="E471" s="490">
        <v>19.78</v>
      </c>
      <c r="F471" s="491">
        <v>20.16</v>
      </c>
      <c r="G471" s="491">
        <v>56.680000000000007</v>
      </c>
      <c r="H471" s="491">
        <v>141.44999999999999</v>
      </c>
      <c r="I471" s="491">
        <v>220.18</v>
      </c>
      <c r="J471" s="491">
        <v>442.88</v>
      </c>
      <c r="K471" s="87"/>
      <c r="L471" s="87"/>
      <c r="M471" s="87"/>
      <c r="N471" s="87"/>
      <c r="O471" s="87"/>
      <c r="Q471" s="329" t="s">
        <v>459</v>
      </c>
      <c r="R471" s="491">
        <v>0</v>
      </c>
      <c r="S471" s="491">
        <v>0.74</v>
      </c>
      <c r="T471" s="491">
        <v>1.64</v>
      </c>
      <c r="U471" s="491">
        <v>7.28</v>
      </c>
      <c r="V471" s="491">
        <v>13.799999999999999</v>
      </c>
      <c r="W471" s="491">
        <v>32.76</v>
      </c>
      <c r="X471" s="87"/>
      <c r="Y471" s="87"/>
      <c r="Z471" s="87"/>
      <c r="AA471" s="87"/>
      <c r="AB471" s="87"/>
      <c r="AD471" s="329" t="s">
        <v>459</v>
      </c>
      <c r="AE471" s="490">
        <v>0</v>
      </c>
      <c r="AF471" s="491">
        <v>0.77</v>
      </c>
      <c r="AG471" s="491">
        <v>0</v>
      </c>
      <c r="AH471" s="491">
        <v>6</v>
      </c>
      <c r="AI471" s="491">
        <v>6.57</v>
      </c>
      <c r="AJ471" s="491">
        <v>13.91</v>
      </c>
      <c r="AK471" s="87"/>
      <c r="AL471" s="87"/>
      <c r="AM471" s="87"/>
      <c r="AN471" s="87"/>
      <c r="AO471" s="87"/>
      <c r="AQ471" s="329" t="s">
        <v>459</v>
      </c>
      <c r="AR471" s="491">
        <v>2.38</v>
      </c>
      <c r="AS471" s="491">
        <v>1.94</v>
      </c>
      <c r="AT471" s="491">
        <v>3.81</v>
      </c>
      <c r="AU471" s="491">
        <v>10.4</v>
      </c>
      <c r="AV471" s="491">
        <v>11.4</v>
      </c>
      <c r="AW471" s="491">
        <v>15.04</v>
      </c>
      <c r="AX471" s="87"/>
      <c r="AY471" s="87"/>
      <c r="AZ471" s="87"/>
      <c r="BA471" s="87"/>
      <c r="BB471" s="87"/>
      <c r="BD471" s="329" t="s">
        <v>459</v>
      </c>
      <c r="BE471" s="490">
        <v>0</v>
      </c>
      <c r="BF471" s="491">
        <v>0</v>
      </c>
      <c r="BG471" s="491">
        <v>0</v>
      </c>
      <c r="BH471" s="491">
        <v>0</v>
      </c>
      <c r="BI471" s="491">
        <v>0</v>
      </c>
      <c r="BJ471" s="491">
        <v>0</v>
      </c>
      <c r="BK471" s="87"/>
      <c r="BL471" s="87"/>
      <c r="BM471" s="87"/>
      <c r="BN471" s="87"/>
      <c r="BO471" s="87"/>
      <c r="BQ471" s="329" t="s">
        <v>459</v>
      </c>
      <c r="BR471" s="490">
        <v>0</v>
      </c>
      <c r="BS471" s="491">
        <v>0</v>
      </c>
      <c r="BT471" s="491">
        <v>0</v>
      </c>
      <c r="BU471" s="491">
        <v>0</v>
      </c>
      <c r="BV471" s="491">
        <v>0</v>
      </c>
      <c r="BW471" s="491">
        <v>0</v>
      </c>
      <c r="BX471" s="87"/>
      <c r="BY471" s="87"/>
      <c r="BZ471" s="87"/>
      <c r="CA471" s="87"/>
      <c r="CB471" s="87"/>
      <c r="CE471" s="329" t="s">
        <v>459</v>
      </c>
      <c r="CF471" s="490">
        <v>0</v>
      </c>
      <c r="CG471" s="491">
        <v>0</v>
      </c>
      <c r="CH471" s="491">
        <v>0</v>
      </c>
      <c r="CI471" s="491">
        <v>0</v>
      </c>
      <c r="CJ471" s="491">
        <v>0</v>
      </c>
      <c r="CK471" s="491">
        <v>0</v>
      </c>
      <c r="CL471" s="87"/>
      <c r="CM471" s="87"/>
      <c r="CN471" s="87"/>
      <c r="CO471" s="87"/>
      <c r="CP471" s="87"/>
    </row>
    <row r="472" spans="4:94" s="316" customFormat="1" outlineLevel="1">
      <c r="D472" s="329" t="s">
        <v>460</v>
      </c>
      <c r="E472" s="490">
        <v>1.64</v>
      </c>
      <c r="F472" s="491">
        <v>5.2</v>
      </c>
      <c r="G472" s="491">
        <v>14.4</v>
      </c>
      <c r="H472" s="491">
        <v>46.980000000000004</v>
      </c>
      <c r="I472" s="491">
        <v>118.17</v>
      </c>
      <c r="J472" s="491">
        <v>302.82</v>
      </c>
      <c r="K472" s="87"/>
      <c r="L472" s="87"/>
      <c r="M472" s="87"/>
      <c r="N472" s="87"/>
      <c r="O472" s="87"/>
      <c r="Q472" s="329" t="s">
        <v>460</v>
      </c>
      <c r="R472" s="491">
        <v>0.79</v>
      </c>
      <c r="S472" s="491">
        <v>1.7</v>
      </c>
      <c r="T472" s="491">
        <v>2.6</v>
      </c>
      <c r="U472" s="491">
        <v>3.8</v>
      </c>
      <c r="V472" s="491">
        <v>15.600000000000001</v>
      </c>
      <c r="W472" s="491">
        <v>63.24</v>
      </c>
      <c r="X472" s="87"/>
      <c r="Y472" s="87"/>
      <c r="Z472" s="87"/>
      <c r="AA472" s="87"/>
      <c r="AB472" s="87"/>
      <c r="AD472" s="329" t="s">
        <v>460</v>
      </c>
      <c r="AE472" s="490">
        <v>1.8</v>
      </c>
      <c r="AF472" s="491">
        <v>3.57</v>
      </c>
      <c r="AG472" s="491">
        <v>4.28</v>
      </c>
      <c r="AH472" s="491">
        <v>5.45</v>
      </c>
      <c r="AI472" s="491">
        <v>6.9599999999999991</v>
      </c>
      <c r="AJ472" s="491">
        <v>12.75</v>
      </c>
      <c r="AK472" s="87"/>
      <c r="AL472" s="87"/>
      <c r="AM472" s="87"/>
      <c r="AN472" s="87"/>
      <c r="AO472" s="87"/>
      <c r="AQ472" s="329" t="s">
        <v>460</v>
      </c>
      <c r="AR472" s="491">
        <v>2.34</v>
      </c>
      <c r="AS472" s="491">
        <v>2.48</v>
      </c>
      <c r="AT472" s="491">
        <v>2.9699999999999998</v>
      </c>
      <c r="AU472" s="491">
        <v>5.4</v>
      </c>
      <c r="AV472" s="491">
        <v>6.96</v>
      </c>
      <c r="AW472" s="491">
        <v>22.99</v>
      </c>
      <c r="AX472" s="87"/>
      <c r="AY472" s="87"/>
      <c r="AZ472" s="87"/>
      <c r="BA472" s="87"/>
      <c r="BB472" s="87"/>
      <c r="BD472" s="329" t="s">
        <v>460</v>
      </c>
      <c r="BE472" s="492">
        <v>0</v>
      </c>
      <c r="BF472" s="492">
        <v>0</v>
      </c>
      <c r="BG472" s="492">
        <v>0</v>
      </c>
      <c r="BH472" s="492">
        <v>0</v>
      </c>
      <c r="BI472" s="492">
        <v>0</v>
      </c>
      <c r="BJ472" s="492">
        <v>0</v>
      </c>
      <c r="BK472" s="87"/>
      <c r="BL472" s="87"/>
      <c r="BM472" s="87"/>
      <c r="BN472" s="87"/>
      <c r="BO472" s="87"/>
      <c r="BQ472" s="329" t="s">
        <v>460</v>
      </c>
      <c r="BR472" s="490">
        <v>0</v>
      </c>
      <c r="BS472" s="491">
        <v>0</v>
      </c>
      <c r="BT472" s="491">
        <v>0</v>
      </c>
      <c r="BU472" s="491">
        <v>0</v>
      </c>
      <c r="BV472" s="491">
        <v>0</v>
      </c>
      <c r="BW472" s="491">
        <v>0</v>
      </c>
      <c r="BX472" s="87"/>
      <c r="BY472" s="87"/>
      <c r="BZ472" s="87"/>
      <c r="CA472" s="87"/>
      <c r="CB472" s="87"/>
      <c r="CE472" s="329" t="s">
        <v>460</v>
      </c>
      <c r="CF472" s="490">
        <v>0</v>
      </c>
      <c r="CG472" s="491">
        <v>0</v>
      </c>
      <c r="CH472" s="491">
        <v>0</v>
      </c>
      <c r="CI472" s="491">
        <v>0</v>
      </c>
      <c r="CJ472" s="491">
        <v>0</v>
      </c>
      <c r="CK472" s="491">
        <v>0</v>
      </c>
      <c r="CL472" s="87"/>
      <c r="CM472" s="87"/>
      <c r="CN472" s="87"/>
      <c r="CO472" s="87"/>
      <c r="CP472" s="87"/>
    </row>
    <row r="473" spans="4:94" s="316" customFormat="1" outlineLevel="1">
      <c r="D473" s="328" t="s">
        <v>461</v>
      </c>
      <c r="E473" s="490">
        <v>3.52</v>
      </c>
      <c r="F473" s="491">
        <v>15.81</v>
      </c>
      <c r="G473" s="491">
        <v>39.78</v>
      </c>
      <c r="H473" s="491">
        <v>72.800000000000011</v>
      </c>
      <c r="I473" s="491">
        <v>133.56</v>
      </c>
      <c r="J473" s="491">
        <v>156.64000000000001</v>
      </c>
      <c r="K473" s="87"/>
      <c r="L473" s="87"/>
      <c r="M473" s="87"/>
      <c r="N473" s="87"/>
      <c r="O473" s="87"/>
      <c r="Q473" s="328" t="s">
        <v>461</v>
      </c>
      <c r="R473" s="491">
        <v>0</v>
      </c>
      <c r="S473" s="491">
        <v>0</v>
      </c>
      <c r="T473" s="491">
        <v>0</v>
      </c>
      <c r="U473" s="491">
        <v>3.09</v>
      </c>
      <c r="V473" s="491">
        <v>9.9</v>
      </c>
      <c r="W473" s="491">
        <v>13.770000000000001</v>
      </c>
      <c r="X473" s="87"/>
      <c r="Y473" s="87"/>
      <c r="Z473" s="87"/>
      <c r="AA473" s="87"/>
      <c r="AB473" s="87"/>
      <c r="AD473" s="328" t="s">
        <v>461</v>
      </c>
      <c r="AE473" s="490">
        <v>0</v>
      </c>
      <c r="AF473" s="491">
        <v>1.19</v>
      </c>
      <c r="AG473" s="491">
        <v>2.6</v>
      </c>
      <c r="AH473" s="491">
        <v>2.16</v>
      </c>
      <c r="AI473" s="491">
        <v>4.5600000000000005</v>
      </c>
      <c r="AJ473" s="491">
        <v>10.080000000000002</v>
      </c>
      <c r="AK473" s="87"/>
      <c r="AL473" s="87"/>
      <c r="AM473" s="87"/>
      <c r="AN473" s="87"/>
      <c r="AO473" s="87"/>
      <c r="AQ473" s="328" t="s">
        <v>461</v>
      </c>
      <c r="AR473" s="491">
        <v>2.2000000000000002</v>
      </c>
      <c r="AS473" s="491">
        <v>27.09</v>
      </c>
      <c r="AT473" s="491">
        <v>28.98</v>
      </c>
      <c r="AU473" s="491">
        <v>26.73</v>
      </c>
      <c r="AV473" s="491">
        <v>40.32</v>
      </c>
      <c r="AW473" s="491">
        <v>21</v>
      </c>
      <c r="AX473" s="87"/>
      <c r="AY473" s="87"/>
      <c r="AZ473" s="87"/>
      <c r="BA473" s="87"/>
      <c r="BB473" s="87"/>
      <c r="BD473" s="328" t="s">
        <v>461</v>
      </c>
      <c r="BE473" s="490">
        <v>0</v>
      </c>
      <c r="BF473" s="491">
        <v>0</v>
      </c>
      <c r="BG473" s="491">
        <v>0</v>
      </c>
      <c r="BH473" s="491">
        <v>0</v>
      </c>
      <c r="BI473" s="491">
        <v>0</v>
      </c>
      <c r="BJ473" s="491">
        <v>0</v>
      </c>
      <c r="BK473" s="87"/>
      <c r="BL473" s="87"/>
      <c r="BM473" s="87"/>
      <c r="BN473" s="87"/>
      <c r="BO473" s="87"/>
      <c r="BQ473" s="328" t="s">
        <v>461</v>
      </c>
      <c r="BR473" s="490">
        <v>0</v>
      </c>
      <c r="BS473" s="491">
        <v>0</v>
      </c>
      <c r="BT473" s="491">
        <v>0</v>
      </c>
      <c r="BU473" s="491">
        <v>0</v>
      </c>
      <c r="BV473" s="491">
        <v>0</v>
      </c>
      <c r="BW473" s="491">
        <v>0</v>
      </c>
      <c r="BX473" s="87"/>
      <c r="BY473" s="87"/>
      <c r="BZ473" s="87"/>
      <c r="CA473" s="87"/>
      <c r="CB473" s="87"/>
      <c r="CE473" s="328" t="s">
        <v>461</v>
      </c>
      <c r="CF473" s="490">
        <v>0</v>
      </c>
      <c r="CG473" s="491">
        <v>0</v>
      </c>
      <c r="CH473" s="491">
        <v>0</v>
      </c>
      <c r="CI473" s="491">
        <v>0</v>
      </c>
      <c r="CJ473" s="491">
        <v>0</v>
      </c>
      <c r="CK473" s="491">
        <v>0</v>
      </c>
      <c r="CL473" s="87"/>
      <c r="CM473" s="87"/>
      <c r="CN473" s="87"/>
      <c r="CO473" s="87"/>
      <c r="CP473" s="87"/>
    </row>
    <row r="474" spans="4:94" s="316" customFormat="1" outlineLevel="1">
      <c r="D474" s="328" t="s">
        <v>462</v>
      </c>
      <c r="E474" s="490">
        <v>0</v>
      </c>
      <c r="F474" s="491">
        <v>5.28</v>
      </c>
      <c r="G474" s="491">
        <v>9.27</v>
      </c>
      <c r="H474" s="491">
        <v>11.52</v>
      </c>
      <c r="I474" s="491">
        <v>33.28</v>
      </c>
      <c r="J474" s="491">
        <v>46.55</v>
      </c>
      <c r="K474" s="87"/>
      <c r="L474" s="87"/>
      <c r="M474" s="87"/>
      <c r="N474" s="87"/>
      <c r="O474" s="87"/>
      <c r="Q474" s="328" t="s">
        <v>462</v>
      </c>
      <c r="R474" s="491">
        <v>0</v>
      </c>
      <c r="S474" s="491">
        <v>0</v>
      </c>
      <c r="T474" s="491">
        <v>1.42</v>
      </c>
      <c r="U474" s="491">
        <v>2.56</v>
      </c>
      <c r="V474" s="491">
        <v>4.97</v>
      </c>
      <c r="W474" s="491">
        <v>10</v>
      </c>
      <c r="X474" s="87"/>
      <c r="Y474" s="87"/>
      <c r="Z474" s="87"/>
      <c r="AA474" s="87"/>
      <c r="AB474" s="87"/>
      <c r="AD474" s="328" t="s">
        <v>462</v>
      </c>
      <c r="AE474" s="490">
        <v>0</v>
      </c>
      <c r="AF474" s="491">
        <v>0</v>
      </c>
      <c r="AG474" s="491">
        <v>0</v>
      </c>
      <c r="AH474" s="491">
        <v>1.28</v>
      </c>
      <c r="AI474" s="491">
        <v>0</v>
      </c>
      <c r="AJ474" s="491">
        <v>0</v>
      </c>
      <c r="AK474" s="87"/>
      <c r="AL474" s="87"/>
      <c r="AM474" s="87"/>
      <c r="AN474" s="87"/>
      <c r="AO474" s="87"/>
      <c r="AQ474" s="328" t="s">
        <v>462</v>
      </c>
      <c r="AR474" s="491">
        <v>0</v>
      </c>
      <c r="AS474" s="491">
        <v>1.04</v>
      </c>
      <c r="AT474" s="491">
        <v>2.46</v>
      </c>
      <c r="AU474" s="491">
        <v>2</v>
      </c>
      <c r="AV474" s="491">
        <v>2.42</v>
      </c>
      <c r="AW474" s="491">
        <v>1.44</v>
      </c>
      <c r="AX474" s="87"/>
      <c r="AY474" s="87"/>
      <c r="AZ474" s="87"/>
      <c r="BA474" s="87"/>
      <c r="BB474" s="87"/>
      <c r="BD474" s="328" t="s">
        <v>462</v>
      </c>
      <c r="BE474" s="490">
        <v>0</v>
      </c>
      <c r="BF474" s="491">
        <v>0</v>
      </c>
      <c r="BG474" s="491">
        <v>0</v>
      </c>
      <c r="BH474" s="491">
        <v>0</v>
      </c>
      <c r="BI474" s="491">
        <v>0</v>
      </c>
      <c r="BJ474" s="491">
        <v>0</v>
      </c>
      <c r="BK474" s="87"/>
      <c r="BL474" s="87"/>
      <c r="BM474" s="87"/>
      <c r="BN474" s="87"/>
      <c r="BO474" s="87"/>
      <c r="BQ474" s="328" t="s">
        <v>462</v>
      </c>
      <c r="BR474" s="490">
        <v>0</v>
      </c>
      <c r="BS474" s="491">
        <v>0</v>
      </c>
      <c r="BT474" s="491">
        <v>0</v>
      </c>
      <c r="BU474" s="491">
        <v>0</v>
      </c>
      <c r="BV474" s="491">
        <v>0</v>
      </c>
      <c r="BW474" s="491">
        <v>0</v>
      </c>
      <c r="BX474" s="87"/>
      <c r="BY474" s="87"/>
      <c r="BZ474" s="87"/>
      <c r="CA474" s="87"/>
      <c r="CB474" s="87"/>
      <c r="CE474" s="328" t="s">
        <v>462</v>
      </c>
      <c r="CF474" s="490">
        <v>0</v>
      </c>
      <c r="CG474" s="491">
        <v>0</v>
      </c>
      <c r="CH474" s="491">
        <v>0</v>
      </c>
      <c r="CI474" s="491">
        <v>0</v>
      </c>
      <c r="CJ474" s="491">
        <v>0</v>
      </c>
      <c r="CK474" s="491">
        <v>0</v>
      </c>
      <c r="CL474" s="87"/>
      <c r="CM474" s="87"/>
      <c r="CN474" s="87"/>
      <c r="CO474" s="87"/>
      <c r="CP474" s="87"/>
    </row>
    <row r="475" spans="4:94" s="316" customFormat="1" outlineLevel="1">
      <c r="D475" s="328" t="s">
        <v>463</v>
      </c>
      <c r="E475" s="490">
        <v>0</v>
      </c>
      <c r="F475" s="491">
        <v>0</v>
      </c>
      <c r="G475" s="491">
        <v>3.76</v>
      </c>
      <c r="H475" s="491">
        <v>9.24</v>
      </c>
      <c r="I475" s="491">
        <v>18.02</v>
      </c>
      <c r="J475" s="491">
        <v>37.5</v>
      </c>
      <c r="K475" s="87"/>
      <c r="L475" s="87"/>
      <c r="M475" s="87"/>
      <c r="N475" s="87"/>
      <c r="O475" s="87"/>
      <c r="Q475" s="328" t="s">
        <v>463</v>
      </c>
      <c r="R475" s="491">
        <v>0</v>
      </c>
      <c r="S475" s="491">
        <v>0</v>
      </c>
      <c r="T475" s="491">
        <v>0</v>
      </c>
      <c r="U475" s="491">
        <v>1.23</v>
      </c>
      <c r="V475" s="491">
        <v>1.96</v>
      </c>
      <c r="W475" s="491">
        <v>3.42</v>
      </c>
      <c r="X475" s="87"/>
      <c r="Y475" s="87"/>
      <c r="Z475" s="87"/>
      <c r="AA475" s="87"/>
      <c r="AB475" s="87"/>
      <c r="AD475" s="328" t="s">
        <v>463</v>
      </c>
      <c r="AE475" s="490">
        <v>0</v>
      </c>
      <c r="AF475" s="491">
        <v>0</v>
      </c>
      <c r="AG475" s="491">
        <v>0</v>
      </c>
      <c r="AH475" s="491">
        <v>1.04</v>
      </c>
      <c r="AI475" s="491">
        <v>1.1499999999999999</v>
      </c>
      <c r="AJ475" s="491">
        <v>1.1499999999999999</v>
      </c>
      <c r="AK475" s="87"/>
      <c r="AL475" s="87"/>
      <c r="AM475" s="87"/>
      <c r="AN475" s="87"/>
      <c r="AO475" s="87"/>
      <c r="AQ475" s="328" t="s">
        <v>463</v>
      </c>
      <c r="AR475" s="491">
        <v>0</v>
      </c>
      <c r="AS475" s="491">
        <v>0</v>
      </c>
      <c r="AT475" s="491">
        <v>0</v>
      </c>
      <c r="AU475" s="491">
        <v>0</v>
      </c>
      <c r="AV475" s="491">
        <v>2.36</v>
      </c>
      <c r="AW475" s="491">
        <v>5.75</v>
      </c>
      <c r="AX475" s="87"/>
      <c r="AY475" s="87"/>
      <c r="AZ475" s="87"/>
      <c r="BA475" s="87"/>
      <c r="BB475" s="87"/>
      <c r="BD475" s="328" t="s">
        <v>463</v>
      </c>
      <c r="BE475" s="492">
        <v>0</v>
      </c>
      <c r="BF475" s="492">
        <v>0</v>
      </c>
      <c r="BG475" s="492">
        <v>0</v>
      </c>
      <c r="BH475" s="492">
        <v>0</v>
      </c>
      <c r="BI475" s="492">
        <v>0</v>
      </c>
      <c r="BJ475" s="492">
        <v>0</v>
      </c>
      <c r="BK475" s="87"/>
      <c r="BL475" s="87"/>
      <c r="BM475" s="87"/>
      <c r="BN475" s="87"/>
      <c r="BO475" s="87"/>
      <c r="BQ475" s="328" t="s">
        <v>463</v>
      </c>
      <c r="BR475" s="492">
        <v>0</v>
      </c>
      <c r="BS475" s="492">
        <v>0</v>
      </c>
      <c r="BT475" s="492">
        <v>0</v>
      </c>
      <c r="BU475" s="492">
        <v>0</v>
      </c>
      <c r="BV475" s="492">
        <v>0</v>
      </c>
      <c r="BW475" s="492">
        <v>0</v>
      </c>
      <c r="BX475" s="87"/>
      <c r="BY475" s="87"/>
      <c r="BZ475" s="87"/>
      <c r="CA475" s="87"/>
      <c r="CB475" s="87"/>
      <c r="CE475" s="328" t="s">
        <v>463</v>
      </c>
      <c r="CF475" s="490">
        <v>0</v>
      </c>
      <c r="CG475" s="491">
        <v>0</v>
      </c>
      <c r="CH475" s="491">
        <v>0</v>
      </c>
      <c r="CI475" s="491">
        <v>0</v>
      </c>
      <c r="CJ475" s="491">
        <v>0</v>
      </c>
      <c r="CK475" s="491">
        <v>0</v>
      </c>
      <c r="CL475" s="87"/>
      <c r="CM475" s="87"/>
      <c r="CN475" s="87"/>
      <c r="CO475" s="87"/>
      <c r="CP475" s="87"/>
    </row>
    <row r="476" spans="4:94" s="316" customFormat="1" outlineLevel="1">
      <c r="D476" s="328" t="s">
        <v>464</v>
      </c>
      <c r="E476" s="490">
        <v>0</v>
      </c>
      <c r="F476" s="491">
        <v>0.9</v>
      </c>
      <c r="G476" s="491">
        <v>0.99</v>
      </c>
      <c r="H476" s="491">
        <v>7.74</v>
      </c>
      <c r="I476" s="491">
        <v>29.44</v>
      </c>
      <c r="J476" s="491">
        <v>27.88</v>
      </c>
      <c r="K476" s="87"/>
      <c r="L476" s="87"/>
      <c r="M476" s="87"/>
      <c r="N476" s="87"/>
      <c r="O476" s="87"/>
      <c r="Q476" s="328" t="s">
        <v>464</v>
      </c>
      <c r="R476" s="491">
        <v>0</v>
      </c>
      <c r="S476" s="491">
        <v>0</v>
      </c>
      <c r="T476" s="491">
        <v>0</v>
      </c>
      <c r="U476" s="491">
        <v>0.83</v>
      </c>
      <c r="V476" s="491">
        <v>0.84</v>
      </c>
      <c r="W476" s="491">
        <v>1.88</v>
      </c>
      <c r="X476" s="87"/>
      <c r="Y476" s="87"/>
      <c r="Z476" s="87"/>
      <c r="AA476" s="87"/>
      <c r="AB476" s="87"/>
      <c r="AD476" s="328" t="s">
        <v>464</v>
      </c>
      <c r="AE476" s="490">
        <v>0</v>
      </c>
      <c r="AF476" s="491">
        <v>0</v>
      </c>
      <c r="AG476" s="491">
        <v>0</v>
      </c>
      <c r="AH476" s="491">
        <v>0</v>
      </c>
      <c r="AI476" s="491">
        <v>0</v>
      </c>
      <c r="AJ476" s="491">
        <v>0</v>
      </c>
      <c r="AK476" s="87"/>
      <c r="AL476" s="87"/>
      <c r="AM476" s="87"/>
      <c r="AN476" s="87"/>
      <c r="AO476" s="87"/>
      <c r="AQ476" s="328" t="s">
        <v>464</v>
      </c>
      <c r="AR476" s="491">
        <v>0</v>
      </c>
      <c r="AS476" s="491">
        <v>0</v>
      </c>
      <c r="AT476" s="491">
        <v>0</v>
      </c>
      <c r="AU476" s="491">
        <v>0</v>
      </c>
      <c r="AV476" s="491">
        <v>0</v>
      </c>
      <c r="AW476" s="491">
        <v>0.75</v>
      </c>
      <c r="AX476" s="87"/>
      <c r="AY476" s="87"/>
      <c r="AZ476" s="87"/>
      <c r="BA476" s="87"/>
      <c r="BB476" s="87"/>
      <c r="BD476" s="328" t="s">
        <v>464</v>
      </c>
      <c r="BE476" s="490">
        <v>0</v>
      </c>
      <c r="BF476" s="491">
        <v>0</v>
      </c>
      <c r="BG476" s="491">
        <v>0</v>
      </c>
      <c r="BH476" s="491">
        <v>0</v>
      </c>
      <c r="BI476" s="491">
        <v>0</v>
      </c>
      <c r="BJ476" s="491">
        <v>0</v>
      </c>
      <c r="BK476" s="87"/>
      <c r="BL476" s="87"/>
      <c r="BM476" s="87"/>
      <c r="BN476" s="87"/>
      <c r="BO476" s="87"/>
      <c r="BQ476" s="328" t="s">
        <v>464</v>
      </c>
      <c r="BR476" s="490">
        <v>0</v>
      </c>
      <c r="BS476" s="491">
        <v>0</v>
      </c>
      <c r="BT476" s="491">
        <v>0</v>
      </c>
      <c r="BU476" s="491">
        <v>0</v>
      </c>
      <c r="BV476" s="491">
        <v>0</v>
      </c>
      <c r="BW476" s="491">
        <v>0</v>
      </c>
      <c r="BX476" s="87"/>
      <c r="BY476" s="87"/>
      <c r="BZ476" s="87"/>
      <c r="CA476" s="87"/>
      <c r="CB476" s="87"/>
      <c r="CE476" s="328" t="s">
        <v>464</v>
      </c>
      <c r="CF476" s="490">
        <v>0</v>
      </c>
      <c r="CG476" s="491">
        <v>0</v>
      </c>
      <c r="CH476" s="491">
        <v>0</v>
      </c>
      <c r="CI476" s="491">
        <v>0</v>
      </c>
      <c r="CJ476" s="491">
        <v>0</v>
      </c>
      <c r="CK476" s="491">
        <v>0</v>
      </c>
      <c r="CL476" s="87"/>
      <c r="CM476" s="87"/>
      <c r="CN476" s="87"/>
      <c r="CO476" s="87"/>
      <c r="CP476" s="87"/>
    </row>
    <row r="477" spans="4:94" s="316" customFormat="1" outlineLevel="1">
      <c r="D477" s="328" t="s">
        <v>465</v>
      </c>
      <c r="E477" s="490">
        <v>0</v>
      </c>
      <c r="F477" s="491">
        <v>0</v>
      </c>
      <c r="G477" s="491">
        <v>0</v>
      </c>
      <c r="H477" s="491">
        <v>1.48</v>
      </c>
      <c r="I477" s="491">
        <v>3.4</v>
      </c>
      <c r="J477" s="491">
        <v>15.209999999999999</v>
      </c>
      <c r="K477" s="87"/>
      <c r="L477" s="87"/>
      <c r="M477" s="87"/>
      <c r="N477" s="87"/>
      <c r="O477" s="87"/>
      <c r="Q477" s="328" t="s">
        <v>465</v>
      </c>
      <c r="R477" s="491">
        <v>0</v>
      </c>
      <c r="S477" s="491">
        <v>0</v>
      </c>
      <c r="T477" s="491">
        <v>0</v>
      </c>
      <c r="U477" s="491">
        <v>0</v>
      </c>
      <c r="V477" s="491">
        <v>0</v>
      </c>
      <c r="W477" s="491">
        <v>2.34</v>
      </c>
      <c r="X477" s="87"/>
      <c r="Y477" s="87"/>
      <c r="Z477" s="87"/>
      <c r="AA477" s="87"/>
      <c r="AB477" s="87"/>
      <c r="AD477" s="328" t="s">
        <v>465</v>
      </c>
      <c r="AE477" s="490">
        <v>0</v>
      </c>
      <c r="AF477" s="491">
        <v>0</v>
      </c>
      <c r="AG477" s="491">
        <v>0</v>
      </c>
      <c r="AH477" s="491">
        <v>0</v>
      </c>
      <c r="AI477" s="491">
        <v>0</v>
      </c>
      <c r="AJ477" s="491">
        <v>0</v>
      </c>
      <c r="AK477" s="87"/>
      <c r="AL477" s="87"/>
      <c r="AM477" s="87"/>
      <c r="AN477" s="87"/>
      <c r="AO477" s="87"/>
      <c r="AQ477" s="328" t="s">
        <v>465</v>
      </c>
      <c r="AR477" s="491">
        <v>0</v>
      </c>
      <c r="AS477" s="491">
        <v>0</v>
      </c>
      <c r="AT477" s="491">
        <v>0</v>
      </c>
      <c r="AU477" s="491">
        <v>0</v>
      </c>
      <c r="AV477" s="491">
        <v>1.24</v>
      </c>
      <c r="AW477" s="491">
        <v>2.73</v>
      </c>
      <c r="AX477" s="87"/>
      <c r="AY477" s="87"/>
      <c r="AZ477" s="87"/>
      <c r="BA477" s="87"/>
      <c r="BB477" s="87"/>
      <c r="BD477" s="328" t="s">
        <v>465</v>
      </c>
      <c r="BE477" s="490">
        <v>0</v>
      </c>
      <c r="BF477" s="491">
        <v>0</v>
      </c>
      <c r="BG477" s="491">
        <v>0</v>
      </c>
      <c r="BH477" s="491">
        <v>0</v>
      </c>
      <c r="BI477" s="491">
        <v>0</v>
      </c>
      <c r="BJ477" s="491">
        <v>0</v>
      </c>
      <c r="BK477" s="87"/>
      <c r="BL477" s="87"/>
      <c r="BM477" s="87"/>
      <c r="BN477" s="87"/>
      <c r="BO477" s="87"/>
      <c r="BQ477" s="328" t="s">
        <v>465</v>
      </c>
      <c r="BR477" s="492">
        <v>0</v>
      </c>
      <c r="BS477" s="492">
        <v>0</v>
      </c>
      <c r="BT477" s="492">
        <v>0</v>
      </c>
      <c r="BU477" s="492">
        <v>0</v>
      </c>
      <c r="BV477" s="492">
        <v>0</v>
      </c>
      <c r="BW477" s="492">
        <v>0</v>
      </c>
      <c r="BX477" s="87"/>
      <c r="BY477" s="87"/>
      <c r="BZ477" s="87"/>
      <c r="CA477" s="87"/>
      <c r="CB477" s="87"/>
      <c r="CE477" s="328" t="s">
        <v>465</v>
      </c>
      <c r="CF477" s="490">
        <v>0</v>
      </c>
      <c r="CG477" s="491">
        <v>0</v>
      </c>
      <c r="CH477" s="491">
        <v>0</v>
      </c>
      <c r="CI477" s="491">
        <v>0</v>
      </c>
      <c r="CJ477" s="491">
        <v>0</v>
      </c>
      <c r="CK477" s="491">
        <v>0</v>
      </c>
      <c r="CL477" s="87"/>
      <c r="CM477" s="87"/>
      <c r="CN477" s="87"/>
      <c r="CO477" s="87"/>
      <c r="CP477" s="87"/>
    </row>
    <row r="478" spans="4:94" s="316" customFormat="1" outlineLevel="1">
      <c r="D478" s="328" t="s">
        <v>466</v>
      </c>
      <c r="E478" s="490">
        <v>17.920000000000002</v>
      </c>
      <c r="F478" s="491">
        <v>12.75</v>
      </c>
      <c r="G478" s="491">
        <v>32.76</v>
      </c>
      <c r="H478" s="491">
        <v>90.399999999999991</v>
      </c>
      <c r="I478" s="491">
        <v>142.78</v>
      </c>
      <c r="J478" s="491">
        <v>171.5</v>
      </c>
      <c r="K478" s="87"/>
      <c r="L478" s="87"/>
      <c r="M478" s="87"/>
      <c r="N478" s="87"/>
      <c r="O478" s="87"/>
      <c r="Q478" s="328" t="s">
        <v>466</v>
      </c>
      <c r="R478" s="491">
        <v>1.72</v>
      </c>
      <c r="S478" s="491">
        <v>2.42</v>
      </c>
      <c r="T478" s="491">
        <v>2.7</v>
      </c>
      <c r="U478" s="491">
        <v>11.850000000000001</v>
      </c>
      <c r="V478" s="491">
        <v>15.819999999999999</v>
      </c>
      <c r="W478" s="491">
        <v>13.489999999999998</v>
      </c>
      <c r="X478" s="87"/>
      <c r="Y478" s="87"/>
      <c r="Z478" s="87"/>
      <c r="AA478" s="87"/>
      <c r="AB478" s="87"/>
      <c r="AD478" s="328" t="s">
        <v>466</v>
      </c>
      <c r="AE478" s="490">
        <v>0</v>
      </c>
      <c r="AF478" s="491">
        <v>0</v>
      </c>
      <c r="AG478" s="491">
        <v>0.92</v>
      </c>
      <c r="AH478" s="491">
        <v>3.72</v>
      </c>
      <c r="AI478" s="491">
        <v>3.33</v>
      </c>
      <c r="AJ478" s="491">
        <v>5.5500000000000007</v>
      </c>
      <c r="AK478" s="87"/>
      <c r="AL478" s="87"/>
      <c r="AM478" s="87"/>
      <c r="AN478" s="87"/>
      <c r="AO478" s="87"/>
      <c r="AQ478" s="328" t="s">
        <v>466</v>
      </c>
      <c r="AR478" s="491">
        <v>5.7399999999999993</v>
      </c>
      <c r="AS478" s="491">
        <v>12</v>
      </c>
      <c r="AT478" s="491">
        <v>16.939999999999998</v>
      </c>
      <c r="AU478" s="491">
        <v>21.8</v>
      </c>
      <c r="AV478" s="491">
        <v>16.72</v>
      </c>
      <c r="AW478" s="491">
        <v>18.239999999999998</v>
      </c>
      <c r="AX478" s="87"/>
      <c r="AY478" s="87"/>
      <c r="AZ478" s="87"/>
      <c r="BA478" s="87"/>
      <c r="BB478" s="87"/>
      <c r="BD478" s="328" t="s">
        <v>466</v>
      </c>
      <c r="BE478" s="490">
        <v>0</v>
      </c>
      <c r="BF478" s="491">
        <v>0</v>
      </c>
      <c r="BG478" s="491">
        <v>0</v>
      </c>
      <c r="BH478" s="491">
        <v>0</v>
      </c>
      <c r="BI478" s="491">
        <v>0</v>
      </c>
      <c r="BJ478" s="491">
        <v>0</v>
      </c>
      <c r="BK478" s="87"/>
      <c r="BL478" s="87"/>
      <c r="BM478" s="87"/>
      <c r="BN478" s="87"/>
      <c r="BO478" s="87"/>
      <c r="BQ478" s="328" t="s">
        <v>466</v>
      </c>
      <c r="BR478" s="492">
        <v>0</v>
      </c>
      <c r="BS478" s="492">
        <v>0</v>
      </c>
      <c r="BT478" s="492">
        <v>0</v>
      </c>
      <c r="BU478" s="492">
        <v>0</v>
      </c>
      <c r="BV478" s="492">
        <v>0</v>
      </c>
      <c r="BW478" s="492">
        <v>0</v>
      </c>
      <c r="BX478" s="87"/>
      <c r="BY478" s="87"/>
      <c r="BZ478" s="87"/>
      <c r="CA478" s="87"/>
      <c r="CB478" s="87"/>
      <c r="CE478" s="328" t="s">
        <v>466</v>
      </c>
      <c r="CF478" s="490">
        <v>0</v>
      </c>
      <c r="CG478" s="491">
        <v>0</v>
      </c>
      <c r="CH478" s="491">
        <v>0</v>
      </c>
      <c r="CI478" s="491">
        <v>0</v>
      </c>
      <c r="CJ478" s="491">
        <v>0</v>
      </c>
      <c r="CK478" s="491">
        <v>0</v>
      </c>
      <c r="CL478" s="87"/>
      <c r="CM478" s="87"/>
      <c r="CN478" s="87"/>
      <c r="CO478" s="87"/>
      <c r="CP478" s="87"/>
    </row>
    <row r="479" spans="4:94" s="316" customFormat="1" outlineLevel="1">
      <c r="D479" s="328" t="s">
        <v>467</v>
      </c>
      <c r="E479" s="490">
        <v>6.72</v>
      </c>
      <c r="F479" s="491">
        <v>6.39</v>
      </c>
      <c r="G479" s="491">
        <v>13.559999999999999</v>
      </c>
      <c r="H479" s="491">
        <v>27.810000000000002</v>
      </c>
      <c r="I479" s="491">
        <v>48.64</v>
      </c>
      <c r="J479" s="491">
        <v>63.21</v>
      </c>
      <c r="K479" s="87"/>
      <c r="L479" s="87"/>
      <c r="M479" s="87"/>
      <c r="N479" s="87"/>
      <c r="O479" s="87"/>
      <c r="Q479" s="328" t="s">
        <v>467</v>
      </c>
      <c r="R479" s="491">
        <v>0</v>
      </c>
      <c r="S479" s="491">
        <v>0</v>
      </c>
      <c r="T479" s="491">
        <v>0</v>
      </c>
      <c r="U479" s="491">
        <v>0</v>
      </c>
      <c r="V479" s="491">
        <v>0</v>
      </c>
      <c r="W479" s="491">
        <v>3.9000000000000004</v>
      </c>
      <c r="X479" s="87"/>
      <c r="Y479" s="87"/>
      <c r="Z479" s="87"/>
      <c r="AA479" s="87"/>
      <c r="AB479" s="87"/>
      <c r="AD479" s="328" t="s">
        <v>467</v>
      </c>
      <c r="AE479" s="490">
        <v>3</v>
      </c>
      <c r="AF479" s="491">
        <v>2.84</v>
      </c>
      <c r="AG479" s="491">
        <v>3.24</v>
      </c>
      <c r="AH479" s="491">
        <v>4.8</v>
      </c>
      <c r="AI479" s="491">
        <v>4.76</v>
      </c>
      <c r="AJ479" s="491">
        <v>3.68</v>
      </c>
      <c r="AK479" s="87"/>
      <c r="AL479" s="87"/>
      <c r="AM479" s="87"/>
      <c r="AN479" s="87"/>
      <c r="AO479" s="87"/>
      <c r="AQ479" s="328" t="s">
        <v>467</v>
      </c>
      <c r="AR479" s="490">
        <v>2.56</v>
      </c>
      <c r="AS479" s="491">
        <v>2.06</v>
      </c>
      <c r="AT479" s="491">
        <v>2.2999999999999998</v>
      </c>
      <c r="AU479" s="491">
        <v>0</v>
      </c>
      <c r="AV479" s="491">
        <v>2.2400000000000002</v>
      </c>
      <c r="AW479" s="491">
        <v>6.36</v>
      </c>
      <c r="AX479" s="87"/>
      <c r="AY479" s="87"/>
      <c r="AZ479" s="87"/>
      <c r="BA479" s="87"/>
      <c r="BB479" s="87"/>
      <c r="BD479" s="328" t="s">
        <v>467</v>
      </c>
      <c r="BE479" s="490">
        <v>0</v>
      </c>
      <c r="BF479" s="491">
        <v>0</v>
      </c>
      <c r="BG479" s="491">
        <v>0</v>
      </c>
      <c r="BH479" s="491">
        <v>0</v>
      </c>
      <c r="BI479" s="491">
        <v>0</v>
      </c>
      <c r="BJ479" s="491">
        <v>0</v>
      </c>
      <c r="BK479" s="87"/>
      <c r="BL479" s="87"/>
      <c r="BM479" s="87"/>
      <c r="BN479" s="87"/>
      <c r="BO479" s="87"/>
      <c r="BQ479" s="328" t="s">
        <v>467</v>
      </c>
      <c r="BR479" s="490">
        <v>0</v>
      </c>
      <c r="BS479" s="491">
        <v>0</v>
      </c>
      <c r="BT479" s="491">
        <v>0</v>
      </c>
      <c r="BU479" s="491">
        <v>0</v>
      </c>
      <c r="BV479" s="491">
        <v>0</v>
      </c>
      <c r="BW479" s="491">
        <v>0</v>
      </c>
      <c r="BX479" s="87"/>
      <c r="BY479" s="87"/>
      <c r="BZ479" s="87"/>
      <c r="CA479" s="87"/>
      <c r="CB479" s="87"/>
      <c r="CE479" s="328" t="s">
        <v>467</v>
      </c>
      <c r="CF479" s="490">
        <v>0</v>
      </c>
      <c r="CG479" s="491">
        <v>0</v>
      </c>
      <c r="CH479" s="491">
        <v>0</v>
      </c>
      <c r="CI479" s="491">
        <v>0</v>
      </c>
      <c r="CJ479" s="491">
        <v>0</v>
      </c>
      <c r="CK479" s="491">
        <v>0</v>
      </c>
      <c r="CL479" s="87"/>
      <c r="CM479" s="87"/>
      <c r="CN479" s="87"/>
      <c r="CO479" s="87"/>
      <c r="CP479" s="87"/>
    </row>
    <row r="480" spans="4:94" s="316" customFormat="1" outlineLevel="1">
      <c r="D480" s="328" t="s">
        <v>468</v>
      </c>
      <c r="E480" s="490">
        <v>0</v>
      </c>
      <c r="F480" s="491">
        <v>0</v>
      </c>
      <c r="G480" s="491">
        <v>2.34</v>
      </c>
      <c r="H480" s="491">
        <v>17.849999999999998</v>
      </c>
      <c r="I480" s="491">
        <v>18.86</v>
      </c>
      <c r="J480" s="491">
        <v>24</v>
      </c>
      <c r="K480" s="87"/>
      <c r="L480" s="87"/>
      <c r="M480" s="87"/>
      <c r="N480" s="87"/>
      <c r="O480" s="87"/>
      <c r="Q480" s="328" t="s">
        <v>468</v>
      </c>
      <c r="R480" s="493">
        <v>4</v>
      </c>
      <c r="S480" s="493">
        <v>3.92</v>
      </c>
      <c r="T480" s="493">
        <v>2.2200000000000002</v>
      </c>
      <c r="U480" s="493">
        <v>0.92</v>
      </c>
      <c r="V480" s="493">
        <v>1.1299999999999999</v>
      </c>
      <c r="W480" s="493">
        <v>1.92</v>
      </c>
      <c r="X480" s="87"/>
      <c r="Y480" s="87"/>
      <c r="Z480" s="87"/>
      <c r="AA480" s="87"/>
      <c r="AB480" s="87"/>
      <c r="AD480" s="328" t="s">
        <v>468</v>
      </c>
      <c r="AE480" s="490">
        <v>0</v>
      </c>
      <c r="AF480" s="491">
        <v>0</v>
      </c>
      <c r="AG480" s="491">
        <v>0</v>
      </c>
      <c r="AH480" s="491">
        <v>0</v>
      </c>
      <c r="AI480" s="491">
        <v>2.2000000000000002</v>
      </c>
      <c r="AJ480" s="491">
        <v>1</v>
      </c>
      <c r="AK480" s="87"/>
      <c r="AL480" s="87"/>
      <c r="AM480" s="87"/>
      <c r="AN480" s="87"/>
      <c r="AO480" s="87"/>
      <c r="AQ480" s="328" t="s">
        <v>468</v>
      </c>
      <c r="AR480" s="490">
        <v>0</v>
      </c>
      <c r="AS480" s="491">
        <v>0</v>
      </c>
      <c r="AT480" s="491">
        <v>0</v>
      </c>
      <c r="AU480" s="491">
        <v>2.54</v>
      </c>
      <c r="AV480" s="491">
        <v>2.5</v>
      </c>
      <c r="AW480" s="491">
        <v>2.3199999999999998</v>
      </c>
      <c r="AX480" s="87"/>
      <c r="AY480" s="87"/>
      <c r="AZ480" s="87"/>
      <c r="BA480" s="87"/>
      <c r="BB480" s="87"/>
      <c r="BD480" s="328" t="s">
        <v>468</v>
      </c>
      <c r="BE480" s="490">
        <v>0</v>
      </c>
      <c r="BF480" s="491">
        <v>0</v>
      </c>
      <c r="BG480" s="491">
        <v>0</v>
      </c>
      <c r="BH480" s="491">
        <v>0</v>
      </c>
      <c r="BI480" s="491">
        <v>0</v>
      </c>
      <c r="BJ480" s="491">
        <v>0</v>
      </c>
      <c r="BK480" s="87"/>
      <c r="BL480" s="87"/>
      <c r="BM480" s="87"/>
      <c r="BN480" s="87"/>
      <c r="BO480" s="87"/>
      <c r="BQ480" s="328" t="s">
        <v>468</v>
      </c>
      <c r="BR480" s="490">
        <v>0</v>
      </c>
      <c r="BS480" s="491">
        <v>0</v>
      </c>
      <c r="BT480" s="491">
        <v>0</v>
      </c>
      <c r="BU480" s="491">
        <v>0</v>
      </c>
      <c r="BV480" s="491">
        <v>0</v>
      </c>
      <c r="BW480" s="491">
        <v>0</v>
      </c>
      <c r="BX480" s="87"/>
      <c r="BY480" s="87"/>
      <c r="BZ480" s="87"/>
      <c r="CA480" s="87"/>
      <c r="CB480" s="87"/>
      <c r="CE480" s="328" t="s">
        <v>468</v>
      </c>
      <c r="CF480" s="490">
        <v>0</v>
      </c>
      <c r="CG480" s="491">
        <v>0</v>
      </c>
      <c r="CH480" s="491">
        <v>0</v>
      </c>
      <c r="CI480" s="491">
        <v>0</v>
      </c>
      <c r="CJ480" s="491">
        <v>0</v>
      </c>
      <c r="CK480" s="491">
        <v>0</v>
      </c>
      <c r="CL480" s="87"/>
      <c r="CM480" s="87"/>
      <c r="CN480" s="87"/>
      <c r="CO480" s="87"/>
      <c r="CP480" s="87"/>
    </row>
    <row r="481" spans="4:94" s="316" customFormat="1" outlineLevel="1">
      <c r="D481" s="328" t="s">
        <v>469</v>
      </c>
      <c r="E481" s="490">
        <v>0</v>
      </c>
      <c r="F481" s="491">
        <v>0</v>
      </c>
      <c r="G481" s="491">
        <v>0</v>
      </c>
      <c r="H481" s="491">
        <v>0</v>
      </c>
      <c r="I481" s="491">
        <v>7.08</v>
      </c>
      <c r="J481" s="491">
        <v>6.16</v>
      </c>
      <c r="K481" s="87"/>
      <c r="L481" s="87"/>
      <c r="M481" s="87"/>
      <c r="N481" s="87"/>
      <c r="O481" s="87"/>
      <c r="Q481" s="328" t="s">
        <v>469</v>
      </c>
      <c r="R481" s="491">
        <v>0</v>
      </c>
      <c r="S481" s="491">
        <v>0</v>
      </c>
      <c r="T481" s="491">
        <v>0</v>
      </c>
      <c r="U481" s="491">
        <v>0</v>
      </c>
      <c r="V481" s="491">
        <v>0</v>
      </c>
      <c r="W481" s="491">
        <v>0</v>
      </c>
      <c r="X481" s="87"/>
      <c r="Y481" s="87"/>
      <c r="Z481" s="87"/>
      <c r="AA481" s="87"/>
      <c r="AB481" s="87"/>
      <c r="AD481" s="328" t="s">
        <v>469</v>
      </c>
      <c r="AE481" s="490">
        <v>0</v>
      </c>
      <c r="AF481" s="491">
        <v>0</v>
      </c>
      <c r="AG481" s="491">
        <v>0</v>
      </c>
      <c r="AH481" s="491">
        <v>0</v>
      </c>
      <c r="AI481" s="491">
        <v>0</v>
      </c>
      <c r="AJ481" s="491">
        <v>0.87</v>
      </c>
      <c r="AK481" s="87"/>
      <c r="AL481" s="87"/>
      <c r="AM481" s="87"/>
      <c r="AN481" s="87"/>
      <c r="AO481" s="87"/>
      <c r="AQ481" s="328" t="s">
        <v>469</v>
      </c>
      <c r="AR481" s="490">
        <v>0</v>
      </c>
      <c r="AS481" s="491">
        <v>0</v>
      </c>
      <c r="AT481" s="491">
        <v>0</v>
      </c>
      <c r="AU481" s="491">
        <v>0</v>
      </c>
      <c r="AV481" s="491">
        <v>0</v>
      </c>
      <c r="AW481" s="491">
        <v>0</v>
      </c>
      <c r="AX481" s="87"/>
      <c r="AY481" s="87"/>
      <c r="AZ481" s="87"/>
      <c r="BA481" s="87"/>
      <c r="BB481" s="87"/>
      <c r="BD481" s="328" t="s">
        <v>469</v>
      </c>
      <c r="BE481" s="492">
        <v>0</v>
      </c>
      <c r="BF481" s="492">
        <v>0</v>
      </c>
      <c r="BG481" s="492">
        <v>0</v>
      </c>
      <c r="BH481" s="492">
        <v>0</v>
      </c>
      <c r="BI481" s="492">
        <v>0</v>
      </c>
      <c r="BJ481" s="492">
        <v>0</v>
      </c>
      <c r="BK481" s="87"/>
      <c r="BL481" s="87"/>
      <c r="BM481" s="87"/>
      <c r="BN481" s="87"/>
      <c r="BO481" s="87"/>
      <c r="BQ481" s="328" t="s">
        <v>469</v>
      </c>
      <c r="BR481" s="491">
        <v>0</v>
      </c>
      <c r="BS481" s="491">
        <v>0</v>
      </c>
      <c r="BT481" s="491">
        <v>0</v>
      </c>
      <c r="BU481" s="491">
        <v>0</v>
      </c>
      <c r="BV481" s="491">
        <v>0</v>
      </c>
      <c r="BW481" s="491">
        <v>0</v>
      </c>
      <c r="BX481" s="87"/>
      <c r="BY481" s="87"/>
      <c r="BZ481" s="87"/>
      <c r="CA481" s="87"/>
      <c r="CB481" s="87"/>
      <c r="CE481" s="328" t="s">
        <v>469</v>
      </c>
      <c r="CF481" s="490">
        <v>0</v>
      </c>
      <c r="CG481" s="491">
        <v>0</v>
      </c>
      <c r="CH481" s="491">
        <v>0</v>
      </c>
      <c r="CI481" s="491">
        <v>0</v>
      </c>
      <c r="CJ481" s="491">
        <v>0</v>
      </c>
      <c r="CK481" s="491">
        <v>0</v>
      </c>
      <c r="CL481" s="87"/>
      <c r="CM481" s="87"/>
      <c r="CN481" s="87"/>
      <c r="CO481" s="87"/>
      <c r="CP481" s="87"/>
    </row>
    <row r="482" spans="4:94" s="316" customFormat="1" outlineLevel="1">
      <c r="D482" s="328" t="s">
        <v>470</v>
      </c>
      <c r="E482" s="490">
        <v>0</v>
      </c>
      <c r="F482" s="491">
        <v>0</v>
      </c>
      <c r="G482" s="491">
        <v>1.56</v>
      </c>
      <c r="H482" s="491">
        <v>1.6</v>
      </c>
      <c r="I482" s="491">
        <v>7.47</v>
      </c>
      <c r="J482" s="491">
        <v>14.190000000000001</v>
      </c>
      <c r="K482" s="87"/>
      <c r="L482" s="87"/>
      <c r="M482" s="87"/>
      <c r="N482" s="87"/>
      <c r="O482" s="87"/>
      <c r="Q482" s="328" t="s">
        <v>470</v>
      </c>
      <c r="R482" s="493">
        <v>0</v>
      </c>
      <c r="S482" s="493">
        <v>0</v>
      </c>
      <c r="T482" s="493">
        <v>0</v>
      </c>
      <c r="U482" s="493">
        <v>1.04</v>
      </c>
      <c r="V482" s="493">
        <v>2.06</v>
      </c>
      <c r="W482" s="493">
        <v>1.44</v>
      </c>
      <c r="X482" s="87"/>
      <c r="Y482" s="87"/>
      <c r="Z482" s="87"/>
      <c r="AA482" s="87"/>
      <c r="AB482" s="87"/>
      <c r="AD482" s="328" t="s">
        <v>470</v>
      </c>
      <c r="AE482" s="490">
        <v>0</v>
      </c>
      <c r="AF482" s="491">
        <v>0</v>
      </c>
      <c r="AG482" s="491">
        <v>0</v>
      </c>
      <c r="AH482" s="491">
        <v>0</v>
      </c>
      <c r="AI482" s="491">
        <v>0</v>
      </c>
      <c r="AJ482" s="491">
        <v>0</v>
      </c>
      <c r="AK482" s="87"/>
      <c r="AL482" s="87"/>
      <c r="AM482" s="87"/>
      <c r="AN482" s="87"/>
      <c r="AO482" s="87"/>
      <c r="AQ482" s="328" t="s">
        <v>470</v>
      </c>
      <c r="AR482" s="490">
        <v>1.88</v>
      </c>
      <c r="AS482" s="491">
        <v>2.52</v>
      </c>
      <c r="AT482" s="491">
        <v>1.78</v>
      </c>
      <c r="AU482" s="491">
        <v>0</v>
      </c>
      <c r="AV482" s="491">
        <v>0</v>
      </c>
      <c r="AW482" s="491">
        <v>0</v>
      </c>
      <c r="AX482" s="87"/>
      <c r="AY482" s="87"/>
      <c r="AZ482" s="87"/>
      <c r="BA482" s="87"/>
      <c r="BB482" s="87"/>
      <c r="BD482" s="328" t="s">
        <v>470</v>
      </c>
      <c r="BE482" s="492">
        <v>0</v>
      </c>
      <c r="BF482" s="492">
        <v>0</v>
      </c>
      <c r="BG482" s="492">
        <v>0</v>
      </c>
      <c r="BH482" s="492">
        <v>0</v>
      </c>
      <c r="BI482" s="492">
        <v>0</v>
      </c>
      <c r="BJ482" s="492">
        <v>0</v>
      </c>
      <c r="BK482" s="87"/>
      <c r="BL482" s="87"/>
      <c r="BM482" s="87"/>
      <c r="BN482" s="87"/>
      <c r="BO482" s="87"/>
      <c r="BQ482" s="328" t="s">
        <v>470</v>
      </c>
      <c r="BR482" s="491">
        <v>0</v>
      </c>
      <c r="BS482" s="491">
        <v>0</v>
      </c>
      <c r="BT482" s="491">
        <v>0</v>
      </c>
      <c r="BU482" s="491">
        <v>0</v>
      </c>
      <c r="BV482" s="491">
        <v>0</v>
      </c>
      <c r="BW482" s="491">
        <v>0</v>
      </c>
      <c r="BX482" s="87"/>
      <c r="BY482" s="87"/>
      <c r="BZ482" s="87"/>
      <c r="CA482" s="87"/>
      <c r="CB482" s="87"/>
      <c r="CE482" s="328" t="s">
        <v>470</v>
      </c>
      <c r="CF482" s="490">
        <v>0</v>
      </c>
      <c r="CG482" s="491">
        <v>0</v>
      </c>
      <c r="CH482" s="491">
        <v>0</v>
      </c>
      <c r="CI482" s="491">
        <v>0</v>
      </c>
      <c r="CJ482" s="491">
        <v>0</v>
      </c>
      <c r="CK482" s="491">
        <v>0</v>
      </c>
      <c r="CL482" s="87"/>
      <c r="CM482" s="87"/>
      <c r="CN482" s="87"/>
      <c r="CO482" s="87"/>
      <c r="CP482" s="87"/>
    </row>
    <row r="483" spans="4:94" s="316" customFormat="1" outlineLevel="1">
      <c r="D483" s="328" t="s">
        <v>471</v>
      </c>
      <c r="E483" s="490">
        <v>0</v>
      </c>
      <c r="F483" s="491">
        <v>0</v>
      </c>
      <c r="G483" s="491">
        <v>0</v>
      </c>
      <c r="H483" s="491">
        <v>0</v>
      </c>
      <c r="I483" s="491">
        <v>0</v>
      </c>
      <c r="J483" s="491">
        <v>0</v>
      </c>
      <c r="K483" s="87"/>
      <c r="L483" s="87"/>
      <c r="M483" s="87"/>
      <c r="N483" s="87"/>
      <c r="O483" s="87"/>
      <c r="Q483" s="328" t="s">
        <v>471</v>
      </c>
      <c r="R483" s="491">
        <v>0</v>
      </c>
      <c r="S483" s="491">
        <v>0</v>
      </c>
      <c r="T483" s="491">
        <v>0</v>
      </c>
      <c r="U483" s="491">
        <v>0</v>
      </c>
      <c r="V483" s="491">
        <v>0</v>
      </c>
      <c r="W483" s="491">
        <v>0</v>
      </c>
      <c r="X483" s="87"/>
      <c r="Y483" s="87"/>
      <c r="Z483" s="87"/>
      <c r="AA483" s="87"/>
      <c r="AB483" s="87"/>
      <c r="AD483" s="328" t="s">
        <v>471</v>
      </c>
      <c r="AE483" s="490">
        <v>0</v>
      </c>
      <c r="AF483" s="491">
        <v>0</v>
      </c>
      <c r="AG483" s="491">
        <v>0</v>
      </c>
      <c r="AH483" s="491">
        <v>0</v>
      </c>
      <c r="AI483" s="491">
        <v>0</v>
      </c>
      <c r="AJ483" s="491">
        <v>0</v>
      </c>
      <c r="AK483" s="87"/>
      <c r="AL483" s="87"/>
      <c r="AM483" s="87"/>
      <c r="AN483" s="87"/>
      <c r="AO483" s="87"/>
      <c r="AQ483" s="328" t="s">
        <v>471</v>
      </c>
      <c r="AR483" s="490">
        <v>0</v>
      </c>
      <c r="AS483" s="491">
        <v>0</v>
      </c>
      <c r="AT483" s="491">
        <v>0</v>
      </c>
      <c r="AU483" s="491">
        <v>0</v>
      </c>
      <c r="AV483" s="491">
        <v>0</v>
      </c>
      <c r="AW483" s="491">
        <v>0</v>
      </c>
      <c r="AX483" s="87"/>
      <c r="AY483" s="87"/>
      <c r="AZ483" s="87"/>
      <c r="BA483" s="87"/>
      <c r="BB483" s="87"/>
      <c r="BD483" s="328" t="s">
        <v>471</v>
      </c>
      <c r="BE483" s="491">
        <v>0</v>
      </c>
      <c r="BF483" s="491">
        <v>0</v>
      </c>
      <c r="BG483" s="491">
        <v>0</v>
      </c>
      <c r="BH483" s="491">
        <v>0</v>
      </c>
      <c r="BI483" s="491">
        <v>0</v>
      </c>
      <c r="BJ483" s="491">
        <v>0</v>
      </c>
      <c r="BK483" s="87"/>
      <c r="BL483" s="87"/>
      <c r="BM483" s="87"/>
      <c r="BN483" s="87"/>
      <c r="BO483" s="87"/>
      <c r="BQ483" s="328" t="s">
        <v>471</v>
      </c>
      <c r="BR483" s="491">
        <v>0</v>
      </c>
      <c r="BS483" s="491">
        <v>0</v>
      </c>
      <c r="BT483" s="491">
        <v>0</v>
      </c>
      <c r="BU483" s="491">
        <v>0</v>
      </c>
      <c r="BV483" s="491">
        <v>0</v>
      </c>
      <c r="BW483" s="491">
        <v>0</v>
      </c>
      <c r="BX483" s="87"/>
      <c r="BY483" s="87"/>
      <c r="BZ483" s="87"/>
      <c r="CA483" s="87"/>
      <c r="CB483" s="87"/>
      <c r="CE483" s="328" t="s">
        <v>471</v>
      </c>
      <c r="CF483" s="490">
        <v>0</v>
      </c>
      <c r="CG483" s="491">
        <v>0</v>
      </c>
      <c r="CH483" s="491">
        <v>0</v>
      </c>
      <c r="CI483" s="491">
        <v>0</v>
      </c>
      <c r="CJ483" s="491">
        <v>0</v>
      </c>
      <c r="CK483" s="491">
        <v>0</v>
      </c>
      <c r="CL483" s="87"/>
      <c r="CM483" s="87"/>
      <c r="CN483" s="87"/>
      <c r="CO483" s="87"/>
      <c r="CP483" s="87"/>
    </row>
    <row r="484" spans="4:94" s="316" customFormat="1" outlineLevel="1">
      <c r="D484" s="328" t="s">
        <v>472</v>
      </c>
      <c r="E484" s="491">
        <v>0</v>
      </c>
      <c r="F484" s="491">
        <v>0</v>
      </c>
      <c r="G484" s="491">
        <v>0</v>
      </c>
      <c r="H484" s="491">
        <v>0</v>
      </c>
      <c r="I484" s="491">
        <v>0.89</v>
      </c>
      <c r="J484" s="491">
        <v>2.88</v>
      </c>
      <c r="K484" s="87"/>
      <c r="L484" s="87"/>
      <c r="M484" s="87"/>
      <c r="N484" s="87"/>
      <c r="O484" s="87"/>
      <c r="Q484" s="328" t="s">
        <v>472</v>
      </c>
      <c r="R484" s="491">
        <v>0</v>
      </c>
      <c r="S484" s="491">
        <v>0</v>
      </c>
      <c r="T484" s="491">
        <v>0</v>
      </c>
      <c r="U484" s="491">
        <v>0</v>
      </c>
      <c r="V484" s="491">
        <v>0</v>
      </c>
      <c r="W484" s="491">
        <v>0</v>
      </c>
      <c r="X484" s="87"/>
      <c r="Y484" s="87"/>
      <c r="Z484" s="87"/>
      <c r="AA484" s="87"/>
      <c r="AB484" s="87"/>
      <c r="AD484" s="328" t="s">
        <v>472</v>
      </c>
      <c r="AE484" s="490">
        <v>0</v>
      </c>
      <c r="AF484" s="491">
        <v>0</v>
      </c>
      <c r="AG484" s="491">
        <v>0</v>
      </c>
      <c r="AH484" s="491">
        <v>0</v>
      </c>
      <c r="AI484" s="491">
        <v>0</v>
      </c>
      <c r="AJ484" s="491">
        <v>0</v>
      </c>
      <c r="AK484" s="87"/>
      <c r="AL484" s="87"/>
      <c r="AM484" s="87"/>
      <c r="AN484" s="87"/>
      <c r="AO484" s="87"/>
      <c r="AQ484" s="328" t="s">
        <v>472</v>
      </c>
      <c r="AR484" s="490">
        <v>0</v>
      </c>
      <c r="AS484" s="491">
        <v>0</v>
      </c>
      <c r="AT484" s="491">
        <v>0</v>
      </c>
      <c r="AU484" s="491">
        <v>1.72</v>
      </c>
      <c r="AV484" s="491">
        <v>1.66</v>
      </c>
      <c r="AW484" s="491">
        <v>3.69</v>
      </c>
      <c r="AX484" s="87"/>
      <c r="AY484" s="87"/>
      <c r="AZ484" s="87"/>
      <c r="BA484" s="87"/>
      <c r="BB484" s="87"/>
      <c r="BD484" s="328" t="s">
        <v>472</v>
      </c>
      <c r="BE484" s="491">
        <v>0</v>
      </c>
      <c r="BF484" s="491">
        <v>0</v>
      </c>
      <c r="BG484" s="491">
        <v>0</v>
      </c>
      <c r="BH484" s="491">
        <v>0</v>
      </c>
      <c r="BI484" s="491">
        <v>0</v>
      </c>
      <c r="BJ484" s="491">
        <v>0</v>
      </c>
      <c r="BK484" s="87"/>
      <c r="BL484" s="87"/>
      <c r="BM484" s="87"/>
      <c r="BN484" s="87"/>
      <c r="BO484" s="87"/>
      <c r="BQ484" s="328" t="s">
        <v>472</v>
      </c>
      <c r="BR484" s="491">
        <v>0</v>
      </c>
      <c r="BS484" s="491">
        <v>0</v>
      </c>
      <c r="BT484" s="491">
        <v>0</v>
      </c>
      <c r="BU484" s="491">
        <v>0</v>
      </c>
      <c r="BV484" s="491">
        <v>0</v>
      </c>
      <c r="BW484" s="491">
        <v>0</v>
      </c>
      <c r="BX484" s="87"/>
      <c r="BY484" s="87"/>
      <c r="BZ484" s="87"/>
      <c r="CA484" s="87"/>
      <c r="CB484" s="87"/>
      <c r="CE484" s="328" t="s">
        <v>472</v>
      </c>
      <c r="CF484" s="491">
        <v>0</v>
      </c>
      <c r="CG484" s="491">
        <v>0</v>
      </c>
      <c r="CH484" s="491">
        <v>0</v>
      </c>
      <c r="CI484" s="491">
        <v>0</v>
      </c>
      <c r="CJ484" s="491">
        <v>0</v>
      </c>
      <c r="CK484" s="491">
        <v>0</v>
      </c>
      <c r="CL484" s="87"/>
      <c r="CM484" s="87"/>
      <c r="CN484" s="87"/>
      <c r="CO484" s="87"/>
      <c r="CP484" s="87"/>
    </row>
    <row r="485" spans="4:94" s="316" customFormat="1" outlineLevel="1">
      <c r="D485" s="328" t="s">
        <v>473</v>
      </c>
      <c r="E485" s="491">
        <v>0</v>
      </c>
      <c r="F485" s="491">
        <v>0</v>
      </c>
      <c r="G485" s="491">
        <v>1.24</v>
      </c>
      <c r="H485" s="491">
        <v>0</v>
      </c>
      <c r="I485" s="491">
        <v>0</v>
      </c>
      <c r="J485" s="491">
        <v>0</v>
      </c>
      <c r="K485" s="87"/>
      <c r="L485" s="87"/>
      <c r="M485" s="87"/>
      <c r="N485" s="87"/>
      <c r="O485" s="87"/>
      <c r="Q485" s="328" t="s">
        <v>473</v>
      </c>
      <c r="R485" s="491">
        <v>0</v>
      </c>
      <c r="S485" s="491">
        <v>0</v>
      </c>
      <c r="T485" s="491">
        <v>0</v>
      </c>
      <c r="U485" s="491">
        <v>0</v>
      </c>
      <c r="V485" s="491">
        <v>0</v>
      </c>
      <c r="W485" s="491">
        <v>0</v>
      </c>
      <c r="X485" s="87"/>
      <c r="Y485" s="87"/>
      <c r="Z485" s="87"/>
      <c r="AA485" s="87"/>
      <c r="AB485" s="87"/>
      <c r="AD485" s="328" t="s">
        <v>473</v>
      </c>
      <c r="AE485" s="490">
        <v>0</v>
      </c>
      <c r="AF485" s="491">
        <v>0</v>
      </c>
      <c r="AG485" s="491">
        <v>0</v>
      </c>
      <c r="AH485" s="491">
        <v>0</v>
      </c>
      <c r="AI485" s="491">
        <v>0</v>
      </c>
      <c r="AJ485" s="491">
        <v>0</v>
      </c>
      <c r="AK485" s="87"/>
      <c r="AL485" s="87"/>
      <c r="AM485" s="87"/>
      <c r="AN485" s="87"/>
      <c r="AO485" s="87"/>
      <c r="AQ485" s="328" t="s">
        <v>473</v>
      </c>
      <c r="AR485" s="490">
        <v>0</v>
      </c>
      <c r="AS485" s="491">
        <v>0</v>
      </c>
      <c r="AT485" s="491">
        <v>0</v>
      </c>
      <c r="AU485" s="491">
        <v>0</v>
      </c>
      <c r="AV485" s="491">
        <v>0</v>
      </c>
      <c r="AW485" s="491">
        <v>0</v>
      </c>
      <c r="AX485" s="87"/>
      <c r="AY485" s="87"/>
      <c r="AZ485" s="87"/>
      <c r="BA485" s="87"/>
      <c r="BB485" s="87"/>
      <c r="BD485" s="328" t="s">
        <v>473</v>
      </c>
      <c r="BE485" s="491">
        <v>0</v>
      </c>
      <c r="BF485" s="491">
        <v>0</v>
      </c>
      <c r="BG485" s="491">
        <v>0</v>
      </c>
      <c r="BH485" s="491">
        <v>0</v>
      </c>
      <c r="BI485" s="491">
        <v>0</v>
      </c>
      <c r="BJ485" s="491">
        <v>0</v>
      </c>
      <c r="BK485" s="87"/>
      <c r="BL485" s="87"/>
      <c r="BM485" s="87"/>
      <c r="BN485" s="87"/>
      <c r="BO485" s="87"/>
      <c r="BQ485" s="328" t="s">
        <v>473</v>
      </c>
      <c r="BR485" s="491">
        <v>0</v>
      </c>
      <c r="BS485" s="491">
        <v>0</v>
      </c>
      <c r="BT485" s="491">
        <v>0</v>
      </c>
      <c r="BU485" s="491">
        <v>0</v>
      </c>
      <c r="BV485" s="491">
        <v>0</v>
      </c>
      <c r="BW485" s="491">
        <v>0</v>
      </c>
      <c r="BX485" s="87"/>
      <c r="BY485" s="87"/>
      <c r="BZ485" s="87"/>
      <c r="CA485" s="87"/>
      <c r="CB485" s="87"/>
      <c r="CE485" s="328" t="s">
        <v>473</v>
      </c>
      <c r="CF485" s="491">
        <v>0</v>
      </c>
      <c r="CG485" s="491">
        <v>0</v>
      </c>
      <c r="CH485" s="491">
        <v>0</v>
      </c>
      <c r="CI485" s="491">
        <v>0</v>
      </c>
      <c r="CJ485" s="491">
        <v>0</v>
      </c>
      <c r="CK485" s="491">
        <v>0</v>
      </c>
      <c r="CL485" s="87"/>
      <c r="CM485" s="87"/>
      <c r="CN485" s="87"/>
      <c r="CO485" s="87"/>
      <c r="CP485" s="87"/>
    </row>
    <row r="486" spans="4:94" s="316" customFormat="1" outlineLevel="1">
      <c r="D486" s="328" t="s">
        <v>474</v>
      </c>
      <c r="E486" s="491">
        <v>0</v>
      </c>
      <c r="F486" s="491">
        <v>0</v>
      </c>
      <c r="G486" s="491">
        <v>0.87</v>
      </c>
      <c r="H486" s="491">
        <v>2.5499999999999998</v>
      </c>
      <c r="I486" s="491">
        <v>4.4800000000000004</v>
      </c>
      <c r="J486" s="491">
        <v>4.8600000000000003</v>
      </c>
      <c r="K486" s="87"/>
      <c r="L486" s="87"/>
      <c r="M486" s="87"/>
      <c r="N486" s="87"/>
      <c r="O486" s="87"/>
      <c r="Q486" s="328" t="s">
        <v>474</v>
      </c>
      <c r="R486" s="491">
        <v>0</v>
      </c>
      <c r="S486" s="491">
        <v>0</v>
      </c>
      <c r="T486" s="491">
        <v>0</v>
      </c>
      <c r="U486" s="491">
        <v>0</v>
      </c>
      <c r="V486" s="491">
        <v>0</v>
      </c>
      <c r="W486" s="491">
        <v>0</v>
      </c>
      <c r="X486" s="87"/>
      <c r="Y486" s="87"/>
      <c r="Z486" s="87"/>
      <c r="AA486" s="87"/>
      <c r="AB486" s="87"/>
      <c r="AD486" s="328" t="s">
        <v>474</v>
      </c>
      <c r="AE486" s="490">
        <v>0</v>
      </c>
      <c r="AF486" s="491">
        <v>0</v>
      </c>
      <c r="AG486" s="491">
        <v>0</v>
      </c>
      <c r="AH486" s="491">
        <v>0</v>
      </c>
      <c r="AI486" s="491">
        <v>0</v>
      </c>
      <c r="AJ486" s="491">
        <v>0</v>
      </c>
      <c r="AK486" s="87"/>
      <c r="AL486" s="87"/>
      <c r="AM486" s="87"/>
      <c r="AN486" s="87"/>
      <c r="AO486" s="87"/>
      <c r="AQ486" s="328" t="s">
        <v>474</v>
      </c>
      <c r="AR486" s="490">
        <v>0</v>
      </c>
      <c r="AS486" s="491">
        <v>0</v>
      </c>
      <c r="AT486" s="491">
        <v>0</v>
      </c>
      <c r="AU486" s="491">
        <v>0</v>
      </c>
      <c r="AV486" s="491">
        <v>0</v>
      </c>
      <c r="AW486" s="491">
        <v>0</v>
      </c>
      <c r="AX486" s="87"/>
      <c r="AY486" s="87"/>
      <c r="AZ486" s="87"/>
      <c r="BA486" s="87"/>
      <c r="BB486" s="87"/>
      <c r="BD486" s="328" t="s">
        <v>474</v>
      </c>
      <c r="BE486" s="491">
        <v>0</v>
      </c>
      <c r="BF486" s="491">
        <v>0</v>
      </c>
      <c r="BG486" s="491">
        <v>0</v>
      </c>
      <c r="BH486" s="491">
        <v>0</v>
      </c>
      <c r="BI486" s="491">
        <v>0</v>
      </c>
      <c r="BJ486" s="491">
        <v>0</v>
      </c>
      <c r="BK486" s="87"/>
      <c r="BL486" s="87"/>
      <c r="BM486" s="87"/>
      <c r="BN486" s="87"/>
      <c r="BO486" s="87"/>
      <c r="BQ486" s="328" t="s">
        <v>474</v>
      </c>
      <c r="BR486" s="491">
        <v>0</v>
      </c>
      <c r="BS486" s="491">
        <v>0</v>
      </c>
      <c r="BT486" s="491">
        <v>0</v>
      </c>
      <c r="BU486" s="491">
        <v>0</v>
      </c>
      <c r="BV486" s="491">
        <v>0</v>
      </c>
      <c r="BW486" s="491">
        <v>0</v>
      </c>
      <c r="BX486" s="87"/>
      <c r="BY486" s="87"/>
      <c r="BZ486" s="87"/>
      <c r="CA486" s="87"/>
      <c r="CB486" s="87"/>
      <c r="CE486" s="328" t="s">
        <v>474</v>
      </c>
      <c r="CF486" s="491">
        <v>0</v>
      </c>
      <c r="CG486" s="491">
        <v>0</v>
      </c>
      <c r="CH486" s="491">
        <v>0</v>
      </c>
      <c r="CI486" s="491">
        <v>0</v>
      </c>
      <c r="CJ486" s="491">
        <v>0</v>
      </c>
      <c r="CK486" s="491">
        <v>0</v>
      </c>
      <c r="CL486" s="87"/>
      <c r="CM486" s="87"/>
      <c r="CN486" s="87"/>
      <c r="CO486" s="87"/>
      <c r="CP486" s="87"/>
    </row>
    <row r="487" spans="4:94" s="316" customFormat="1" outlineLevel="1">
      <c r="D487" s="328" t="s">
        <v>475</v>
      </c>
      <c r="E487" s="492">
        <v>0</v>
      </c>
      <c r="F487" s="491">
        <v>0</v>
      </c>
      <c r="G487" s="491">
        <v>0</v>
      </c>
      <c r="H487" s="491">
        <v>0</v>
      </c>
      <c r="I487" s="491">
        <v>0</v>
      </c>
      <c r="J487" s="491">
        <v>0</v>
      </c>
      <c r="K487" s="87"/>
      <c r="L487" s="87"/>
      <c r="M487" s="87"/>
      <c r="N487" s="87"/>
      <c r="O487" s="87"/>
      <c r="Q487" s="328" t="s">
        <v>475</v>
      </c>
      <c r="R487" s="491">
        <v>0</v>
      </c>
      <c r="S487" s="491">
        <v>0</v>
      </c>
      <c r="T487" s="491">
        <v>0</v>
      </c>
      <c r="U487" s="491">
        <v>0</v>
      </c>
      <c r="V487" s="491">
        <v>0</v>
      </c>
      <c r="W487" s="491">
        <v>0</v>
      </c>
      <c r="X487" s="87"/>
      <c r="Y487" s="87"/>
      <c r="Z487" s="87"/>
      <c r="AA487" s="87"/>
      <c r="AB487" s="87"/>
      <c r="AD487" s="328" t="s">
        <v>475</v>
      </c>
      <c r="AE487" s="490">
        <v>0</v>
      </c>
      <c r="AF487" s="491">
        <v>0</v>
      </c>
      <c r="AG487" s="491">
        <v>0</v>
      </c>
      <c r="AH487" s="491">
        <v>0</v>
      </c>
      <c r="AI487" s="491">
        <v>0</v>
      </c>
      <c r="AJ487" s="491">
        <v>0</v>
      </c>
      <c r="AK487" s="87"/>
      <c r="AL487" s="87"/>
      <c r="AM487" s="87"/>
      <c r="AN487" s="87"/>
      <c r="AO487" s="87"/>
      <c r="AQ487" s="328" t="s">
        <v>475</v>
      </c>
      <c r="AR487" s="490">
        <v>0</v>
      </c>
      <c r="AS487" s="491">
        <v>0</v>
      </c>
      <c r="AT487" s="491">
        <v>0</v>
      </c>
      <c r="AU487" s="491">
        <v>0</v>
      </c>
      <c r="AV487" s="491">
        <v>0</v>
      </c>
      <c r="AW487" s="491">
        <v>0</v>
      </c>
      <c r="AX487" s="87"/>
      <c r="AY487" s="87"/>
      <c r="AZ487" s="87"/>
      <c r="BA487" s="87"/>
      <c r="BB487" s="87"/>
      <c r="BD487" s="328" t="s">
        <v>475</v>
      </c>
      <c r="BE487" s="491">
        <v>0</v>
      </c>
      <c r="BF487" s="491">
        <v>0</v>
      </c>
      <c r="BG487" s="491">
        <v>0</v>
      </c>
      <c r="BH487" s="491">
        <v>0</v>
      </c>
      <c r="BI487" s="491">
        <v>0</v>
      </c>
      <c r="BJ487" s="491">
        <v>0</v>
      </c>
      <c r="BK487" s="87"/>
      <c r="BL487" s="87"/>
      <c r="BM487" s="87"/>
      <c r="BN487" s="87"/>
      <c r="BO487" s="87"/>
      <c r="BQ487" s="328" t="s">
        <v>475</v>
      </c>
      <c r="BR487" s="491">
        <v>0</v>
      </c>
      <c r="BS487" s="491">
        <v>0</v>
      </c>
      <c r="BT487" s="491">
        <v>0</v>
      </c>
      <c r="BU487" s="491">
        <v>0</v>
      </c>
      <c r="BV487" s="491">
        <v>0</v>
      </c>
      <c r="BW487" s="491">
        <v>0</v>
      </c>
      <c r="BX487" s="87"/>
      <c r="BY487" s="87"/>
      <c r="BZ487" s="87"/>
      <c r="CA487" s="87"/>
      <c r="CB487" s="87"/>
      <c r="CE487" s="328" t="s">
        <v>475</v>
      </c>
      <c r="CF487" s="492">
        <v>0</v>
      </c>
      <c r="CG487" s="491">
        <v>0</v>
      </c>
      <c r="CH487" s="491">
        <v>0</v>
      </c>
      <c r="CI487" s="491">
        <v>0</v>
      </c>
      <c r="CJ487" s="491">
        <v>0</v>
      </c>
      <c r="CK487" s="491">
        <v>0</v>
      </c>
      <c r="CL487" s="87"/>
      <c r="CM487" s="87"/>
      <c r="CN487" s="87"/>
      <c r="CO487" s="87"/>
      <c r="CP487" s="87"/>
    </row>
    <row r="488" spans="4:94" s="316" customFormat="1" outlineLevel="1">
      <c r="D488" s="328" t="s">
        <v>476</v>
      </c>
      <c r="E488" s="491">
        <v>0</v>
      </c>
      <c r="F488" s="491">
        <v>0</v>
      </c>
      <c r="G488" s="491">
        <v>0</v>
      </c>
      <c r="H488" s="491">
        <v>0</v>
      </c>
      <c r="I488" s="491">
        <v>0</v>
      </c>
      <c r="J488" s="491">
        <v>0</v>
      </c>
      <c r="K488" s="87"/>
      <c r="L488" s="87"/>
      <c r="M488" s="87"/>
      <c r="N488" s="87"/>
      <c r="O488" s="87"/>
      <c r="Q488" s="328" t="s">
        <v>476</v>
      </c>
      <c r="R488" s="491">
        <v>0</v>
      </c>
      <c r="S488" s="491">
        <v>0</v>
      </c>
      <c r="T488" s="491">
        <v>0</v>
      </c>
      <c r="U488" s="491">
        <v>0</v>
      </c>
      <c r="V488" s="491">
        <v>0</v>
      </c>
      <c r="W488" s="491">
        <v>0</v>
      </c>
      <c r="X488" s="87"/>
      <c r="Y488" s="87"/>
      <c r="Z488" s="87"/>
      <c r="AA488" s="87"/>
      <c r="AB488" s="87"/>
      <c r="AD488" s="328" t="s">
        <v>476</v>
      </c>
      <c r="AE488" s="490">
        <v>0</v>
      </c>
      <c r="AF488" s="491">
        <v>0</v>
      </c>
      <c r="AG488" s="491">
        <v>0</v>
      </c>
      <c r="AH488" s="491">
        <v>0</v>
      </c>
      <c r="AI488" s="491">
        <v>0</v>
      </c>
      <c r="AJ488" s="491">
        <v>0</v>
      </c>
      <c r="AK488" s="87"/>
      <c r="AL488" s="87"/>
      <c r="AM488" s="87"/>
      <c r="AN488" s="87"/>
      <c r="AO488" s="87"/>
      <c r="AQ488" s="328" t="s">
        <v>476</v>
      </c>
      <c r="AR488" s="493">
        <v>0.78</v>
      </c>
      <c r="AS488" s="493">
        <v>0.7</v>
      </c>
      <c r="AT488" s="493">
        <v>0</v>
      </c>
      <c r="AU488" s="493">
        <v>0</v>
      </c>
      <c r="AV488" s="493">
        <v>0</v>
      </c>
      <c r="AW488" s="493">
        <v>0</v>
      </c>
      <c r="AX488" s="87"/>
      <c r="AY488" s="87"/>
      <c r="AZ488" s="87"/>
      <c r="BA488" s="87"/>
      <c r="BB488" s="87"/>
      <c r="BD488" s="328" t="s">
        <v>476</v>
      </c>
      <c r="BE488" s="491">
        <v>0</v>
      </c>
      <c r="BF488" s="491">
        <v>0</v>
      </c>
      <c r="BG488" s="491">
        <v>0</v>
      </c>
      <c r="BH488" s="491">
        <v>0</v>
      </c>
      <c r="BI488" s="491">
        <v>0</v>
      </c>
      <c r="BJ488" s="491">
        <v>0</v>
      </c>
      <c r="BK488" s="87"/>
      <c r="BL488" s="87"/>
      <c r="BM488" s="87"/>
      <c r="BN488" s="87"/>
      <c r="BO488" s="87"/>
      <c r="BQ488" s="328" t="s">
        <v>476</v>
      </c>
      <c r="BR488" s="491">
        <v>0</v>
      </c>
      <c r="BS488" s="491">
        <v>0</v>
      </c>
      <c r="BT488" s="491">
        <v>0</v>
      </c>
      <c r="BU488" s="491">
        <v>0</v>
      </c>
      <c r="BV488" s="491">
        <v>0</v>
      </c>
      <c r="BW488" s="491">
        <v>0</v>
      </c>
      <c r="BX488" s="87"/>
      <c r="BY488" s="87"/>
      <c r="BZ488" s="87"/>
      <c r="CA488" s="87"/>
      <c r="CB488" s="87"/>
      <c r="CE488" s="328" t="s">
        <v>476</v>
      </c>
      <c r="CF488" s="491">
        <v>0</v>
      </c>
      <c r="CG488" s="491">
        <v>0</v>
      </c>
      <c r="CH488" s="491">
        <v>0</v>
      </c>
      <c r="CI488" s="491">
        <v>0</v>
      </c>
      <c r="CJ488" s="491">
        <v>0</v>
      </c>
      <c r="CK488" s="491">
        <v>0</v>
      </c>
      <c r="CL488" s="87"/>
      <c r="CM488" s="87"/>
      <c r="CN488" s="87"/>
      <c r="CO488" s="87"/>
      <c r="CP488" s="87"/>
    </row>
    <row r="489" spans="4:94" s="316" customFormat="1" outlineLevel="1">
      <c r="D489" s="328" t="s">
        <v>477</v>
      </c>
      <c r="E489" s="491">
        <v>0</v>
      </c>
      <c r="F489" s="491">
        <v>0</v>
      </c>
      <c r="G489" s="491">
        <v>0</v>
      </c>
      <c r="H489" s="491">
        <v>0</v>
      </c>
      <c r="I489" s="491">
        <v>0</v>
      </c>
      <c r="J489" s="491">
        <v>0</v>
      </c>
      <c r="K489" s="87"/>
      <c r="L489" s="87"/>
      <c r="M489" s="87"/>
      <c r="N489" s="87"/>
      <c r="O489" s="87"/>
      <c r="Q489" s="328" t="s">
        <v>477</v>
      </c>
      <c r="R489" s="491">
        <v>0</v>
      </c>
      <c r="S489" s="491">
        <v>0</v>
      </c>
      <c r="T489" s="491">
        <v>0</v>
      </c>
      <c r="U489" s="491">
        <v>0</v>
      </c>
      <c r="V489" s="491">
        <v>0</v>
      </c>
      <c r="W489" s="491">
        <v>0</v>
      </c>
      <c r="X489" s="87"/>
      <c r="Y489" s="87"/>
      <c r="Z489" s="87"/>
      <c r="AA489" s="87"/>
      <c r="AB489" s="87"/>
      <c r="AD489" s="328" t="s">
        <v>477</v>
      </c>
      <c r="AE489" s="490">
        <v>0</v>
      </c>
      <c r="AF489" s="491">
        <v>0</v>
      </c>
      <c r="AG489" s="491">
        <v>0</v>
      </c>
      <c r="AH489" s="491">
        <v>0</v>
      </c>
      <c r="AI489" s="491">
        <v>0</v>
      </c>
      <c r="AJ489" s="491">
        <v>0</v>
      </c>
      <c r="AK489" s="87"/>
      <c r="AL489" s="87"/>
      <c r="AM489" s="87"/>
      <c r="AN489" s="87"/>
      <c r="AO489" s="87"/>
      <c r="AQ489" s="328" t="s">
        <v>477</v>
      </c>
      <c r="AR489" s="490">
        <v>0</v>
      </c>
      <c r="AS489" s="491">
        <v>0</v>
      </c>
      <c r="AT489" s="491">
        <v>0.96</v>
      </c>
      <c r="AU489" s="491">
        <v>1.28</v>
      </c>
      <c r="AV489" s="491">
        <v>0.91</v>
      </c>
      <c r="AW489" s="491">
        <v>0</v>
      </c>
      <c r="AX489" s="87"/>
      <c r="AY489" s="87"/>
      <c r="AZ489" s="87"/>
      <c r="BA489" s="87"/>
      <c r="BB489" s="87"/>
      <c r="BD489" s="328" t="s">
        <v>477</v>
      </c>
      <c r="BE489" s="491">
        <v>0</v>
      </c>
      <c r="BF489" s="491">
        <v>0</v>
      </c>
      <c r="BG489" s="491">
        <v>0</v>
      </c>
      <c r="BH489" s="491">
        <v>0</v>
      </c>
      <c r="BI489" s="491">
        <v>0</v>
      </c>
      <c r="BJ489" s="491">
        <v>0</v>
      </c>
      <c r="BK489" s="87"/>
      <c r="BL489" s="87"/>
      <c r="BM489" s="87"/>
      <c r="BN489" s="87"/>
      <c r="BO489" s="87"/>
      <c r="BQ489" s="328" t="s">
        <v>477</v>
      </c>
      <c r="BR489" s="491">
        <v>0</v>
      </c>
      <c r="BS489" s="491">
        <v>0</v>
      </c>
      <c r="BT489" s="491">
        <v>0</v>
      </c>
      <c r="BU489" s="491">
        <v>0</v>
      </c>
      <c r="BV489" s="491">
        <v>0</v>
      </c>
      <c r="BW489" s="491">
        <v>0</v>
      </c>
      <c r="BX489" s="87"/>
      <c r="BY489" s="87"/>
      <c r="BZ489" s="87"/>
      <c r="CA489" s="87"/>
      <c r="CB489" s="87"/>
      <c r="CE489" s="328" t="s">
        <v>477</v>
      </c>
      <c r="CF489" s="491">
        <v>0</v>
      </c>
      <c r="CG489" s="491">
        <v>0</v>
      </c>
      <c r="CH489" s="491">
        <v>0</v>
      </c>
      <c r="CI489" s="491">
        <v>0</v>
      </c>
      <c r="CJ489" s="491">
        <v>0</v>
      </c>
      <c r="CK489" s="491">
        <v>0</v>
      </c>
      <c r="CL489" s="87"/>
      <c r="CM489" s="87"/>
      <c r="CN489" s="87"/>
      <c r="CO489" s="87"/>
      <c r="CP489" s="87"/>
    </row>
    <row r="490" spans="4:94" s="316" customFormat="1" outlineLevel="1">
      <c r="D490" s="328" t="s">
        <v>478</v>
      </c>
      <c r="E490" s="491">
        <v>0</v>
      </c>
      <c r="F490" s="491">
        <v>5.92</v>
      </c>
      <c r="G490" s="491">
        <v>9.1</v>
      </c>
      <c r="H490" s="491">
        <v>11.57</v>
      </c>
      <c r="I490" s="491">
        <v>18.399999999999999</v>
      </c>
      <c r="J490" s="491">
        <v>23</v>
      </c>
      <c r="K490" s="87"/>
      <c r="L490" s="87"/>
      <c r="M490" s="87"/>
      <c r="N490" s="87"/>
      <c r="O490" s="87"/>
      <c r="Q490" s="328" t="s">
        <v>478</v>
      </c>
      <c r="R490" s="493">
        <v>0</v>
      </c>
      <c r="S490" s="493">
        <v>0</v>
      </c>
      <c r="T490" s="493">
        <v>0</v>
      </c>
      <c r="U490" s="493">
        <v>0</v>
      </c>
      <c r="V490" s="493">
        <v>0</v>
      </c>
      <c r="W490" s="493">
        <v>0</v>
      </c>
      <c r="X490" s="87"/>
      <c r="Y490" s="87"/>
      <c r="Z490" s="87"/>
      <c r="AA490" s="87"/>
      <c r="AB490" s="87"/>
      <c r="AD490" s="328" t="s">
        <v>478</v>
      </c>
      <c r="AE490" s="490">
        <v>0</v>
      </c>
      <c r="AF490" s="491">
        <v>0</v>
      </c>
      <c r="AG490" s="491">
        <v>0</v>
      </c>
      <c r="AH490" s="491">
        <v>0</v>
      </c>
      <c r="AI490" s="491">
        <v>0</v>
      </c>
      <c r="AJ490" s="491">
        <v>0</v>
      </c>
      <c r="AK490" s="87"/>
      <c r="AL490" s="87"/>
      <c r="AM490" s="87"/>
      <c r="AN490" s="87"/>
      <c r="AO490" s="87"/>
      <c r="AQ490" s="328" t="s">
        <v>478</v>
      </c>
      <c r="AR490" s="490">
        <v>0</v>
      </c>
      <c r="AS490" s="491">
        <v>0.95</v>
      </c>
      <c r="AT490" s="491">
        <v>0</v>
      </c>
      <c r="AU490" s="491">
        <v>0</v>
      </c>
      <c r="AV490" s="491">
        <v>1.08</v>
      </c>
      <c r="AW490" s="491">
        <v>10.4</v>
      </c>
      <c r="AX490" s="87"/>
      <c r="AY490" s="87"/>
      <c r="AZ490" s="87"/>
      <c r="BA490" s="87"/>
      <c r="BB490" s="87"/>
      <c r="BD490" s="328" t="s">
        <v>478</v>
      </c>
      <c r="BE490" s="491">
        <v>0</v>
      </c>
      <c r="BF490" s="491">
        <v>0</v>
      </c>
      <c r="BG490" s="491">
        <v>0</v>
      </c>
      <c r="BH490" s="491">
        <v>0</v>
      </c>
      <c r="BI490" s="491">
        <v>0</v>
      </c>
      <c r="BJ490" s="491">
        <v>0</v>
      </c>
      <c r="BK490" s="87"/>
      <c r="BL490" s="87"/>
      <c r="BM490" s="87"/>
      <c r="BN490" s="87"/>
      <c r="BO490" s="87"/>
      <c r="BQ490" s="328" t="s">
        <v>478</v>
      </c>
      <c r="BR490" s="491">
        <v>0</v>
      </c>
      <c r="BS490" s="491">
        <v>0</v>
      </c>
      <c r="BT490" s="491">
        <v>0</v>
      </c>
      <c r="BU490" s="491">
        <v>0</v>
      </c>
      <c r="BV490" s="491">
        <v>0</v>
      </c>
      <c r="BW490" s="491">
        <v>0</v>
      </c>
      <c r="BX490" s="87"/>
      <c r="BY490" s="87"/>
      <c r="BZ490" s="87"/>
      <c r="CA490" s="87"/>
      <c r="CB490" s="87"/>
      <c r="CE490" s="328" t="s">
        <v>478</v>
      </c>
      <c r="CF490" s="491">
        <v>0</v>
      </c>
      <c r="CG490" s="491">
        <v>0</v>
      </c>
      <c r="CH490" s="491">
        <v>0</v>
      </c>
      <c r="CI490" s="491">
        <v>0</v>
      </c>
      <c r="CJ490" s="491">
        <v>0</v>
      </c>
      <c r="CK490" s="491">
        <v>0</v>
      </c>
      <c r="CL490" s="87"/>
      <c r="CM490" s="87"/>
      <c r="CN490" s="87"/>
      <c r="CO490" s="87"/>
      <c r="CP490" s="87"/>
    </row>
    <row r="491" spans="4:94" s="316" customFormat="1"/>
    <row r="492" spans="4:94">
      <c r="Q492" s="299" t="s">
        <v>635</v>
      </c>
      <c r="AD492" s="299" t="s">
        <v>634</v>
      </c>
      <c r="AQ492" s="299" t="s">
        <v>634</v>
      </c>
      <c r="BD492" s="299" t="s">
        <v>634</v>
      </c>
      <c r="BQ492" s="299" t="s">
        <v>634</v>
      </c>
    </row>
    <row r="500" spans="4:69" s="36" customFormat="1" ht="18">
      <c r="D500" s="345" t="s">
        <v>681</v>
      </c>
      <c r="Q500" s="345"/>
      <c r="AD500" s="345"/>
      <c r="AQ500" s="345"/>
      <c r="BD500" s="345"/>
      <c r="BQ500" s="345"/>
    </row>
    <row r="502" spans="4:69" ht="15">
      <c r="D502" s="367"/>
      <c r="E502" s="566" t="s">
        <v>682</v>
      </c>
      <c r="F502" s="566"/>
      <c r="G502" s="566"/>
      <c r="H502" s="367"/>
      <c r="I502" s="367"/>
      <c r="J502" s="566" t="s">
        <v>683</v>
      </c>
      <c r="K502" s="566"/>
      <c r="L502" s="566"/>
      <c r="N502" s="566" t="s">
        <v>682</v>
      </c>
      <c r="O502" s="566"/>
      <c r="P502" s="566"/>
      <c r="Q502" s="367"/>
      <c r="R502" s="367"/>
      <c r="T502" s="566" t="s">
        <v>684</v>
      </c>
      <c r="U502" s="566"/>
      <c r="W502" s="567" t="s">
        <v>685</v>
      </c>
      <c r="X502" s="567"/>
      <c r="Y502" s="367"/>
      <c r="Z502" s="367"/>
      <c r="AA502" s="367"/>
      <c r="AD502" s="567" t="s">
        <v>686</v>
      </c>
      <c r="AE502" s="567"/>
      <c r="AF502" s="567"/>
      <c r="AG502" s="567"/>
      <c r="AI502" s="567" t="s">
        <v>687</v>
      </c>
      <c r="AJ502" s="567"/>
      <c r="AK502" s="567"/>
      <c r="AL502" s="567"/>
      <c r="AM502" s="567"/>
      <c r="AN502" s="567"/>
      <c r="AQ502" s="567" t="s">
        <v>688</v>
      </c>
      <c r="AR502" s="567"/>
      <c r="AS502" s="567"/>
      <c r="AV502" s="567" t="s">
        <v>689</v>
      </c>
      <c r="AW502" s="567"/>
      <c r="AX502" s="567"/>
      <c r="AY502" s="567"/>
      <c r="AZ502" s="567"/>
    </row>
    <row r="503" spans="4:69">
      <c r="D503" s="367"/>
      <c r="E503" s="367"/>
      <c r="F503" s="367"/>
      <c r="G503" s="367"/>
      <c r="H503" s="367"/>
      <c r="I503" s="367"/>
      <c r="J503" s="367"/>
      <c r="K503" s="367"/>
      <c r="L503" s="367"/>
      <c r="N503" s="367"/>
      <c r="O503" s="367"/>
      <c r="P503" s="367"/>
      <c r="Q503" s="367"/>
      <c r="R503" s="367"/>
      <c r="T503" s="367"/>
      <c r="U503" s="367"/>
      <c r="W503" s="367"/>
      <c r="X503" s="367"/>
      <c r="Y503" s="367"/>
      <c r="Z503" s="367"/>
      <c r="AA503" s="367"/>
      <c r="AD503" s="367"/>
      <c r="AE503" s="367"/>
      <c r="AF503" s="367"/>
      <c r="AG503" s="367"/>
      <c r="AI503" s="367"/>
      <c r="AJ503" s="367"/>
      <c r="AK503" s="367"/>
      <c r="AL503" s="367"/>
      <c r="AM503" s="367"/>
      <c r="AN503" s="367"/>
      <c r="AQ503" s="367"/>
      <c r="AR503" s="367"/>
      <c r="AS503" s="367"/>
      <c r="AV503" s="367"/>
      <c r="AW503" s="367"/>
      <c r="AX503" s="367"/>
      <c r="AY503" s="367"/>
      <c r="AZ503" s="367"/>
    </row>
    <row r="504" spans="4:69">
      <c r="D504" s="367"/>
      <c r="E504" s="368" t="s">
        <v>690</v>
      </c>
      <c r="F504" s="369" t="s">
        <v>691</v>
      </c>
      <c r="G504" s="370" t="s">
        <v>692</v>
      </c>
      <c r="H504" s="367"/>
      <c r="I504" s="367"/>
      <c r="J504" s="368" t="s">
        <v>690</v>
      </c>
      <c r="K504" s="369" t="s">
        <v>691</v>
      </c>
      <c r="L504" s="370" t="s">
        <v>692</v>
      </c>
      <c r="N504" s="368" t="s">
        <v>690</v>
      </c>
      <c r="O504" s="369" t="s">
        <v>691</v>
      </c>
      <c r="P504" s="370" t="s">
        <v>692</v>
      </c>
      <c r="Q504" s="367"/>
      <c r="R504" s="367"/>
      <c r="T504" s="367" t="s">
        <v>693</v>
      </c>
      <c r="U504" s="367" t="s">
        <v>694</v>
      </c>
      <c r="W504" s="369" t="s">
        <v>695</v>
      </c>
      <c r="X504" s="371" t="s">
        <v>694</v>
      </c>
      <c r="Y504" s="367"/>
      <c r="Z504" s="367"/>
      <c r="AA504" s="367"/>
      <c r="AD504" s="369" t="s">
        <v>696</v>
      </c>
      <c r="AE504" s="370" t="s">
        <v>697</v>
      </c>
      <c r="AF504" s="568" t="s">
        <v>698</v>
      </c>
      <c r="AG504" s="383"/>
      <c r="AI504" s="367" t="s">
        <v>699</v>
      </c>
      <c r="AJ504" s="367"/>
      <c r="AK504" s="367"/>
      <c r="AL504" s="367"/>
      <c r="AM504" s="367"/>
      <c r="AN504" s="367"/>
      <c r="AQ504" s="369" t="s">
        <v>700</v>
      </c>
      <c r="AR504" s="370" t="s">
        <v>701</v>
      </c>
      <c r="AS504" s="367"/>
      <c r="AV504" s="370" t="s">
        <v>697</v>
      </c>
      <c r="AW504" s="370"/>
      <c r="AX504" s="370" t="s">
        <v>694</v>
      </c>
      <c r="AY504" s="367"/>
      <c r="AZ504" s="367"/>
    </row>
    <row r="505" spans="4:69">
      <c r="D505" s="367"/>
      <c r="E505" s="368" t="s">
        <v>702</v>
      </c>
      <c r="F505" s="372" t="s">
        <v>703</v>
      </c>
      <c r="G505" s="498">
        <v>0</v>
      </c>
      <c r="H505" s="367"/>
      <c r="I505" s="367"/>
      <c r="J505" s="368" t="s">
        <v>704</v>
      </c>
      <c r="K505" s="372" t="s">
        <v>703</v>
      </c>
      <c r="L505" s="498">
        <v>0</v>
      </c>
      <c r="N505" s="368" t="s">
        <v>702</v>
      </c>
      <c r="O505" s="372" t="s">
        <v>703</v>
      </c>
      <c r="P505" s="498">
        <v>0</v>
      </c>
      <c r="Q505" s="367"/>
      <c r="R505" s="367"/>
      <c r="T505" s="373" t="s">
        <v>705</v>
      </c>
      <c r="U505" s="503">
        <v>0</v>
      </c>
      <c r="W505" s="374" t="s">
        <v>706</v>
      </c>
      <c r="X505" s="501">
        <v>0.13559999999999997</v>
      </c>
      <c r="Y505" s="367"/>
      <c r="Z505" s="367"/>
      <c r="AA505" s="367"/>
      <c r="AD505" s="375" t="s">
        <v>707</v>
      </c>
      <c r="AE505" s="368" t="s">
        <v>703</v>
      </c>
      <c r="AF505" s="569">
        <v>0.1275</v>
      </c>
      <c r="AG505" s="570"/>
      <c r="AI505" s="367"/>
      <c r="AJ505" s="367"/>
      <c r="AK505" s="367"/>
      <c r="AL505" s="367"/>
      <c r="AM505" s="367"/>
      <c r="AN505" s="367"/>
      <c r="AQ505" s="374" t="s">
        <v>703</v>
      </c>
      <c r="AR505" s="499">
        <v>0</v>
      </c>
      <c r="AS505" s="367"/>
      <c r="AV505" s="370" t="s">
        <v>708</v>
      </c>
      <c r="AW505" s="370"/>
      <c r="AX505" s="506">
        <v>0.11399999999999999</v>
      </c>
      <c r="AY505" s="367"/>
      <c r="AZ505" s="367"/>
    </row>
    <row r="506" spans="4:69">
      <c r="D506" s="367"/>
      <c r="E506" s="376" t="s">
        <v>702</v>
      </c>
      <c r="F506" s="377" t="s">
        <v>709</v>
      </c>
      <c r="G506" s="499">
        <v>0.42</v>
      </c>
      <c r="H506" s="367"/>
      <c r="I506" s="367"/>
      <c r="J506" s="376" t="s">
        <v>704</v>
      </c>
      <c r="K506" s="377" t="s">
        <v>709</v>
      </c>
      <c r="L506" s="499">
        <v>0.41499999999999998</v>
      </c>
      <c r="N506" s="376" t="s">
        <v>702</v>
      </c>
      <c r="O506" s="377" t="s">
        <v>709</v>
      </c>
      <c r="P506" s="499">
        <v>0.51500000000000001</v>
      </c>
      <c r="Q506" s="367"/>
      <c r="R506" s="367"/>
      <c r="T506" s="373" t="s">
        <v>710</v>
      </c>
      <c r="U506" s="503">
        <v>0.13350000000000001</v>
      </c>
      <c r="W506" s="374" t="s">
        <v>711</v>
      </c>
      <c r="X506" s="501">
        <v>0.129</v>
      </c>
      <c r="Y506" s="367"/>
      <c r="Z506" s="367"/>
      <c r="AA506" s="367"/>
      <c r="AD506" s="374" t="s">
        <v>707</v>
      </c>
      <c r="AE506" s="376" t="s">
        <v>709</v>
      </c>
      <c r="AF506" s="571">
        <v>0.22400000000000003</v>
      </c>
      <c r="AG506" s="572"/>
      <c r="AI506" s="367"/>
      <c r="AJ506" s="378" t="s">
        <v>712</v>
      </c>
      <c r="AK506" s="379" t="s">
        <v>694</v>
      </c>
      <c r="AL506" s="367"/>
      <c r="AM506" s="367"/>
      <c r="AN506" s="367"/>
      <c r="AQ506" s="374" t="s">
        <v>709</v>
      </c>
      <c r="AR506" s="499">
        <v>0.44500000000000001</v>
      </c>
      <c r="AS506" s="367"/>
      <c r="AV506" s="370" t="s">
        <v>713</v>
      </c>
      <c r="AW506" s="370"/>
      <c r="AX506" s="506">
        <v>0.27250000000000002</v>
      </c>
      <c r="AY506" s="367"/>
      <c r="AZ506" s="367"/>
    </row>
    <row r="507" spans="4:69">
      <c r="D507" s="367"/>
      <c r="E507" s="380" t="s">
        <v>702</v>
      </c>
      <c r="F507" s="381" t="s">
        <v>714</v>
      </c>
      <c r="G507" s="500">
        <v>1</v>
      </c>
      <c r="H507" s="367"/>
      <c r="I507" s="367"/>
      <c r="J507" s="380" t="s">
        <v>704</v>
      </c>
      <c r="K507" s="381" t="s">
        <v>714</v>
      </c>
      <c r="L507" s="500">
        <v>0.85</v>
      </c>
      <c r="N507" s="380" t="s">
        <v>702</v>
      </c>
      <c r="O507" s="381" t="s">
        <v>714</v>
      </c>
      <c r="P507" s="500">
        <v>0.88</v>
      </c>
      <c r="Q507" s="367"/>
      <c r="R507" s="367"/>
      <c r="T507" s="373" t="s">
        <v>715</v>
      </c>
      <c r="U507" s="503">
        <v>0.245</v>
      </c>
      <c r="W507" s="374" t="s">
        <v>716</v>
      </c>
      <c r="X507" s="501">
        <v>0.23399999999999999</v>
      </c>
      <c r="Y507" s="367"/>
      <c r="Z507" s="367"/>
      <c r="AA507" s="367"/>
      <c r="AD507" s="382" t="s">
        <v>707</v>
      </c>
      <c r="AE507" s="380" t="s">
        <v>714</v>
      </c>
      <c r="AF507" s="573">
        <v>0.36599999999999999</v>
      </c>
      <c r="AG507" s="574"/>
      <c r="AI507" s="367"/>
      <c r="AJ507" s="375" t="s">
        <v>714</v>
      </c>
      <c r="AK507" s="498">
        <v>0.57999999999999996</v>
      </c>
      <c r="AL507" s="367"/>
      <c r="AM507" s="367"/>
      <c r="AN507" s="367"/>
      <c r="AQ507" s="382" t="s">
        <v>714</v>
      </c>
      <c r="AR507" s="500">
        <v>1</v>
      </c>
      <c r="AS507" s="367"/>
      <c r="AV507" s="370" t="s">
        <v>717</v>
      </c>
      <c r="AW507" s="370"/>
      <c r="AX507" s="506">
        <v>0.315</v>
      </c>
      <c r="AY507" s="367"/>
      <c r="AZ507" s="367"/>
    </row>
    <row r="508" spans="4:69">
      <c r="D508" s="367"/>
      <c r="E508" s="367"/>
      <c r="F508" s="367"/>
      <c r="G508" s="367"/>
      <c r="H508" s="367"/>
      <c r="I508" s="367"/>
      <c r="J508" s="367"/>
      <c r="K508" s="367"/>
      <c r="L508" s="367"/>
      <c r="N508" s="367"/>
      <c r="O508" s="367"/>
      <c r="P508" s="367"/>
      <c r="Q508" s="367"/>
      <c r="R508" s="367"/>
      <c r="T508" s="373" t="s">
        <v>718</v>
      </c>
      <c r="U508" s="503">
        <v>0.309</v>
      </c>
      <c r="W508" s="374" t="s">
        <v>719</v>
      </c>
      <c r="X508" s="501">
        <v>0.16600000000000001</v>
      </c>
      <c r="Y508" s="367"/>
      <c r="Z508" s="367"/>
      <c r="AA508" s="367"/>
      <c r="AI508" s="367"/>
      <c r="AJ508" s="382" t="s">
        <v>720</v>
      </c>
      <c r="AK508" s="500">
        <v>0.88</v>
      </c>
      <c r="AL508" s="367"/>
      <c r="AM508" s="367"/>
      <c r="AN508" s="367"/>
      <c r="AQ508" s="367"/>
      <c r="AR508" s="367"/>
      <c r="AS508" s="367"/>
      <c r="AV508" s="367"/>
      <c r="AW508" s="367"/>
      <c r="AX508" s="367"/>
      <c r="AY508" s="367"/>
      <c r="AZ508" s="367"/>
    </row>
    <row r="509" spans="4:69">
      <c r="D509" s="368"/>
      <c r="E509" s="372" t="s">
        <v>721</v>
      </c>
      <c r="F509" s="370" t="s">
        <v>722</v>
      </c>
      <c r="G509" s="370" t="s">
        <v>694</v>
      </c>
      <c r="H509" s="367"/>
      <c r="I509" s="367"/>
      <c r="J509" s="375" t="s">
        <v>721</v>
      </c>
      <c r="K509" s="370" t="s">
        <v>722</v>
      </c>
      <c r="L509" s="370" t="s">
        <v>694</v>
      </c>
      <c r="N509" s="367"/>
      <c r="O509" s="367"/>
      <c r="P509" s="367"/>
      <c r="Q509" s="367"/>
      <c r="R509" s="367"/>
      <c r="T509" s="373" t="s">
        <v>723</v>
      </c>
      <c r="U509" s="503">
        <v>0.42</v>
      </c>
      <c r="W509" s="374" t="s">
        <v>724</v>
      </c>
      <c r="X509" s="501">
        <v>0.2596</v>
      </c>
      <c r="Y509" s="367"/>
      <c r="Z509" s="367"/>
      <c r="AA509" s="367"/>
      <c r="AI509" s="367"/>
      <c r="AJ509" s="367"/>
      <c r="AK509" s="367"/>
      <c r="AL509" s="367"/>
      <c r="AM509" s="367"/>
      <c r="AN509" s="367"/>
      <c r="AQ509" s="369" t="s">
        <v>696</v>
      </c>
      <c r="AR509" s="370" t="s">
        <v>725</v>
      </c>
      <c r="AS509" s="383" t="s">
        <v>694</v>
      </c>
      <c r="AV509" s="367" t="s">
        <v>726</v>
      </c>
      <c r="AW509" s="367"/>
      <c r="AX509" s="367"/>
      <c r="AY509" s="367"/>
      <c r="AZ509" s="367"/>
    </row>
    <row r="510" spans="4:69" ht="12" customHeight="1">
      <c r="D510" s="575" t="s">
        <v>727</v>
      </c>
      <c r="E510" s="372">
        <v>2</v>
      </c>
      <c r="F510" s="368" t="s">
        <v>703</v>
      </c>
      <c r="G510" s="495">
        <v>0.11849999999999999</v>
      </c>
      <c r="H510" s="367"/>
      <c r="I510" s="367"/>
      <c r="J510" s="368" t="s">
        <v>704</v>
      </c>
      <c r="K510" s="368" t="s">
        <v>703</v>
      </c>
      <c r="L510" s="498">
        <v>0.70199999999999996</v>
      </c>
      <c r="N510" s="578" t="s">
        <v>728</v>
      </c>
      <c r="O510" s="579"/>
      <c r="P510" s="369" t="s">
        <v>729</v>
      </c>
      <c r="Q510" s="568"/>
      <c r="R510" s="383"/>
      <c r="T510" s="373" t="s">
        <v>730</v>
      </c>
      <c r="U510" s="503">
        <v>0.52</v>
      </c>
      <c r="W510" s="374" t="s">
        <v>731</v>
      </c>
      <c r="X510" s="501">
        <v>0.25</v>
      </c>
      <c r="Y510" s="367"/>
      <c r="Z510" s="367"/>
      <c r="AA510" s="367"/>
      <c r="AI510" s="367"/>
      <c r="AJ510" s="367"/>
      <c r="AK510" s="367"/>
      <c r="AL510" s="367"/>
      <c r="AM510" s="367"/>
      <c r="AN510" s="367"/>
      <c r="AQ510" s="382" t="s">
        <v>732</v>
      </c>
      <c r="AR510" s="380" t="s">
        <v>709</v>
      </c>
      <c r="AS510" s="505">
        <v>0.32500000000000001</v>
      </c>
      <c r="AV510" s="367"/>
      <c r="AW510" s="367"/>
      <c r="AX510" s="367"/>
      <c r="AY510" s="367"/>
      <c r="AZ510" s="367"/>
    </row>
    <row r="511" spans="4:69" ht="14.25">
      <c r="D511" s="576"/>
      <c r="E511" s="377">
        <v>34</v>
      </c>
      <c r="F511" s="376" t="s">
        <v>703</v>
      </c>
      <c r="G511" s="496">
        <v>0.17699999999999999</v>
      </c>
      <c r="H511" s="367"/>
      <c r="I511" s="367"/>
      <c r="J511" s="374" t="s">
        <v>704</v>
      </c>
      <c r="K511" s="376" t="s">
        <v>709</v>
      </c>
      <c r="L511" s="499">
        <v>0.65650000000000008</v>
      </c>
      <c r="N511" s="580"/>
      <c r="O511" s="581"/>
      <c r="P511" s="369" t="s">
        <v>703</v>
      </c>
      <c r="Q511" s="370" t="s">
        <v>709</v>
      </c>
      <c r="R511" s="383" t="s">
        <v>714</v>
      </c>
      <c r="T511" s="373" t="s">
        <v>733</v>
      </c>
      <c r="U511" s="503">
        <v>0.44500000000000001</v>
      </c>
      <c r="W511" s="382" t="s">
        <v>734</v>
      </c>
      <c r="X511" s="502">
        <v>0.29399999999999998</v>
      </c>
      <c r="Y511" s="367"/>
      <c r="Z511" s="367"/>
      <c r="AA511" s="367"/>
      <c r="AI511" s="367" t="s">
        <v>735</v>
      </c>
      <c r="AJ511" s="367"/>
      <c r="AK511" s="367"/>
      <c r="AL511" s="367"/>
      <c r="AM511" s="367"/>
      <c r="AN511" s="367"/>
      <c r="AQ511" s="384" t="s">
        <v>736</v>
      </c>
      <c r="AR511" s="367"/>
      <c r="AS511" s="367"/>
      <c r="AV511" s="567" t="s">
        <v>737</v>
      </c>
      <c r="AW511" s="567"/>
      <c r="AX511" s="567"/>
      <c r="AY511" s="567"/>
      <c r="AZ511" s="567"/>
    </row>
    <row r="512" spans="4:69">
      <c r="D512" s="576"/>
      <c r="E512" s="377">
        <v>45</v>
      </c>
      <c r="F512" s="376" t="s">
        <v>703</v>
      </c>
      <c r="G512" s="496">
        <v>0.18</v>
      </c>
      <c r="H512" s="367"/>
      <c r="I512" s="367"/>
      <c r="J512" s="382" t="s">
        <v>704</v>
      </c>
      <c r="K512" s="380" t="s">
        <v>714</v>
      </c>
      <c r="L512" s="500">
        <v>0.8819999999999999</v>
      </c>
      <c r="N512" s="375" t="s">
        <v>738</v>
      </c>
      <c r="O512" s="375" t="s">
        <v>739</v>
      </c>
      <c r="P512" s="498">
        <v>0.35699999999999998</v>
      </c>
      <c r="Q512" s="495">
        <v>0.43600000000000005</v>
      </c>
      <c r="R512" s="495">
        <v>0.47</v>
      </c>
      <c r="T512" s="367"/>
      <c r="U512" s="367"/>
      <c r="W512" s="367"/>
      <c r="X512" s="367"/>
      <c r="Y512" s="367"/>
      <c r="Z512" s="367"/>
      <c r="AA512" s="367"/>
      <c r="AI512" s="367"/>
      <c r="AJ512" s="367"/>
      <c r="AK512" s="367"/>
      <c r="AL512" s="367"/>
      <c r="AM512" s="367"/>
      <c r="AN512" s="367"/>
      <c r="AV512" s="367"/>
      <c r="AW512" s="367"/>
      <c r="AX512" s="367"/>
      <c r="AY512" s="367"/>
      <c r="AZ512" s="367"/>
    </row>
    <row r="513" spans="4:52" ht="14.25">
      <c r="D513" s="576"/>
      <c r="E513" s="377">
        <v>155</v>
      </c>
      <c r="F513" s="376" t="s">
        <v>703</v>
      </c>
      <c r="G513" s="496">
        <v>0.13500000000000001</v>
      </c>
      <c r="H513" s="367"/>
      <c r="I513" s="367"/>
      <c r="J513" s="367"/>
      <c r="K513" s="367"/>
      <c r="L513" s="367"/>
      <c r="N513" s="374" t="s">
        <v>738</v>
      </c>
      <c r="O513" s="374" t="s">
        <v>740</v>
      </c>
      <c r="P513" s="499">
        <v>0.26400000000000001</v>
      </c>
      <c r="Q513" s="496">
        <v>0.30400000000000005</v>
      </c>
      <c r="R513" s="496">
        <v>0.47499999999999998</v>
      </c>
      <c r="T513" s="373" t="s">
        <v>741</v>
      </c>
      <c r="U513" s="367"/>
      <c r="W513" s="567" t="s">
        <v>742</v>
      </c>
      <c r="X513" s="567"/>
      <c r="Y513" s="567"/>
      <c r="Z513" s="567"/>
      <c r="AA513" s="567"/>
      <c r="AI513" s="367"/>
      <c r="AJ513" s="369" t="s">
        <v>729</v>
      </c>
      <c r="AK513" s="370" t="s">
        <v>694</v>
      </c>
      <c r="AL513" s="367"/>
      <c r="AM513" s="367"/>
      <c r="AN513" s="367"/>
      <c r="AV513" s="367"/>
      <c r="AW513" s="367"/>
      <c r="AX513" s="367"/>
      <c r="AY513" s="367"/>
      <c r="AZ513" s="367"/>
    </row>
    <row r="514" spans="4:52">
      <c r="D514" s="576"/>
      <c r="E514" s="377">
        <v>622</v>
      </c>
      <c r="F514" s="376" t="s">
        <v>703</v>
      </c>
      <c r="G514" s="496">
        <v>0.19500000000000001</v>
      </c>
      <c r="H514" s="367"/>
      <c r="I514" s="367"/>
      <c r="J514" s="367"/>
      <c r="K514" s="367"/>
      <c r="L514" s="367"/>
      <c r="N514" s="374" t="s">
        <v>738</v>
      </c>
      <c r="O514" s="374" t="s">
        <v>743</v>
      </c>
      <c r="P514" s="499">
        <v>0.32400000000000001</v>
      </c>
      <c r="Q514" s="496">
        <v>0.52</v>
      </c>
      <c r="R514" s="496">
        <v>0.62</v>
      </c>
      <c r="T514" s="367"/>
      <c r="U514" s="367"/>
      <c r="W514" s="367"/>
      <c r="X514" s="367"/>
      <c r="Y514" s="367"/>
      <c r="Z514" s="367"/>
      <c r="AA514" s="367"/>
      <c r="AI514" s="367"/>
      <c r="AJ514" s="374" t="s">
        <v>703</v>
      </c>
      <c r="AK514" s="499">
        <v>0</v>
      </c>
      <c r="AL514" s="367"/>
      <c r="AM514" s="367"/>
      <c r="AN514" s="367"/>
      <c r="AV514" s="385" t="s">
        <v>744</v>
      </c>
      <c r="AW514" s="385" t="s">
        <v>694</v>
      </c>
      <c r="AX514" s="367"/>
      <c r="AY514" s="367"/>
      <c r="AZ514" s="367"/>
    </row>
    <row r="515" spans="4:52">
      <c r="D515" s="577"/>
      <c r="E515" s="381">
        <v>2.5</v>
      </c>
      <c r="F515" s="380" t="s">
        <v>703</v>
      </c>
      <c r="G515" s="497">
        <v>0.186</v>
      </c>
      <c r="H515" s="367"/>
      <c r="I515" s="367"/>
      <c r="J515" s="368" t="s">
        <v>690</v>
      </c>
      <c r="K515" s="369" t="s">
        <v>691</v>
      </c>
      <c r="L515" s="370" t="s">
        <v>692</v>
      </c>
      <c r="N515" s="374" t="s">
        <v>738</v>
      </c>
      <c r="O515" s="374" t="s">
        <v>745</v>
      </c>
      <c r="P515" s="499">
        <v>0.32700000000000001</v>
      </c>
      <c r="Q515" s="496">
        <v>0.29599999999999999</v>
      </c>
      <c r="R515" s="496">
        <v>0.46</v>
      </c>
      <c r="T515" s="373" t="s">
        <v>746</v>
      </c>
      <c r="U515" s="367"/>
      <c r="W515" s="369" t="s">
        <v>695</v>
      </c>
      <c r="X515" s="371" t="s">
        <v>694</v>
      </c>
      <c r="Y515" s="367"/>
      <c r="Z515" s="367"/>
      <c r="AA515" s="367"/>
      <c r="AI515" s="367"/>
      <c r="AJ515" s="374" t="s">
        <v>709</v>
      </c>
      <c r="AK515" s="499">
        <v>0.45500000000000002</v>
      </c>
      <c r="AL515" s="367"/>
      <c r="AM515" s="367"/>
      <c r="AN515" s="367"/>
      <c r="AV515" s="370" t="s">
        <v>709</v>
      </c>
      <c r="AW515" s="506">
        <v>0.56499999999999995</v>
      </c>
      <c r="AX515" s="367"/>
      <c r="AY515" s="367"/>
      <c r="AZ515" s="367"/>
    </row>
    <row r="516" spans="4:52" ht="12" customHeight="1">
      <c r="D516" s="575" t="s">
        <v>727</v>
      </c>
      <c r="E516" s="372">
        <v>2</v>
      </c>
      <c r="F516" s="368" t="s">
        <v>709</v>
      </c>
      <c r="G516" s="495">
        <v>0.28749999999999998</v>
      </c>
      <c r="H516" s="367"/>
      <c r="I516" s="367"/>
      <c r="J516" s="368" t="s">
        <v>747</v>
      </c>
      <c r="K516" s="372" t="s">
        <v>703</v>
      </c>
      <c r="L516" s="498">
        <v>0</v>
      </c>
      <c r="N516" s="374" t="s">
        <v>738</v>
      </c>
      <c r="O516" s="374" t="s">
        <v>748</v>
      </c>
      <c r="P516" s="499">
        <v>0.219</v>
      </c>
      <c r="Q516" s="496">
        <v>0.35200000000000004</v>
      </c>
      <c r="R516" s="496">
        <v>0.51</v>
      </c>
      <c r="W516" s="375" t="s">
        <v>749</v>
      </c>
      <c r="X516" s="504">
        <v>0.11100000000000002</v>
      </c>
      <c r="Y516" s="367"/>
      <c r="Z516" s="367"/>
      <c r="AA516" s="367"/>
      <c r="AI516" s="367"/>
      <c r="AJ516" s="382" t="s">
        <v>750</v>
      </c>
      <c r="AK516" s="500">
        <v>0.83</v>
      </c>
      <c r="AL516" s="367"/>
      <c r="AM516" s="367"/>
      <c r="AN516" s="367"/>
      <c r="AV516" s="370" t="s">
        <v>714</v>
      </c>
      <c r="AW516" s="506">
        <v>0.94</v>
      </c>
      <c r="AX516" s="367"/>
      <c r="AY516" s="367"/>
      <c r="AZ516" s="367"/>
    </row>
    <row r="517" spans="4:52">
      <c r="D517" s="576"/>
      <c r="E517" s="377">
        <v>34</v>
      </c>
      <c r="F517" s="376" t="s">
        <v>709</v>
      </c>
      <c r="G517" s="496">
        <v>0.27250000000000002</v>
      </c>
      <c r="H517" s="367"/>
      <c r="I517" s="367"/>
      <c r="J517" s="376" t="s">
        <v>747</v>
      </c>
      <c r="K517" s="377" t="s">
        <v>709</v>
      </c>
      <c r="L517" s="499">
        <v>0.6</v>
      </c>
      <c r="N517" s="374" t="s">
        <v>738</v>
      </c>
      <c r="O517" s="374" t="s">
        <v>751</v>
      </c>
      <c r="P517" s="499">
        <v>0.378</v>
      </c>
      <c r="Q517" s="496">
        <v>0.42800000000000005</v>
      </c>
      <c r="R517" s="496">
        <v>0.39</v>
      </c>
      <c r="W517" s="374" t="s">
        <v>752</v>
      </c>
      <c r="X517" s="501">
        <v>0.18</v>
      </c>
      <c r="Y517" s="367"/>
      <c r="Z517" s="367"/>
      <c r="AA517" s="367"/>
      <c r="AV517" s="367"/>
      <c r="AW517" s="367"/>
      <c r="AX517" s="367"/>
      <c r="AY517" s="367"/>
      <c r="AZ517" s="367"/>
    </row>
    <row r="518" spans="4:52">
      <c r="D518" s="576"/>
      <c r="E518" s="377">
        <v>45</v>
      </c>
      <c r="F518" s="376" t="s">
        <v>709</v>
      </c>
      <c r="G518" s="496">
        <v>0.27</v>
      </c>
      <c r="H518" s="367"/>
      <c r="I518" s="367"/>
      <c r="J518" s="380" t="s">
        <v>747</v>
      </c>
      <c r="K518" s="381" t="s">
        <v>714</v>
      </c>
      <c r="L518" s="500">
        <v>1</v>
      </c>
      <c r="N518" s="374" t="s">
        <v>738</v>
      </c>
      <c r="O518" s="374" t="s">
        <v>753</v>
      </c>
      <c r="P518" s="499">
        <v>0.39</v>
      </c>
      <c r="Q518" s="496">
        <v>0.29599999999999999</v>
      </c>
      <c r="R518" s="496">
        <v>0.57999999999999996</v>
      </c>
      <c r="W518" s="374" t="s">
        <v>754</v>
      </c>
      <c r="X518" s="501">
        <v>0.13999999999999999</v>
      </c>
      <c r="Y518" s="367"/>
      <c r="Z518" s="367"/>
      <c r="AA518" s="367"/>
      <c r="AV518" s="369" t="s">
        <v>755</v>
      </c>
      <c r="AW518" s="370" t="s">
        <v>694</v>
      </c>
      <c r="AX518" s="367"/>
      <c r="AY518" s="367"/>
      <c r="AZ518" s="367"/>
    </row>
    <row r="519" spans="4:52">
      <c r="D519" s="576"/>
      <c r="E519" s="377">
        <v>155</v>
      </c>
      <c r="F519" s="376" t="s">
        <v>709</v>
      </c>
      <c r="G519" s="496">
        <v>0.29249999999999998</v>
      </c>
      <c r="H519" s="367"/>
      <c r="I519" s="367"/>
      <c r="J519" s="367"/>
      <c r="K519" s="367"/>
      <c r="L519" s="367"/>
      <c r="N519" s="374" t="s">
        <v>743</v>
      </c>
      <c r="O519" s="374" t="s">
        <v>753</v>
      </c>
      <c r="P519" s="499">
        <v>0.24899999999999997</v>
      </c>
      <c r="Q519" s="496">
        <v>0.31600000000000006</v>
      </c>
      <c r="R519" s="496">
        <v>0.51500000000000001</v>
      </c>
      <c r="W519" s="382" t="s">
        <v>756</v>
      </c>
      <c r="X519" s="502">
        <v>0.2475</v>
      </c>
      <c r="Y519" s="367"/>
      <c r="Z519" s="367"/>
      <c r="AA519" s="367"/>
      <c r="AV519" s="374" t="s">
        <v>709</v>
      </c>
      <c r="AW519" s="507">
        <v>0.16350000000000001</v>
      </c>
      <c r="AX519" s="367"/>
      <c r="AY519" s="367"/>
      <c r="AZ519" s="367"/>
    </row>
    <row r="520" spans="4:52">
      <c r="D520" s="576"/>
      <c r="E520" s="377">
        <v>622</v>
      </c>
      <c r="F520" s="376" t="s">
        <v>709</v>
      </c>
      <c r="G520" s="496">
        <v>0.3</v>
      </c>
      <c r="H520" s="367"/>
      <c r="I520" s="367"/>
      <c r="J520" s="375" t="s">
        <v>721</v>
      </c>
      <c r="K520" s="370" t="s">
        <v>722</v>
      </c>
      <c r="L520" s="370" t="s">
        <v>694</v>
      </c>
      <c r="N520" s="374" t="s">
        <v>743</v>
      </c>
      <c r="O520" s="374" t="s">
        <v>739</v>
      </c>
      <c r="P520" s="499">
        <v>0.219</v>
      </c>
      <c r="Q520" s="496">
        <v>0.35200000000000004</v>
      </c>
      <c r="R520" s="496">
        <v>0.64500000000000002</v>
      </c>
      <c r="W520" s="367"/>
      <c r="X520" s="367"/>
      <c r="Y520" s="367"/>
      <c r="Z520" s="367"/>
      <c r="AA520" s="367"/>
      <c r="AV520" s="382" t="s">
        <v>750</v>
      </c>
      <c r="AW520" s="508">
        <v>0.3125</v>
      </c>
      <c r="AX520" s="367"/>
      <c r="AY520" s="367"/>
      <c r="AZ520" s="367"/>
    </row>
    <row r="521" spans="4:52">
      <c r="D521" s="577"/>
      <c r="E521" s="381">
        <v>2.5</v>
      </c>
      <c r="F521" s="380" t="s">
        <v>709</v>
      </c>
      <c r="G521" s="497">
        <v>0.22</v>
      </c>
      <c r="H521" s="367"/>
      <c r="I521" s="367"/>
      <c r="J521" s="368" t="s">
        <v>747</v>
      </c>
      <c r="K521" s="368" t="s">
        <v>703</v>
      </c>
      <c r="L521" s="498">
        <v>0.21</v>
      </c>
      <c r="N521" s="382" t="s">
        <v>748</v>
      </c>
      <c r="O521" s="382" t="s">
        <v>757</v>
      </c>
      <c r="P521" s="500">
        <v>0.34499999999999997</v>
      </c>
      <c r="Q521" s="497">
        <v>0.33600000000000002</v>
      </c>
      <c r="R521" s="497">
        <v>0.42</v>
      </c>
      <c r="W521" s="367" t="s">
        <v>758</v>
      </c>
      <c r="X521" s="367"/>
      <c r="Y521" s="367"/>
      <c r="Z521" s="367"/>
      <c r="AA521" s="367"/>
      <c r="AV521" s="367"/>
      <c r="AW521" s="367"/>
      <c r="AX521" s="367"/>
      <c r="AY521" s="367"/>
      <c r="AZ521" s="367"/>
    </row>
    <row r="522" spans="4:52" ht="12" customHeight="1">
      <c r="D522" s="576" t="s">
        <v>727</v>
      </c>
      <c r="E522" s="377">
        <v>2</v>
      </c>
      <c r="F522" s="376" t="s">
        <v>714</v>
      </c>
      <c r="G522" s="496">
        <v>0.40249999999999997</v>
      </c>
      <c r="H522" s="367"/>
      <c r="I522" s="367"/>
      <c r="J522" s="374" t="s">
        <v>747</v>
      </c>
      <c r="K522" s="376" t="s">
        <v>709</v>
      </c>
      <c r="L522" s="499">
        <v>0.47599999999999998</v>
      </c>
      <c r="W522" s="367" t="s">
        <v>759</v>
      </c>
      <c r="X522" s="367"/>
      <c r="Y522" s="367"/>
      <c r="Z522" s="367"/>
      <c r="AA522" s="367"/>
      <c r="AV522" s="367" t="s">
        <v>760</v>
      </c>
      <c r="AW522" s="367"/>
      <c r="AX522" s="367"/>
      <c r="AY522" s="367"/>
      <c r="AZ522" s="367"/>
    </row>
    <row r="523" spans="4:52">
      <c r="D523" s="576"/>
      <c r="E523" s="377">
        <v>34</v>
      </c>
      <c r="F523" s="376" t="s">
        <v>714</v>
      </c>
      <c r="G523" s="496">
        <v>0.42</v>
      </c>
      <c r="H523" s="367"/>
      <c r="I523" s="367"/>
      <c r="J523" s="382" t="s">
        <v>747</v>
      </c>
      <c r="K523" s="380" t="s">
        <v>714</v>
      </c>
      <c r="L523" s="500">
        <v>0.53</v>
      </c>
      <c r="W523" s="367"/>
      <c r="X523" s="367"/>
      <c r="Y523" s="367"/>
      <c r="Z523" s="367"/>
      <c r="AA523" s="367"/>
      <c r="AV523" s="367"/>
      <c r="AW523" s="367"/>
      <c r="AX523" s="367"/>
      <c r="AY523" s="367"/>
      <c r="AZ523" s="367"/>
    </row>
    <row r="524" spans="4:52" ht="14.25">
      <c r="D524" s="576"/>
      <c r="E524" s="377">
        <v>45</v>
      </c>
      <c r="F524" s="376" t="s">
        <v>714</v>
      </c>
      <c r="G524" s="496">
        <v>0.27999999999999997</v>
      </c>
      <c r="H524" s="367"/>
      <c r="I524" s="367"/>
      <c r="J524" s="367"/>
      <c r="K524" s="367"/>
      <c r="L524" s="367"/>
      <c r="W524" s="367" t="s">
        <v>761</v>
      </c>
      <c r="X524" s="367"/>
      <c r="Y524" s="367"/>
      <c r="Z524" s="367"/>
      <c r="AA524" s="367"/>
      <c r="AV524" s="567" t="s">
        <v>762</v>
      </c>
      <c r="AW524" s="567"/>
      <c r="AX524" s="567"/>
      <c r="AY524" s="567"/>
      <c r="AZ524" s="367"/>
    </row>
    <row r="525" spans="4:52">
      <c r="D525" s="576"/>
      <c r="E525" s="377">
        <v>155</v>
      </c>
      <c r="F525" s="376" t="s">
        <v>714</v>
      </c>
      <c r="G525" s="496">
        <v>0.32550000000000001</v>
      </c>
      <c r="H525" s="367"/>
      <c r="I525" s="367"/>
      <c r="J525" s="367"/>
      <c r="K525" s="367"/>
      <c r="L525" s="367"/>
      <c r="W525" s="367" t="s">
        <v>763</v>
      </c>
      <c r="X525" s="367"/>
      <c r="Y525" s="367"/>
      <c r="Z525" s="367"/>
      <c r="AA525" s="367"/>
      <c r="AV525" s="367"/>
      <c r="AW525" s="367"/>
      <c r="AX525" s="367"/>
      <c r="AY525" s="367"/>
      <c r="AZ525" s="367"/>
    </row>
    <row r="526" spans="4:52">
      <c r="D526" s="576"/>
      <c r="E526" s="377">
        <v>622</v>
      </c>
      <c r="F526" s="376" t="s">
        <v>714</v>
      </c>
      <c r="G526" s="496">
        <v>0.42</v>
      </c>
      <c r="H526" s="367"/>
      <c r="I526" s="367"/>
      <c r="J526" s="367"/>
      <c r="K526" s="367"/>
      <c r="L526" s="367"/>
      <c r="W526" s="367" t="s">
        <v>764</v>
      </c>
      <c r="X526" s="367"/>
      <c r="Y526" s="367"/>
      <c r="Z526" s="367"/>
      <c r="AA526" s="367"/>
      <c r="AV526" s="369" t="s">
        <v>765</v>
      </c>
      <c r="AW526" s="383"/>
      <c r="AX526" s="369" t="s">
        <v>766</v>
      </c>
      <c r="AY526" s="383"/>
      <c r="AZ526" s="367"/>
    </row>
    <row r="527" spans="4:52">
      <c r="D527" s="577"/>
      <c r="E527" s="381">
        <v>2.5</v>
      </c>
      <c r="F527" s="380" t="s">
        <v>714</v>
      </c>
      <c r="G527" s="497">
        <v>0.41299999999999998</v>
      </c>
      <c r="H527" s="367"/>
      <c r="I527" s="367"/>
      <c r="J527" s="367"/>
      <c r="K527" s="367"/>
      <c r="L527" s="367"/>
      <c r="AV527" s="369" t="s">
        <v>767</v>
      </c>
      <c r="AW527" s="369" t="s">
        <v>768</v>
      </c>
      <c r="AX527" s="370" t="s">
        <v>767</v>
      </c>
      <c r="AY527" s="383" t="s">
        <v>768</v>
      </c>
      <c r="AZ527" s="367"/>
    </row>
  </sheetData>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 xml:space="preserve">&amp;L&amp;F : &amp;A&amp;CPrinted at &amp;T on &amp;D&amp;RCommercial in confidence © Analysys Mason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07"/>
  <sheetViews>
    <sheetView view="pageBreakPreview" topLeftCell="A262" zoomScale="85" zoomScaleNormal="70" zoomScaleSheetLayoutView="85" workbookViewId="0">
      <selection activeCell="B279" sqref="B279"/>
    </sheetView>
  </sheetViews>
  <sheetFormatPr baseColWidth="10" defaultColWidth="11.42578125" defaultRowHeight="12"/>
  <cols>
    <col min="1" max="1" width="11.42578125" style="386"/>
    <col min="2" max="2" width="63.28515625" style="386" customWidth="1"/>
    <col min="3" max="3" width="23.7109375" style="387" customWidth="1"/>
    <col min="4" max="4" width="17.28515625" style="386" bestFit="1" customWidth="1"/>
    <col min="5" max="5" width="13.140625" style="387" customWidth="1"/>
    <col min="6" max="6" width="11.42578125" style="386"/>
    <col min="7" max="7" width="19.7109375" style="386" customWidth="1"/>
    <col min="8" max="16384" width="11.42578125" style="386"/>
  </cols>
  <sheetData>
    <row r="1" spans="2:8" ht="94.5" customHeight="1">
      <c r="B1" s="582"/>
      <c r="C1" s="582"/>
    </row>
    <row r="2" spans="2:8" ht="15">
      <c r="B2" s="388" t="s">
        <v>770</v>
      </c>
      <c r="C2" s="389"/>
    </row>
    <row r="3" spans="2:8">
      <c r="B3" s="390" t="s">
        <v>771</v>
      </c>
      <c r="C3" s="389"/>
    </row>
    <row r="4" spans="2:8" ht="18" customHeight="1">
      <c r="B4" s="391" t="s">
        <v>772</v>
      </c>
      <c r="C4" s="389"/>
    </row>
    <row r="5" spans="2:8" ht="21.75" customHeight="1">
      <c r="B5" s="392" t="s">
        <v>773</v>
      </c>
      <c r="C5" s="389"/>
    </row>
    <row r="6" spans="2:8" ht="15.75" thickBot="1">
      <c r="B6" s="393"/>
      <c r="C6" s="394"/>
    </row>
    <row r="7" spans="2:8" ht="39.75" customHeight="1">
      <c r="B7" s="583" t="s">
        <v>774</v>
      </c>
      <c r="C7" s="586" t="s">
        <v>775</v>
      </c>
      <c r="F7" s="395"/>
      <c r="G7" s="387"/>
    </row>
    <row r="8" spans="2:8" ht="12" customHeight="1">
      <c r="B8" s="584"/>
      <c r="C8" s="587"/>
      <c r="F8" s="395"/>
      <c r="G8" s="387"/>
      <c r="H8" s="387"/>
    </row>
    <row r="9" spans="2:8" ht="12.75" customHeight="1" thickBot="1">
      <c r="B9" s="585"/>
      <c r="C9" s="588"/>
      <c r="G9" s="387"/>
      <c r="H9" s="387"/>
    </row>
    <row r="10" spans="2:8" ht="15">
      <c r="B10" s="396" t="s">
        <v>259</v>
      </c>
      <c r="C10" s="397"/>
    </row>
    <row r="11" spans="2:8">
      <c r="B11" s="398" t="s">
        <v>776</v>
      </c>
      <c r="C11" s="399"/>
      <c r="D11" s="400"/>
    </row>
    <row r="12" spans="2:8">
      <c r="B12" s="398" t="s">
        <v>777</v>
      </c>
      <c r="C12" s="399"/>
      <c r="G12" s="401"/>
    </row>
    <row r="13" spans="2:8" ht="15">
      <c r="B13" s="402" t="s">
        <v>778</v>
      </c>
      <c r="C13" s="399"/>
      <c r="D13" s="403"/>
    </row>
    <row r="14" spans="2:8" ht="15">
      <c r="B14" s="404" t="s">
        <v>654</v>
      </c>
      <c r="C14" s="420"/>
    </row>
    <row r="15" spans="2:8" ht="15">
      <c r="B15" s="404" t="s">
        <v>663</v>
      </c>
      <c r="C15" s="589"/>
    </row>
    <row r="16" spans="2:8">
      <c r="B16" s="398" t="s">
        <v>779</v>
      </c>
      <c r="C16" s="399"/>
    </row>
    <row r="17" spans="2:3">
      <c r="B17" s="398" t="s">
        <v>665</v>
      </c>
      <c r="C17" s="399"/>
    </row>
    <row r="18" spans="2:3" ht="15">
      <c r="B18" s="404" t="s">
        <v>780</v>
      </c>
      <c r="C18" s="405"/>
    </row>
    <row r="19" spans="2:3">
      <c r="B19" s="398" t="s">
        <v>780</v>
      </c>
      <c r="C19" s="399"/>
    </row>
    <row r="20" spans="2:3" ht="15">
      <c r="B20" s="404" t="s">
        <v>781</v>
      </c>
      <c r="C20" s="399"/>
    </row>
    <row r="21" spans="2:3" ht="15">
      <c r="B21" s="402" t="s">
        <v>666</v>
      </c>
      <c r="C21" s="399"/>
    </row>
    <row r="22" spans="2:3" ht="15">
      <c r="B22" s="402" t="s">
        <v>667</v>
      </c>
      <c r="C22" s="399"/>
    </row>
    <row r="23" spans="2:3" ht="15">
      <c r="B23" s="404" t="s">
        <v>782</v>
      </c>
      <c r="C23" s="399"/>
    </row>
    <row r="24" spans="2:3" ht="15">
      <c r="B24" s="404" t="s">
        <v>669</v>
      </c>
      <c r="C24" s="405"/>
    </row>
    <row r="25" spans="2:3">
      <c r="B25" s="398" t="s">
        <v>783</v>
      </c>
      <c r="C25" s="399"/>
    </row>
    <row r="26" spans="2:3">
      <c r="B26" s="398" t="s">
        <v>784</v>
      </c>
      <c r="C26" s="399"/>
    </row>
    <row r="27" spans="2:3" ht="15.75" thickBot="1">
      <c r="B27" s="406" t="s">
        <v>670</v>
      </c>
      <c r="C27" s="407"/>
    </row>
    <row r="28" spans="2:3" ht="15">
      <c r="B28" s="408"/>
      <c r="C28" s="389"/>
    </row>
    <row r="29" spans="2:3" ht="15">
      <c r="B29" s="408"/>
      <c r="C29" s="389"/>
    </row>
    <row r="30" spans="2:3" ht="15">
      <c r="B30" s="388" t="s">
        <v>770</v>
      </c>
      <c r="C30" s="389"/>
    </row>
    <row r="31" spans="2:3">
      <c r="B31" s="390" t="s">
        <v>771</v>
      </c>
      <c r="C31" s="389"/>
    </row>
    <row r="32" spans="2:3" ht="18" customHeight="1">
      <c r="B32" s="391" t="s">
        <v>772</v>
      </c>
      <c r="C32" s="389"/>
    </row>
    <row r="33" spans="2:5" ht="21.75" customHeight="1">
      <c r="B33" s="392" t="s">
        <v>773</v>
      </c>
      <c r="C33" s="389"/>
    </row>
    <row r="34" spans="2:5" ht="15.75" thickBot="1">
      <c r="B34" s="393"/>
      <c r="C34" s="394"/>
    </row>
    <row r="35" spans="2:5" ht="39" customHeight="1">
      <c r="B35" s="590" t="s">
        <v>785</v>
      </c>
      <c r="C35" s="586" t="s">
        <v>775</v>
      </c>
    </row>
    <row r="36" spans="2:5" ht="12" customHeight="1">
      <c r="B36" s="584"/>
      <c r="C36" s="587"/>
    </row>
    <row r="37" spans="2:5" ht="12" customHeight="1">
      <c r="B37" s="584"/>
      <c r="C37" s="587"/>
    </row>
    <row r="38" spans="2:5" ht="15">
      <c r="B38" s="404" t="s">
        <v>259</v>
      </c>
      <c r="C38" s="405"/>
    </row>
    <row r="39" spans="2:5">
      <c r="B39" s="398" t="s">
        <v>777</v>
      </c>
      <c r="C39" s="399"/>
    </row>
    <row r="40" spans="2:5">
      <c r="B40" s="398" t="s">
        <v>786</v>
      </c>
      <c r="C40" s="399"/>
      <c r="E40" s="409"/>
    </row>
    <row r="41" spans="2:5" ht="15">
      <c r="B41" s="402" t="s">
        <v>778</v>
      </c>
      <c r="C41" s="399"/>
    </row>
    <row r="42" spans="2:5" ht="15">
      <c r="B42" s="404" t="s">
        <v>654</v>
      </c>
      <c r="C42" s="420"/>
    </row>
    <row r="43" spans="2:5" ht="15">
      <c r="B43" s="404" t="s">
        <v>663</v>
      </c>
      <c r="C43" s="589"/>
    </row>
    <row r="44" spans="2:5">
      <c r="B44" s="398" t="s">
        <v>779</v>
      </c>
      <c r="C44" s="399"/>
    </row>
    <row r="45" spans="2:5">
      <c r="B45" s="398" t="s">
        <v>665</v>
      </c>
      <c r="C45" s="399"/>
    </row>
    <row r="46" spans="2:5" ht="15">
      <c r="B46" s="404" t="s">
        <v>780</v>
      </c>
      <c r="C46" s="405"/>
    </row>
    <row r="47" spans="2:5">
      <c r="B47" s="398" t="s">
        <v>780</v>
      </c>
      <c r="C47" s="399"/>
    </row>
    <row r="48" spans="2:5" ht="15">
      <c r="B48" s="404" t="s">
        <v>781</v>
      </c>
      <c r="C48" s="399"/>
    </row>
    <row r="49" spans="2:3" ht="15">
      <c r="B49" s="402" t="s">
        <v>666</v>
      </c>
      <c r="C49" s="399"/>
    </row>
    <row r="50" spans="2:3" ht="15">
      <c r="B50" s="402" t="s">
        <v>667</v>
      </c>
      <c r="C50" s="399"/>
    </row>
    <row r="51" spans="2:3" ht="15">
      <c r="B51" s="404" t="s">
        <v>782</v>
      </c>
      <c r="C51" s="399"/>
    </row>
    <row r="52" spans="2:3" ht="15">
      <c r="B52" s="404" t="s">
        <v>669</v>
      </c>
      <c r="C52" s="405"/>
    </row>
    <row r="53" spans="2:3">
      <c r="B53" s="398" t="s">
        <v>783</v>
      </c>
      <c r="C53" s="399"/>
    </row>
    <row r="54" spans="2:3">
      <c r="B54" s="398" t="s">
        <v>784</v>
      </c>
      <c r="C54" s="399"/>
    </row>
    <row r="55" spans="2:3" ht="15.75" thickBot="1">
      <c r="B55" s="406" t="s">
        <v>670</v>
      </c>
      <c r="C55" s="407"/>
    </row>
    <row r="56" spans="2:3" ht="12.75" customHeight="1"/>
    <row r="57" spans="2:3" ht="12.75" customHeight="1"/>
    <row r="58" spans="2:3" ht="12.75" customHeight="1"/>
    <row r="59" spans="2:3" ht="15">
      <c r="B59" s="388" t="s">
        <v>770</v>
      </c>
      <c r="C59" s="389"/>
    </row>
    <row r="60" spans="2:3">
      <c r="B60" s="390" t="s">
        <v>771</v>
      </c>
      <c r="C60" s="389"/>
    </row>
    <row r="61" spans="2:3" ht="18" customHeight="1">
      <c r="B61" s="391" t="s">
        <v>772</v>
      </c>
      <c r="C61" s="389"/>
    </row>
    <row r="62" spans="2:3" ht="21.75" customHeight="1">
      <c r="B62" s="392" t="s">
        <v>773</v>
      </c>
      <c r="C62" s="389"/>
    </row>
    <row r="63" spans="2:3" ht="15.75" thickBot="1">
      <c r="B63" s="393"/>
      <c r="C63" s="394"/>
    </row>
    <row r="64" spans="2:3" ht="34.5" customHeight="1">
      <c r="B64" s="590" t="s">
        <v>787</v>
      </c>
      <c r="C64" s="586" t="s">
        <v>775</v>
      </c>
    </row>
    <row r="65" spans="2:5" ht="12" customHeight="1">
      <c r="B65" s="584"/>
      <c r="C65" s="587"/>
    </row>
    <row r="66" spans="2:5" ht="12" customHeight="1">
      <c r="B66" s="584"/>
      <c r="C66" s="587"/>
    </row>
    <row r="67" spans="2:5" ht="15">
      <c r="B67" s="404" t="s">
        <v>259</v>
      </c>
      <c r="C67" s="405"/>
    </row>
    <row r="68" spans="2:5">
      <c r="B68" s="398" t="s">
        <v>777</v>
      </c>
      <c r="C68" s="399"/>
    </row>
    <row r="69" spans="2:5">
      <c r="B69" s="398" t="s">
        <v>786</v>
      </c>
      <c r="C69" s="399"/>
      <c r="E69" s="409"/>
    </row>
    <row r="70" spans="2:5" ht="15">
      <c r="B70" s="402" t="s">
        <v>778</v>
      </c>
      <c r="C70" s="399"/>
    </row>
    <row r="71" spans="2:5" ht="15">
      <c r="B71" s="404" t="s">
        <v>654</v>
      </c>
      <c r="C71" s="420"/>
    </row>
    <row r="72" spans="2:5" ht="15">
      <c r="B72" s="404" t="s">
        <v>663</v>
      </c>
      <c r="C72" s="589"/>
    </row>
    <row r="73" spans="2:5">
      <c r="B73" s="398" t="s">
        <v>779</v>
      </c>
      <c r="C73" s="399"/>
    </row>
    <row r="74" spans="2:5">
      <c r="B74" s="398" t="s">
        <v>665</v>
      </c>
      <c r="C74" s="399"/>
    </row>
    <row r="75" spans="2:5" ht="15">
      <c r="B75" s="404" t="s">
        <v>780</v>
      </c>
      <c r="C75" s="410"/>
    </row>
    <row r="76" spans="2:5">
      <c r="B76" s="398" t="s">
        <v>780</v>
      </c>
      <c r="C76" s="399"/>
    </row>
    <row r="77" spans="2:5" ht="15">
      <c r="B77" s="411" t="s">
        <v>781</v>
      </c>
      <c r="C77" s="412"/>
    </row>
    <row r="78" spans="2:5" ht="15">
      <c r="B78" s="402" t="s">
        <v>666</v>
      </c>
      <c r="C78" s="399"/>
    </row>
    <row r="79" spans="2:5" ht="15">
      <c r="B79" s="402" t="s">
        <v>667</v>
      </c>
      <c r="C79" s="399"/>
    </row>
    <row r="80" spans="2:5" ht="15">
      <c r="B80" s="404" t="s">
        <v>782</v>
      </c>
      <c r="C80" s="399"/>
    </row>
    <row r="81" spans="2:3" ht="15">
      <c r="B81" s="404" t="s">
        <v>669</v>
      </c>
      <c r="C81" s="405"/>
    </row>
    <row r="82" spans="2:3">
      <c r="B82" s="398" t="s">
        <v>783</v>
      </c>
      <c r="C82" s="399"/>
    </row>
    <row r="83" spans="2:3">
      <c r="B83" s="398" t="s">
        <v>784</v>
      </c>
      <c r="C83" s="399"/>
    </row>
    <row r="84" spans="2:3" ht="15.75" thickBot="1">
      <c r="B84" s="406" t="s">
        <v>670</v>
      </c>
      <c r="C84" s="407"/>
    </row>
    <row r="89" spans="2:3" ht="15">
      <c r="B89" s="388" t="s">
        <v>770</v>
      </c>
      <c r="C89" s="389"/>
    </row>
    <row r="90" spans="2:3">
      <c r="B90" s="390" t="s">
        <v>771</v>
      </c>
      <c r="C90" s="389"/>
    </row>
    <row r="91" spans="2:3" ht="18" customHeight="1">
      <c r="B91" s="391" t="s">
        <v>772</v>
      </c>
      <c r="C91" s="389"/>
    </row>
    <row r="92" spans="2:3" ht="21.75" customHeight="1">
      <c r="B92" s="392" t="s">
        <v>773</v>
      </c>
      <c r="C92" s="389"/>
    </row>
    <row r="93" spans="2:3" ht="15.75" thickBot="1">
      <c r="B93" s="393"/>
      <c r="C93" s="394"/>
    </row>
    <row r="94" spans="2:3" ht="41.25" customHeight="1">
      <c r="B94" s="590" t="s">
        <v>788</v>
      </c>
      <c r="C94" s="586" t="s">
        <v>775</v>
      </c>
    </row>
    <row r="95" spans="2:3" ht="12" customHeight="1">
      <c r="B95" s="584"/>
      <c r="C95" s="587"/>
    </row>
    <row r="96" spans="2:3" ht="12" customHeight="1">
      <c r="B96" s="584"/>
      <c r="C96" s="587"/>
    </row>
    <row r="97" spans="2:5" ht="15">
      <c r="B97" s="404" t="s">
        <v>259</v>
      </c>
      <c r="C97" s="405"/>
    </row>
    <row r="98" spans="2:5">
      <c r="B98" s="398" t="s">
        <v>777</v>
      </c>
      <c r="C98" s="399"/>
    </row>
    <row r="99" spans="2:5">
      <c r="B99" s="398" t="s">
        <v>786</v>
      </c>
      <c r="C99" s="399"/>
      <c r="E99" s="413"/>
    </row>
    <row r="100" spans="2:5" ht="15">
      <c r="B100" s="402" t="s">
        <v>778</v>
      </c>
      <c r="C100" s="399"/>
    </row>
    <row r="101" spans="2:5" ht="15">
      <c r="B101" s="404" t="s">
        <v>654</v>
      </c>
      <c r="C101" s="420"/>
    </row>
    <row r="102" spans="2:5" ht="15">
      <c r="B102" s="404" t="s">
        <v>663</v>
      </c>
      <c r="C102" s="591"/>
    </row>
    <row r="103" spans="2:5">
      <c r="B103" s="398" t="s">
        <v>779</v>
      </c>
      <c r="C103" s="399"/>
    </row>
    <row r="104" spans="2:5">
      <c r="B104" s="398" t="s">
        <v>665</v>
      </c>
      <c r="C104" s="399"/>
    </row>
    <row r="105" spans="2:5" ht="15">
      <c r="B105" s="404" t="s">
        <v>780</v>
      </c>
      <c r="C105" s="405"/>
    </row>
    <row r="106" spans="2:5">
      <c r="B106" s="398" t="s">
        <v>780</v>
      </c>
      <c r="C106" s="399"/>
    </row>
    <row r="107" spans="2:5" ht="15">
      <c r="B107" s="411" t="s">
        <v>781</v>
      </c>
      <c r="C107" s="412"/>
    </row>
    <row r="108" spans="2:5" ht="15">
      <c r="B108" s="402" t="s">
        <v>666</v>
      </c>
      <c r="C108" s="399"/>
    </row>
    <row r="109" spans="2:5" ht="15">
      <c r="B109" s="402" t="s">
        <v>667</v>
      </c>
      <c r="C109" s="399"/>
    </row>
    <row r="110" spans="2:5" ht="15">
      <c r="B110" s="404" t="s">
        <v>782</v>
      </c>
      <c r="C110" s="399"/>
    </row>
    <row r="111" spans="2:5" ht="15">
      <c r="B111" s="404" t="s">
        <v>669</v>
      </c>
      <c r="C111" s="405"/>
    </row>
    <row r="112" spans="2:5">
      <c r="B112" s="398" t="s">
        <v>783</v>
      </c>
      <c r="C112" s="399"/>
    </row>
    <row r="113" spans="2:3">
      <c r="B113" s="398" t="s">
        <v>784</v>
      </c>
      <c r="C113" s="399"/>
    </row>
    <row r="114" spans="2:3" ht="15.75" thickBot="1">
      <c r="B114" s="406" t="s">
        <v>670</v>
      </c>
      <c r="C114" s="407"/>
    </row>
    <row r="115" spans="2:3">
      <c r="C115" s="414"/>
    </row>
    <row r="116" spans="2:3">
      <c r="C116" s="414"/>
    </row>
    <row r="117" spans="2:3">
      <c r="C117" s="414"/>
    </row>
    <row r="118" spans="2:3" ht="15">
      <c r="B118" s="388" t="s">
        <v>770</v>
      </c>
      <c r="C118" s="389"/>
    </row>
    <row r="119" spans="2:3">
      <c r="B119" s="390" t="s">
        <v>771</v>
      </c>
      <c r="C119" s="389"/>
    </row>
    <row r="120" spans="2:3" ht="18" customHeight="1">
      <c r="B120" s="391" t="s">
        <v>772</v>
      </c>
      <c r="C120" s="389"/>
    </row>
    <row r="121" spans="2:3" ht="21.75" customHeight="1">
      <c r="B121" s="392" t="s">
        <v>773</v>
      </c>
      <c r="C121" s="389"/>
    </row>
    <row r="122" spans="2:3" ht="15.75" thickBot="1">
      <c r="B122" s="393"/>
      <c r="C122" s="394"/>
    </row>
    <row r="123" spans="2:3" ht="35.25" customHeight="1">
      <c r="B123" s="590" t="s">
        <v>789</v>
      </c>
      <c r="C123" s="586" t="s">
        <v>775</v>
      </c>
    </row>
    <row r="124" spans="2:3" ht="12" customHeight="1">
      <c r="B124" s="584"/>
      <c r="C124" s="587"/>
    </row>
    <row r="125" spans="2:3" ht="12" customHeight="1">
      <c r="B125" s="584"/>
      <c r="C125" s="587"/>
    </row>
    <row r="126" spans="2:3" ht="15">
      <c r="B126" s="404" t="s">
        <v>259</v>
      </c>
      <c r="C126" s="405"/>
    </row>
    <row r="127" spans="2:3">
      <c r="B127" s="398" t="s">
        <v>776</v>
      </c>
      <c r="C127" s="399"/>
    </row>
    <row r="128" spans="2:3">
      <c r="B128" s="398" t="s">
        <v>786</v>
      </c>
      <c r="C128" s="399"/>
    </row>
    <row r="129" spans="2:3" ht="15">
      <c r="B129" s="402" t="s">
        <v>778</v>
      </c>
      <c r="C129" s="399"/>
    </row>
    <row r="130" spans="2:3" ht="15">
      <c r="B130" s="404" t="s">
        <v>654</v>
      </c>
      <c r="C130" s="420"/>
    </row>
    <row r="131" spans="2:3" ht="15">
      <c r="B131" s="404" t="s">
        <v>663</v>
      </c>
      <c r="C131" s="591"/>
    </row>
    <row r="132" spans="2:3">
      <c r="B132" s="398" t="s">
        <v>779</v>
      </c>
      <c r="C132" s="399"/>
    </row>
    <row r="133" spans="2:3">
      <c r="B133" s="398" t="s">
        <v>665</v>
      </c>
      <c r="C133" s="399"/>
    </row>
    <row r="134" spans="2:3" ht="15">
      <c r="B134" s="404" t="s">
        <v>780</v>
      </c>
      <c r="C134" s="405"/>
    </row>
    <row r="135" spans="2:3">
      <c r="B135" s="398" t="s">
        <v>780</v>
      </c>
      <c r="C135" s="399"/>
    </row>
    <row r="136" spans="2:3" ht="15">
      <c r="B136" s="411" t="s">
        <v>781</v>
      </c>
      <c r="C136" s="399"/>
    </row>
    <row r="137" spans="2:3">
      <c r="B137" s="415" t="s">
        <v>790</v>
      </c>
      <c r="C137" s="416"/>
    </row>
    <row r="138" spans="2:3">
      <c r="B138" s="415" t="s">
        <v>786</v>
      </c>
      <c r="C138" s="416"/>
    </row>
    <row r="139" spans="2:3" ht="15">
      <c r="B139" s="402" t="s">
        <v>666</v>
      </c>
      <c r="C139" s="399"/>
    </row>
    <row r="140" spans="2:3" ht="15">
      <c r="B140" s="402" t="s">
        <v>667</v>
      </c>
      <c r="C140" s="399"/>
    </row>
    <row r="141" spans="2:3" ht="15">
      <c r="B141" s="404" t="s">
        <v>782</v>
      </c>
      <c r="C141" s="399"/>
    </row>
    <row r="142" spans="2:3" ht="15">
      <c r="B142" s="404" t="s">
        <v>669</v>
      </c>
      <c r="C142" s="405"/>
    </row>
    <row r="143" spans="2:3">
      <c r="B143" s="398" t="s">
        <v>783</v>
      </c>
      <c r="C143" s="399"/>
    </row>
    <row r="144" spans="2:3">
      <c r="B144" s="398" t="s">
        <v>784</v>
      </c>
      <c r="C144" s="399"/>
    </row>
    <row r="145" spans="2:3" ht="15.75" thickBot="1">
      <c r="B145" s="406" t="s">
        <v>670</v>
      </c>
      <c r="C145" s="407"/>
    </row>
    <row r="149" spans="2:3" ht="15">
      <c r="B149" s="388" t="s">
        <v>770</v>
      </c>
      <c r="C149" s="389"/>
    </row>
    <row r="150" spans="2:3">
      <c r="B150" s="390" t="s">
        <v>771</v>
      </c>
      <c r="C150" s="389"/>
    </row>
    <row r="151" spans="2:3" ht="18" customHeight="1">
      <c r="B151" s="391" t="s">
        <v>772</v>
      </c>
      <c r="C151" s="389"/>
    </row>
    <row r="152" spans="2:3" ht="21.75" customHeight="1">
      <c r="B152" s="392" t="s">
        <v>773</v>
      </c>
      <c r="C152" s="389"/>
    </row>
    <row r="153" spans="2:3" ht="15.75" thickBot="1">
      <c r="B153" s="393"/>
      <c r="C153" s="394"/>
    </row>
    <row r="154" spans="2:3" ht="39.75" customHeight="1">
      <c r="B154" s="590" t="s">
        <v>791</v>
      </c>
      <c r="C154" s="586" t="s">
        <v>775</v>
      </c>
    </row>
    <row r="155" spans="2:3" ht="12" customHeight="1">
      <c r="B155" s="584"/>
      <c r="C155" s="587"/>
    </row>
    <row r="156" spans="2:3" ht="12" customHeight="1">
      <c r="B156" s="584"/>
      <c r="C156" s="587"/>
    </row>
    <row r="157" spans="2:3" ht="15">
      <c r="B157" s="404" t="s">
        <v>259</v>
      </c>
      <c r="C157" s="405"/>
    </row>
    <row r="158" spans="2:3">
      <c r="B158" s="398" t="s">
        <v>777</v>
      </c>
      <c r="C158" s="399"/>
    </row>
    <row r="159" spans="2:3">
      <c r="B159" s="398" t="s">
        <v>786</v>
      </c>
      <c r="C159" s="399"/>
    </row>
    <row r="160" spans="2:3" ht="15">
      <c r="B160" s="402" t="s">
        <v>778</v>
      </c>
      <c r="C160" s="399"/>
    </row>
    <row r="161" spans="2:3" ht="15">
      <c r="B161" s="404" t="s">
        <v>654</v>
      </c>
      <c r="C161" s="420"/>
    </row>
    <row r="162" spans="2:3" ht="15">
      <c r="B162" s="404" t="s">
        <v>663</v>
      </c>
      <c r="C162" s="591"/>
    </row>
    <row r="163" spans="2:3">
      <c r="B163" s="398" t="s">
        <v>779</v>
      </c>
      <c r="C163" s="399"/>
    </row>
    <row r="164" spans="2:3">
      <c r="B164" s="398" t="s">
        <v>665</v>
      </c>
      <c r="C164" s="399"/>
    </row>
    <row r="165" spans="2:3" ht="15">
      <c r="B165" s="404" t="s">
        <v>780</v>
      </c>
      <c r="C165" s="410"/>
    </row>
    <row r="166" spans="2:3">
      <c r="B166" s="398" t="s">
        <v>780</v>
      </c>
      <c r="C166" s="399"/>
    </row>
    <row r="167" spans="2:3" ht="15">
      <c r="B167" s="404" t="s">
        <v>781</v>
      </c>
      <c r="C167" s="417"/>
    </row>
    <row r="168" spans="2:3" ht="15">
      <c r="B168" s="402" t="s">
        <v>666</v>
      </c>
      <c r="C168" s="399"/>
    </row>
    <row r="169" spans="2:3" ht="15">
      <c r="B169" s="402" t="s">
        <v>667</v>
      </c>
      <c r="C169" s="399"/>
    </row>
    <row r="170" spans="2:3" ht="15">
      <c r="B170" s="404" t="s">
        <v>782</v>
      </c>
      <c r="C170" s="399"/>
    </row>
    <row r="171" spans="2:3" ht="15">
      <c r="B171" s="404" t="s">
        <v>669</v>
      </c>
      <c r="C171" s="405"/>
    </row>
    <row r="172" spans="2:3">
      <c r="B172" s="398" t="s">
        <v>783</v>
      </c>
      <c r="C172" s="399"/>
    </row>
    <row r="173" spans="2:3">
      <c r="B173" s="398" t="s">
        <v>784</v>
      </c>
      <c r="C173" s="399"/>
    </row>
    <row r="174" spans="2:3" ht="15.75" thickBot="1">
      <c r="B174" s="406" t="s">
        <v>670</v>
      </c>
      <c r="C174" s="407"/>
    </row>
    <row r="178" spans="2:6" ht="15">
      <c r="B178" s="388" t="s">
        <v>770</v>
      </c>
      <c r="C178" s="389"/>
    </row>
    <row r="179" spans="2:6">
      <c r="B179" s="390" t="s">
        <v>771</v>
      </c>
      <c r="C179" s="389"/>
    </row>
    <row r="180" spans="2:6" ht="18" customHeight="1">
      <c r="B180" s="391" t="s">
        <v>772</v>
      </c>
      <c r="C180" s="389"/>
    </row>
    <row r="181" spans="2:6" ht="21.75" customHeight="1">
      <c r="B181" s="392" t="s">
        <v>773</v>
      </c>
      <c r="C181" s="389"/>
    </row>
    <row r="182" spans="2:6" ht="15.75" thickBot="1">
      <c r="B182" s="393"/>
      <c r="C182" s="394"/>
    </row>
    <row r="183" spans="2:6" ht="33" customHeight="1">
      <c r="B183" s="590" t="s">
        <v>792</v>
      </c>
      <c r="C183" s="586" t="s">
        <v>775</v>
      </c>
    </row>
    <row r="184" spans="2:6" ht="12" customHeight="1">
      <c r="B184" s="584"/>
      <c r="C184" s="587"/>
    </row>
    <row r="185" spans="2:6" ht="12" customHeight="1">
      <c r="B185" s="584"/>
      <c r="C185" s="587"/>
    </row>
    <row r="186" spans="2:6" ht="15">
      <c r="B186" s="404" t="s">
        <v>259</v>
      </c>
      <c r="C186" s="405"/>
    </row>
    <row r="187" spans="2:6">
      <c r="B187" s="418" t="s">
        <v>776</v>
      </c>
      <c r="C187" s="399"/>
    </row>
    <row r="188" spans="2:6">
      <c r="B188" s="398" t="s">
        <v>777</v>
      </c>
      <c r="C188" s="399"/>
    </row>
    <row r="189" spans="2:6" ht="15">
      <c r="B189" s="402" t="s">
        <v>778</v>
      </c>
      <c r="C189" s="399"/>
      <c r="D189" s="400">
        <f>C189-V.4!C198</f>
        <v>0</v>
      </c>
      <c r="F189" s="400"/>
    </row>
    <row r="190" spans="2:6" ht="15">
      <c r="B190" s="404" t="s">
        <v>654</v>
      </c>
      <c r="C190" s="420"/>
    </row>
    <row r="191" spans="2:6" ht="15">
      <c r="B191" s="404" t="s">
        <v>663</v>
      </c>
      <c r="C191" s="591"/>
    </row>
    <row r="192" spans="2:6">
      <c r="B192" s="398" t="s">
        <v>779</v>
      </c>
      <c r="C192" s="399"/>
    </row>
    <row r="193" spans="2:3">
      <c r="B193" s="398" t="s">
        <v>665</v>
      </c>
      <c r="C193" s="399"/>
    </row>
    <row r="194" spans="2:3" ht="15">
      <c r="B194" s="404" t="s">
        <v>780</v>
      </c>
      <c r="C194" s="405"/>
    </row>
    <row r="195" spans="2:3">
      <c r="B195" s="398" t="s">
        <v>780</v>
      </c>
      <c r="C195" s="399"/>
    </row>
    <row r="196" spans="2:3" ht="15">
      <c r="B196" s="411" t="s">
        <v>781</v>
      </c>
      <c r="C196" s="399"/>
    </row>
    <row r="197" spans="2:3">
      <c r="B197" s="415" t="s">
        <v>793</v>
      </c>
      <c r="C197" s="416"/>
    </row>
    <row r="198" spans="2:3">
      <c r="B198" s="415" t="s">
        <v>794</v>
      </c>
      <c r="C198" s="416"/>
    </row>
    <row r="199" spans="2:3" ht="15">
      <c r="B199" s="402" t="s">
        <v>666</v>
      </c>
      <c r="C199" s="399"/>
    </row>
    <row r="200" spans="2:3" ht="15">
      <c r="B200" s="402" t="s">
        <v>667</v>
      </c>
      <c r="C200" s="399"/>
    </row>
    <row r="201" spans="2:3" ht="15">
      <c r="B201" s="404" t="s">
        <v>782</v>
      </c>
      <c r="C201" s="399"/>
    </row>
    <row r="202" spans="2:3" ht="15">
      <c r="B202" s="404" t="s">
        <v>669</v>
      </c>
      <c r="C202" s="405"/>
    </row>
    <row r="203" spans="2:3">
      <c r="B203" s="398" t="s">
        <v>783</v>
      </c>
      <c r="C203" s="399"/>
    </row>
    <row r="204" spans="2:3">
      <c r="B204" s="398" t="s">
        <v>784</v>
      </c>
      <c r="C204" s="399"/>
    </row>
    <row r="205" spans="2:3" ht="15.75" thickBot="1">
      <c r="B205" s="406" t="s">
        <v>670</v>
      </c>
      <c r="C205" s="407"/>
    </row>
    <row r="209" spans="2:3" ht="15">
      <c r="B209" s="388" t="s">
        <v>770</v>
      </c>
      <c r="C209" s="389"/>
    </row>
    <row r="210" spans="2:3">
      <c r="B210" s="390" t="s">
        <v>771</v>
      </c>
      <c r="C210" s="389"/>
    </row>
    <row r="211" spans="2:3" ht="18" customHeight="1">
      <c r="B211" s="391" t="s">
        <v>772</v>
      </c>
      <c r="C211" s="389"/>
    </row>
    <row r="212" spans="2:3" ht="21.75" customHeight="1">
      <c r="B212" s="392" t="s">
        <v>773</v>
      </c>
      <c r="C212" s="389"/>
    </row>
    <row r="213" spans="2:3" ht="15.75" thickBot="1">
      <c r="B213" s="393"/>
      <c r="C213" s="394"/>
    </row>
    <row r="214" spans="2:3" ht="39" customHeight="1">
      <c r="B214" s="592" t="s">
        <v>795</v>
      </c>
      <c r="C214" s="586" t="s">
        <v>775</v>
      </c>
    </row>
    <row r="215" spans="2:3" ht="12" customHeight="1">
      <c r="B215" s="593"/>
      <c r="C215" s="587"/>
    </row>
    <row r="216" spans="2:3" ht="12" customHeight="1">
      <c r="B216" s="594"/>
      <c r="C216" s="587"/>
    </row>
    <row r="217" spans="2:3" ht="15">
      <c r="B217" s="404" t="s">
        <v>259</v>
      </c>
      <c r="C217" s="419"/>
    </row>
    <row r="218" spans="2:3">
      <c r="B218" s="418" t="s">
        <v>796</v>
      </c>
      <c r="C218" s="399"/>
    </row>
    <row r="219" spans="2:3">
      <c r="B219" s="418" t="s">
        <v>797</v>
      </c>
      <c r="C219" s="399"/>
    </row>
    <row r="220" spans="2:3">
      <c r="B220" s="398" t="s">
        <v>798</v>
      </c>
      <c r="C220" s="399"/>
    </row>
    <row r="221" spans="2:3" ht="15">
      <c r="B221" s="402" t="s">
        <v>778</v>
      </c>
      <c r="C221" s="399"/>
    </row>
    <row r="222" spans="2:3" ht="15">
      <c r="B222" s="404" t="s">
        <v>654</v>
      </c>
      <c r="C222" s="420"/>
    </row>
    <row r="223" spans="2:3" ht="15">
      <c r="B223" s="404" t="s">
        <v>663</v>
      </c>
      <c r="C223" s="410"/>
    </row>
    <row r="224" spans="2:3">
      <c r="B224" s="398" t="s">
        <v>779</v>
      </c>
      <c r="C224" s="399"/>
    </row>
    <row r="225" spans="2:3">
      <c r="B225" s="398" t="s">
        <v>665</v>
      </c>
      <c r="C225" s="399"/>
    </row>
    <row r="226" spans="2:3" ht="15">
      <c r="B226" s="404" t="s">
        <v>780</v>
      </c>
      <c r="C226" s="405"/>
    </row>
    <row r="227" spans="2:3">
      <c r="B227" s="398" t="s">
        <v>780</v>
      </c>
      <c r="C227" s="399"/>
    </row>
    <row r="228" spans="2:3" ht="15">
      <c r="B228" s="404" t="s">
        <v>781</v>
      </c>
      <c r="C228" s="399"/>
    </row>
    <row r="229" spans="2:3" ht="15">
      <c r="B229" s="402" t="s">
        <v>666</v>
      </c>
      <c r="C229" s="399"/>
    </row>
    <row r="230" spans="2:3" ht="15">
      <c r="B230" s="402" t="s">
        <v>667</v>
      </c>
      <c r="C230" s="399"/>
    </row>
    <row r="231" spans="2:3" ht="15">
      <c r="B231" s="404" t="s">
        <v>782</v>
      </c>
      <c r="C231" s="399"/>
    </row>
    <row r="232" spans="2:3" ht="15">
      <c r="B232" s="404" t="s">
        <v>669</v>
      </c>
      <c r="C232" s="405"/>
    </row>
    <row r="233" spans="2:3">
      <c r="B233" s="398" t="s">
        <v>783</v>
      </c>
      <c r="C233" s="399"/>
    </row>
    <row r="234" spans="2:3">
      <c r="B234" s="398" t="s">
        <v>784</v>
      </c>
      <c r="C234" s="399"/>
    </row>
    <row r="235" spans="2:3" ht="15.75" thickBot="1">
      <c r="B235" s="406" t="s">
        <v>670</v>
      </c>
      <c r="C235" s="407"/>
    </row>
    <row r="239" spans="2:3" ht="15">
      <c r="B239" s="388" t="s">
        <v>770</v>
      </c>
      <c r="C239" s="389"/>
    </row>
    <row r="240" spans="2:3">
      <c r="B240" s="390" t="s">
        <v>771</v>
      </c>
      <c r="C240" s="389"/>
    </row>
    <row r="241" spans="2:3" ht="18" customHeight="1">
      <c r="B241" s="391" t="s">
        <v>772</v>
      </c>
      <c r="C241" s="389"/>
    </row>
    <row r="242" spans="2:3" ht="21.75" customHeight="1">
      <c r="B242" s="392" t="s">
        <v>773</v>
      </c>
      <c r="C242" s="389"/>
    </row>
    <row r="243" spans="2:3" ht="15.75" thickBot="1">
      <c r="B243" s="393"/>
      <c r="C243" s="394"/>
    </row>
    <row r="244" spans="2:3" ht="44.25" customHeight="1">
      <c r="B244" s="590" t="s">
        <v>799</v>
      </c>
      <c r="C244" s="586" t="s">
        <v>775</v>
      </c>
    </row>
    <row r="245" spans="2:3" ht="12" customHeight="1">
      <c r="B245" s="584"/>
      <c r="C245" s="587"/>
    </row>
    <row r="246" spans="2:3" ht="12" customHeight="1">
      <c r="B246" s="584"/>
      <c r="C246" s="587"/>
    </row>
    <row r="247" spans="2:3" ht="15">
      <c r="B247" s="404" t="s">
        <v>259</v>
      </c>
      <c r="C247" s="420"/>
    </row>
    <row r="248" spans="2:3" ht="15">
      <c r="B248" s="422" t="s">
        <v>9</v>
      </c>
      <c r="C248" s="591"/>
    </row>
    <row r="249" spans="2:3">
      <c r="B249" s="398" t="s">
        <v>777</v>
      </c>
      <c r="C249" s="399"/>
    </row>
    <row r="250" spans="2:3">
      <c r="B250" s="398" t="s">
        <v>786</v>
      </c>
      <c r="C250" s="399"/>
    </row>
    <row r="251" spans="2:3" ht="15">
      <c r="B251" s="404" t="s">
        <v>800</v>
      </c>
      <c r="C251" s="405"/>
    </row>
    <row r="252" spans="2:3">
      <c r="B252" s="418" t="s">
        <v>776</v>
      </c>
      <c r="C252" s="399"/>
    </row>
    <row r="253" spans="2:3">
      <c r="B253" s="398" t="s">
        <v>777</v>
      </c>
      <c r="C253" s="399"/>
    </row>
    <row r="254" spans="2:3" ht="15">
      <c r="B254" s="402" t="s">
        <v>778</v>
      </c>
      <c r="C254" s="399"/>
    </row>
    <row r="255" spans="2:3" ht="15">
      <c r="B255" s="404" t="s">
        <v>654</v>
      </c>
      <c r="C255" s="420"/>
    </row>
    <row r="256" spans="2:3" ht="15">
      <c r="B256" s="404" t="s">
        <v>663</v>
      </c>
      <c r="C256" s="591"/>
    </row>
    <row r="257" spans="2:3">
      <c r="B257" s="398" t="s">
        <v>779</v>
      </c>
      <c r="C257" s="399"/>
    </row>
    <row r="258" spans="2:3">
      <c r="B258" s="398" t="s">
        <v>665</v>
      </c>
      <c r="C258" s="412"/>
    </row>
    <row r="259" spans="2:3" ht="15">
      <c r="B259" s="411" t="s">
        <v>780</v>
      </c>
      <c r="C259" s="423"/>
    </row>
    <row r="260" spans="2:3">
      <c r="B260" s="398" t="s">
        <v>780</v>
      </c>
      <c r="C260" s="416"/>
    </row>
    <row r="261" spans="2:3" ht="15">
      <c r="B261" s="404" t="s">
        <v>781</v>
      </c>
      <c r="C261" s="399"/>
    </row>
    <row r="262" spans="2:3">
      <c r="B262" s="398" t="s">
        <v>801</v>
      </c>
      <c r="C262" s="399"/>
    </row>
    <row r="263" spans="2:3">
      <c r="B263" s="398" t="s">
        <v>802</v>
      </c>
      <c r="C263" s="399"/>
    </row>
    <row r="264" spans="2:3" ht="15">
      <c r="B264" s="402" t="s">
        <v>666</v>
      </c>
      <c r="C264" s="399"/>
    </row>
    <row r="265" spans="2:3" ht="15">
      <c r="B265" s="402" t="s">
        <v>667</v>
      </c>
      <c r="C265" s="399"/>
    </row>
    <row r="266" spans="2:3" ht="15">
      <c r="B266" s="404" t="s">
        <v>782</v>
      </c>
      <c r="C266" s="399"/>
    </row>
    <row r="267" spans="2:3" ht="15">
      <c r="B267" s="404" t="s">
        <v>669</v>
      </c>
      <c r="C267" s="405"/>
    </row>
    <row r="268" spans="2:3">
      <c r="B268" s="398" t="s">
        <v>783</v>
      </c>
      <c r="C268" s="399"/>
    </row>
    <row r="269" spans="2:3">
      <c r="B269" s="398" t="s">
        <v>784</v>
      </c>
      <c r="C269" s="399"/>
    </row>
    <row r="270" spans="2:3" ht="15.75" thickBot="1">
      <c r="B270" s="406" t="s">
        <v>670</v>
      </c>
      <c r="C270" s="407"/>
    </row>
    <row r="274" spans="2:3" ht="15">
      <c r="B274" s="388" t="s">
        <v>770</v>
      </c>
      <c r="C274" s="389"/>
    </row>
    <row r="275" spans="2:3">
      <c r="B275" s="390" t="s">
        <v>771</v>
      </c>
      <c r="C275" s="389"/>
    </row>
    <row r="276" spans="2:3" ht="18" customHeight="1">
      <c r="B276" s="391" t="s">
        <v>772</v>
      </c>
      <c r="C276" s="389"/>
    </row>
    <row r="277" spans="2:3" ht="21.75" customHeight="1">
      <c r="B277" s="392" t="s">
        <v>773</v>
      </c>
      <c r="C277" s="389"/>
    </row>
    <row r="278" spans="2:3" ht="15.75" thickBot="1">
      <c r="B278" s="393"/>
      <c r="C278" s="394"/>
    </row>
    <row r="279" spans="2:3" ht="39" customHeight="1">
      <c r="B279" s="592" t="s">
        <v>803</v>
      </c>
      <c r="C279" s="586" t="s">
        <v>775</v>
      </c>
    </row>
    <row r="280" spans="2:3" ht="12" customHeight="1">
      <c r="B280" s="593"/>
      <c r="C280" s="587"/>
    </row>
    <row r="281" spans="2:3" ht="12" customHeight="1">
      <c r="B281" s="594"/>
      <c r="C281" s="587"/>
    </row>
    <row r="282" spans="2:3" ht="15">
      <c r="B282" s="424" t="s">
        <v>778</v>
      </c>
      <c r="C282" s="399"/>
    </row>
    <row r="283" spans="2:3" ht="15">
      <c r="B283" s="404" t="s">
        <v>654</v>
      </c>
      <c r="C283" s="419"/>
    </row>
    <row r="284" spans="2:3" ht="15">
      <c r="B284" s="404" t="s">
        <v>663</v>
      </c>
      <c r="C284" s="421"/>
    </row>
    <row r="285" spans="2:3">
      <c r="B285" s="398" t="s">
        <v>779</v>
      </c>
      <c r="C285" s="399"/>
    </row>
    <row r="286" spans="2:3">
      <c r="B286" s="398" t="s">
        <v>665</v>
      </c>
      <c r="C286" s="399"/>
    </row>
    <row r="287" spans="2:3" ht="15">
      <c r="B287" s="404" t="s">
        <v>780</v>
      </c>
      <c r="C287" s="421"/>
    </row>
    <row r="288" spans="2:3">
      <c r="B288" s="398" t="s">
        <v>780</v>
      </c>
      <c r="C288" s="399"/>
    </row>
    <row r="289" spans="2:5" ht="15">
      <c r="B289" s="404" t="s">
        <v>781</v>
      </c>
      <c r="C289" s="399"/>
    </row>
    <row r="290" spans="2:5" ht="15">
      <c r="B290" s="402" t="s">
        <v>666</v>
      </c>
      <c r="C290" s="399"/>
    </row>
    <row r="291" spans="2:5" ht="15">
      <c r="B291" s="402" t="s">
        <v>667</v>
      </c>
      <c r="C291" s="399"/>
    </row>
    <row r="292" spans="2:5" ht="15">
      <c r="B292" s="404" t="s">
        <v>782</v>
      </c>
      <c r="C292" s="399"/>
    </row>
    <row r="293" spans="2:5" ht="15">
      <c r="B293" s="404" t="s">
        <v>669</v>
      </c>
      <c r="C293" s="405"/>
    </row>
    <row r="294" spans="2:5">
      <c r="B294" s="398" t="s">
        <v>783</v>
      </c>
      <c r="C294" s="399"/>
    </row>
    <row r="295" spans="2:5">
      <c r="B295" s="398" t="s">
        <v>784</v>
      </c>
      <c r="C295" s="399"/>
    </row>
    <row r="296" spans="2:5" ht="15.75" thickBot="1">
      <c r="B296" s="406" t="s">
        <v>670</v>
      </c>
      <c r="C296" s="407"/>
    </row>
    <row r="300" spans="2:5" s="425" customFormat="1" ht="15">
      <c r="C300" s="426"/>
      <c r="D300" s="427"/>
      <c r="E300" s="426"/>
    </row>
    <row r="301" spans="2:5" ht="15">
      <c r="B301" s="425"/>
      <c r="C301" s="426"/>
      <c r="D301" s="427"/>
    </row>
    <row r="302" spans="2:5" ht="15">
      <c r="B302" s="425"/>
      <c r="C302" s="426"/>
      <c r="D302" s="427"/>
    </row>
    <row r="303" spans="2:5" ht="15">
      <c r="D303" s="426"/>
    </row>
    <row r="305" spans="2:4" ht="15">
      <c r="B305" s="425"/>
      <c r="C305" s="426"/>
      <c r="D305" s="427"/>
    </row>
    <row r="306" spans="2:4" ht="15">
      <c r="B306" s="425"/>
      <c r="C306" s="426"/>
      <c r="D306" s="427"/>
    </row>
    <row r="307" spans="2:4" ht="15">
      <c r="B307" s="425"/>
      <c r="C307" s="426"/>
      <c r="D307" s="427"/>
    </row>
  </sheetData>
  <printOptions horizontalCentered="1" verticalCentered="1"/>
  <pageMargins left="0.70866141732283472" right="0.70866141732283472" top="0.74803149606299213" bottom="0.74803149606299213" header="0.31496062992125984" footer="0.31496062992125984"/>
  <pageSetup paperSize="9" scale="70" orientation="portrait" horizontalDpi="300" verticalDpi="300" r:id="rId1"/>
  <rowBreaks count="8" manualBreakCount="8">
    <brk id="57" min="1" max="5" man="1"/>
    <brk id="87" min="1" max="5" man="1"/>
    <brk id="116" min="1" max="5" man="1"/>
    <brk id="147" min="1" max="5" man="1"/>
    <brk id="176" min="1" max="5" man="1"/>
    <brk id="207" min="1" max="5" man="1"/>
    <brk id="237" min="1" max="5" man="1"/>
    <brk id="272" min="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55"/>
  <sheetViews>
    <sheetView view="pageBreakPreview" topLeftCell="A207" zoomScale="85" zoomScaleNormal="70" zoomScaleSheetLayoutView="85" workbookViewId="0">
      <selection activeCell="H229" sqref="H229"/>
    </sheetView>
  </sheetViews>
  <sheetFormatPr baseColWidth="10" defaultColWidth="11.42578125" defaultRowHeight="15"/>
  <cols>
    <col min="1" max="1" width="6.85546875" style="431" customWidth="1"/>
    <col min="2" max="2" width="56.85546875" style="431" customWidth="1"/>
    <col min="3" max="3" width="31.28515625" style="449" customWidth="1"/>
    <col min="4" max="4" width="20.42578125" style="449" customWidth="1"/>
    <col min="5" max="5" width="24.42578125" style="449" customWidth="1"/>
    <col min="6" max="6" width="11.42578125" style="431" customWidth="1"/>
    <col min="7" max="7" width="11.42578125" style="431"/>
    <col min="8" max="8" width="13.140625" style="431" bestFit="1" customWidth="1"/>
    <col min="9" max="16384" width="11.42578125" style="431"/>
  </cols>
  <sheetData>
    <row r="1" spans="2:7" s="386" customFormat="1" ht="113.25" customHeight="1">
      <c r="B1" s="595"/>
      <c r="C1" s="595"/>
      <c r="E1" s="387"/>
    </row>
    <row r="2" spans="2:7">
      <c r="B2" s="428"/>
      <c r="C2" s="428"/>
      <c r="D2" s="430"/>
      <c r="E2" s="430"/>
    </row>
    <row r="3" spans="2:7" s="386" customFormat="1">
      <c r="B3" s="388" t="s">
        <v>770</v>
      </c>
      <c r="C3" s="389"/>
      <c r="D3" s="432"/>
      <c r="E3" s="432"/>
      <c r="G3" s="387"/>
    </row>
    <row r="4" spans="2:7" s="386" customFormat="1" ht="12">
      <c r="B4" s="390" t="s">
        <v>771</v>
      </c>
      <c r="C4" s="389"/>
      <c r="D4" s="432"/>
      <c r="E4" s="432"/>
      <c r="G4" s="387"/>
    </row>
    <row r="5" spans="2:7" s="386" customFormat="1" ht="18" customHeight="1">
      <c r="B5" s="391" t="s">
        <v>772</v>
      </c>
      <c r="C5" s="389"/>
      <c r="D5" s="432"/>
      <c r="E5" s="432"/>
      <c r="G5" s="387"/>
    </row>
    <row r="6" spans="2:7" ht="21.75" customHeight="1">
      <c r="B6" s="392" t="s">
        <v>804</v>
      </c>
      <c r="C6" s="429"/>
      <c r="D6" s="430"/>
      <c r="E6" s="430"/>
    </row>
    <row r="7" spans="2:7" ht="16.5" thickBot="1">
      <c r="B7" s="433"/>
      <c r="C7" s="434"/>
      <c r="D7" s="430"/>
      <c r="E7" s="430"/>
    </row>
    <row r="8" spans="2:7" ht="43.5" customHeight="1">
      <c r="B8" s="596" t="s">
        <v>805</v>
      </c>
      <c r="C8" s="598" t="s">
        <v>775</v>
      </c>
      <c r="D8" s="601"/>
      <c r="E8" s="601"/>
    </row>
    <row r="9" spans="2:7" ht="15" customHeight="1">
      <c r="B9" s="597"/>
      <c r="C9" s="599"/>
      <c r="D9" s="601"/>
      <c r="E9" s="601"/>
    </row>
    <row r="10" spans="2:7" ht="15" customHeight="1">
      <c r="B10" s="597"/>
      <c r="C10" s="600"/>
      <c r="D10" s="601"/>
      <c r="E10" s="601"/>
    </row>
    <row r="11" spans="2:7">
      <c r="B11" s="435" t="s">
        <v>259</v>
      </c>
      <c r="C11" s="436"/>
      <c r="D11" s="437"/>
      <c r="E11" s="437"/>
    </row>
    <row r="12" spans="2:7">
      <c r="B12" s="435" t="s">
        <v>648</v>
      </c>
      <c r="C12" s="438"/>
      <c r="D12" s="439"/>
      <c r="E12" s="440"/>
    </row>
    <row r="13" spans="2:7">
      <c r="B13" s="435" t="s">
        <v>650</v>
      </c>
      <c r="C13" s="438"/>
      <c r="D13" s="440"/>
      <c r="E13" s="440"/>
      <c r="G13" s="441"/>
    </row>
    <row r="14" spans="2:7">
      <c r="B14" s="435" t="s">
        <v>806</v>
      </c>
      <c r="C14" s="438"/>
      <c r="D14" s="440"/>
      <c r="E14" s="440"/>
    </row>
    <row r="15" spans="2:7">
      <c r="B15" s="435" t="s">
        <v>659</v>
      </c>
      <c r="C15" s="438"/>
      <c r="D15" s="440"/>
      <c r="E15" s="440"/>
    </row>
    <row r="16" spans="2:7" ht="15.75">
      <c r="B16" s="442" t="s">
        <v>807</v>
      </c>
      <c r="C16" s="436"/>
      <c r="D16" s="437"/>
      <c r="E16" s="437"/>
    </row>
    <row r="17" spans="2:7">
      <c r="B17" s="435" t="s">
        <v>808</v>
      </c>
      <c r="C17" s="438"/>
      <c r="D17" s="440"/>
      <c r="E17" s="440"/>
    </row>
    <row r="18" spans="2:7" ht="15.75">
      <c r="B18" s="443" t="s">
        <v>809</v>
      </c>
      <c r="C18" s="438"/>
      <c r="D18" s="440"/>
      <c r="E18" s="440"/>
      <c r="G18" s="441"/>
    </row>
    <row r="19" spans="2:7" ht="15.75">
      <c r="B19" s="442" t="s">
        <v>654</v>
      </c>
      <c r="C19" s="444"/>
      <c r="D19" s="437"/>
      <c r="E19" s="437"/>
    </row>
    <row r="20" spans="2:7" ht="15.75">
      <c r="B20" s="442" t="s">
        <v>655</v>
      </c>
      <c r="C20" s="445"/>
      <c r="D20" s="437"/>
      <c r="E20" s="437"/>
    </row>
    <row r="21" spans="2:7">
      <c r="B21" s="435" t="s">
        <v>656</v>
      </c>
      <c r="C21" s="438"/>
      <c r="D21" s="446"/>
      <c r="E21" s="437"/>
    </row>
    <row r="22" spans="2:7">
      <c r="B22" s="435" t="s">
        <v>657</v>
      </c>
      <c r="C22" s="438"/>
      <c r="D22" s="446"/>
      <c r="E22" s="437"/>
    </row>
    <row r="23" spans="2:7">
      <c r="B23" s="435" t="s">
        <v>658</v>
      </c>
      <c r="C23" s="438"/>
      <c r="D23" s="446"/>
      <c r="E23" s="437"/>
    </row>
    <row r="24" spans="2:7">
      <c r="B24" s="435" t="s">
        <v>659</v>
      </c>
      <c r="C24" s="438"/>
      <c r="D24" s="446"/>
      <c r="E24" s="437"/>
    </row>
    <row r="25" spans="2:7">
      <c r="B25" s="435" t="s">
        <v>665</v>
      </c>
      <c r="C25" s="438"/>
      <c r="D25" s="446"/>
      <c r="E25" s="437"/>
    </row>
    <row r="26" spans="2:7">
      <c r="B26" s="435" t="s">
        <v>661</v>
      </c>
      <c r="C26" s="438"/>
      <c r="D26" s="446"/>
      <c r="E26" s="437"/>
    </row>
    <row r="27" spans="2:7">
      <c r="B27" s="435" t="s">
        <v>663</v>
      </c>
      <c r="C27" s="436"/>
      <c r="D27" s="437"/>
      <c r="E27" s="437"/>
    </row>
    <row r="28" spans="2:7">
      <c r="B28" s="435" t="s">
        <v>779</v>
      </c>
      <c r="C28" s="438"/>
      <c r="D28" s="446"/>
      <c r="E28" s="437"/>
    </row>
    <row r="29" spans="2:7">
      <c r="B29" s="435" t="s">
        <v>665</v>
      </c>
      <c r="C29" s="438"/>
      <c r="D29" s="446"/>
      <c r="E29" s="437"/>
    </row>
    <row r="30" spans="2:7" ht="15.75">
      <c r="B30" s="443" t="s">
        <v>666</v>
      </c>
      <c r="C30" s="438"/>
      <c r="D30" s="446"/>
      <c r="E30" s="437"/>
    </row>
    <row r="31" spans="2:7" ht="15.75">
      <c r="B31" s="443" t="s">
        <v>667</v>
      </c>
      <c r="C31" s="438"/>
      <c r="D31" s="446"/>
      <c r="E31" s="437"/>
    </row>
    <row r="32" spans="2:7" ht="15.75">
      <c r="B32" s="442" t="s">
        <v>782</v>
      </c>
      <c r="C32" s="438"/>
      <c r="D32" s="446"/>
      <c r="E32" s="437"/>
    </row>
    <row r="33" spans="2:7" ht="15.75">
      <c r="B33" s="442" t="s">
        <v>669</v>
      </c>
      <c r="C33" s="436"/>
      <c r="D33" s="437"/>
      <c r="E33" s="437"/>
    </row>
    <row r="34" spans="2:7">
      <c r="B34" s="435" t="s">
        <v>810</v>
      </c>
      <c r="C34" s="438"/>
      <c r="D34" s="446"/>
      <c r="E34" s="437"/>
    </row>
    <row r="35" spans="2:7">
      <c r="B35" s="435" t="s">
        <v>663</v>
      </c>
      <c r="C35" s="438"/>
      <c r="D35" s="446"/>
      <c r="E35" s="437"/>
    </row>
    <row r="36" spans="2:7" ht="16.5" thickBot="1">
      <c r="B36" s="447" t="s">
        <v>670</v>
      </c>
      <c r="C36" s="448"/>
      <c r="D36" s="446"/>
      <c r="E36" s="437"/>
    </row>
    <row r="39" spans="2:7">
      <c r="D39" s="429"/>
      <c r="E39" s="429"/>
      <c r="F39" s="428"/>
    </row>
    <row r="40" spans="2:7" s="386" customFormat="1">
      <c r="B40" s="388" t="s">
        <v>770</v>
      </c>
      <c r="C40" s="389"/>
      <c r="D40" s="389"/>
      <c r="E40" s="389"/>
      <c r="F40" s="390"/>
      <c r="G40" s="387"/>
    </row>
    <row r="41" spans="2:7" s="386" customFormat="1" ht="12">
      <c r="B41" s="390" t="s">
        <v>771</v>
      </c>
      <c r="C41" s="389"/>
      <c r="D41" s="389"/>
      <c r="E41" s="389"/>
      <c r="F41" s="390"/>
      <c r="G41" s="387"/>
    </row>
    <row r="42" spans="2:7" s="386" customFormat="1" ht="18" customHeight="1">
      <c r="B42" s="391" t="s">
        <v>772</v>
      </c>
      <c r="C42" s="389"/>
      <c r="D42" s="389"/>
      <c r="E42" s="389"/>
      <c r="F42" s="390"/>
      <c r="G42" s="387"/>
    </row>
    <row r="43" spans="2:7" ht="21.75" customHeight="1">
      <c r="B43" s="392" t="s">
        <v>804</v>
      </c>
      <c r="C43" s="429"/>
      <c r="D43" s="429"/>
      <c r="E43" s="429"/>
      <c r="F43" s="428"/>
    </row>
    <row r="44" spans="2:7" ht="16.5" thickBot="1">
      <c r="B44" s="433"/>
      <c r="C44" s="434"/>
      <c r="D44" s="429"/>
      <c r="E44" s="429"/>
      <c r="F44" s="428"/>
    </row>
    <row r="45" spans="2:7" ht="42" customHeight="1">
      <c r="B45" s="602" t="s">
        <v>811</v>
      </c>
      <c r="C45" s="605" t="s">
        <v>775</v>
      </c>
      <c r="D45" s="429"/>
      <c r="E45" s="429"/>
      <c r="F45" s="428"/>
    </row>
    <row r="46" spans="2:7" ht="15" customHeight="1">
      <c r="B46" s="603"/>
      <c r="C46" s="606"/>
      <c r="D46" s="429"/>
      <c r="E46" s="429"/>
      <c r="F46" s="428"/>
    </row>
    <row r="47" spans="2:7" ht="15" customHeight="1">
      <c r="B47" s="604"/>
      <c r="C47" s="606"/>
      <c r="D47" s="429"/>
      <c r="E47" s="429"/>
      <c r="F47" s="428"/>
    </row>
    <row r="48" spans="2:7">
      <c r="B48" s="435" t="s">
        <v>259</v>
      </c>
      <c r="C48" s="436"/>
      <c r="D48" s="450"/>
      <c r="E48" s="450"/>
      <c r="F48" s="428"/>
    </row>
    <row r="49" spans="2:7">
      <c r="B49" s="435" t="s">
        <v>648</v>
      </c>
      <c r="C49" s="438"/>
      <c r="D49" s="439"/>
      <c r="E49" s="439"/>
      <c r="F49" s="428"/>
      <c r="G49" s="451"/>
    </row>
    <row r="50" spans="2:7">
      <c r="B50" s="435" t="s">
        <v>650</v>
      </c>
      <c r="C50" s="438"/>
      <c r="D50" s="439"/>
      <c r="E50" s="439"/>
      <c r="F50" s="428"/>
      <c r="G50" s="451"/>
    </row>
    <row r="51" spans="2:7">
      <c r="B51" s="435" t="s">
        <v>806</v>
      </c>
      <c r="C51" s="438"/>
      <c r="D51" s="439"/>
      <c r="E51" s="439"/>
      <c r="F51" s="428"/>
      <c r="G51" s="451"/>
    </row>
    <row r="52" spans="2:7">
      <c r="B52" s="435" t="s">
        <v>659</v>
      </c>
      <c r="C52" s="438"/>
      <c r="D52" s="439"/>
      <c r="E52" s="439"/>
      <c r="F52" s="428"/>
    </row>
    <row r="53" spans="2:7" ht="15.75">
      <c r="B53" s="442" t="s">
        <v>807</v>
      </c>
      <c r="C53" s="436"/>
      <c r="D53" s="450"/>
      <c r="E53" s="450"/>
      <c r="F53" s="428"/>
    </row>
    <row r="54" spans="2:7">
      <c r="B54" s="435" t="s">
        <v>812</v>
      </c>
      <c r="C54" s="438"/>
      <c r="D54" s="439"/>
      <c r="E54" s="439"/>
      <c r="F54" s="428"/>
    </row>
    <row r="55" spans="2:7" ht="15.75">
      <c r="B55" s="443" t="s">
        <v>809</v>
      </c>
      <c r="C55" s="452"/>
      <c r="D55" s="439"/>
      <c r="E55" s="439"/>
      <c r="F55" s="428"/>
      <c r="G55" s="441"/>
    </row>
    <row r="56" spans="2:7" ht="15.75">
      <c r="B56" s="453" t="s">
        <v>654</v>
      </c>
      <c r="C56" s="444"/>
      <c r="D56" s="450"/>
      <c r="E56" s="450"/>
      <c r="F56" s="428"/>
    </row>
    <row r="57" spans="2:7" ht="15.75">
      <c r="B57" s="453" t="s">
        <v>655</v>
      </c>
      <c r="C57" s="445"/>
      <c r="D57" s="450"/>
      <c r="E57" s="450"/>
      <c r="F57" s="428"/>
    </row>
    <row r="58" spans="2:7">
      <c r="B58" s="435" t="s">
        <v>656</v>
      </c>
      <c r="C58" s="454"/>
      <c r="D58" s="455"/>
      <c r="E58" s="450"/>
      <c r="F58" s="428"/>
    </row>
    <row r="59" spans="2:7">
      <c r="B59" s="435" t="s">
        <v>657</v>
      </c>
      <c r="C59" s="438"/>
      <c r="D59" s="455"/>
      <c r="E59" s="450"/>
      <c r="F59" s="428"/>
    </row>
    <row r="60" spans="2:7">
      <c r="B60" s="435" t="s">
        <v>658</v>
      </c>
      <c r="C60" s="438"/>
      <c r="D60" s="455"/>
      <c r="E60" s="450"/>
      <c r="F60" s="428"/>
    </row>
    <row r="61" spans="2:7">
      <c r="B61" s="435" t="s">
        <v>659</v>
      </c>
      <c r="C61" s="438"/>
      <c r="D61" s="455"/>
      <c r="E61" s="450"/>
      <c r="F61" s="428"/>
    </row>
    <row r="62" spans="2:7">
      <c r="B62" s="435" t="s">
        <v>665</v>
      </c>
      <c r="C62" s="438"/>
      <c r="D62" s="455"/>
      <c r="E62" s="450"/>
      <c r="F62" s="428"/>
    </row>
    <row r="63" spans="2:7">
      <c r="B63" s="435" t="s">
        <v>661</v>
      </c>
      <c r="C63" s="438"/>
      <c r="D63" s="455"/>
      <c r="E63" s="450"/>
      <c r="F63" s="428"/>
    </row>
    <row r="64" spans="2:7" ht="15.75">
      <c r="B64" s="442" t="s">
        <v>663</v>
      </c>
      <c r="C64" s="436"/>
      <c r="D64" s="450"/>
      <c r="E64" s="450"/>
      <c r="F64" s="428"/>
    </row>
    <row r="65" spans="2:7">
      <c r="B65" s="435" t="s">
        <v>779</v>
      </c>
      <c r="C65" s="438"/>
      <c r="D65" s="455"/>
      <c r="E65" s="450"/>
      <c r="F65" s="428"/>
    </row>
    <row r="66" spans="2:7">
      <c r="B66" s="435" t="s">
        <v>665</v>
      </c>
      <c r="C66" s="438"/>
      <c r="D66" s="455"/>
      <c r="E66" s="450"/>
      <c r="F66" s="428"/>
    </row>
    <row r="67" spans="2:7" ht="15.75">
      <c r="B67" s="443" t="s">
        <v>666</v>
      </c>
      <c r="C67" s="438"/>
      <c r="D67" s="439"/>
      <c r="E67" s="450"/>
      <c r="F67" s="428"/>
    </row>
    <row r="68" spans="2:7" ht="15.75">
      <c r="B68" s="443" t="s">
        <v>667</v>
      </c>
      <c r="C68" s="438"/>
      <c r="D68" s="439"/>
      <c r="E68" s="450"/>
      <c r="F68" s="428"/>
    </row>
    <row r="69" spans="2:7" ht="15.75">
      <c r="B69" s="442" t="s">
        <v>782</v>
      </c>
      <c r="C69" s="438"/>
      <c r="D69" s="455"/>
      <c r="E69" s="450"/>
      <c r="F69" s="428"/>
    </row>
    <row r="70" spans="2:7" ht="15.75">
      <c r="B70" s="442" t="s">
        <v>669</v>
      </c>
      <c r="C70" s="436"/>
      <c r="D70" s="450"/>
      <c r="E70" s="450"/>
      <c r="F70" s="428"/>
    </row>
    <row r="71" spans="2:7">
      <c r="B71" s="435" t="s">
        <v>810</v>
      </c>
      <c r="C71" s="438"/>
      <c r="D71" s="455"/>
      <c r="E71" s="450"/>
      <c r="F71" s="428"/>
    </row>
    <row r="72" spans="2:7">
      <c r="B72" s="435" t="s">
        <v>663</v>
      </c>
      <c r="C72" s="438"/>
      <c r="D72" s="455"/>
      <c r="E72" s="450"/>
      <c r="F72" s="428"/>
    </row>
    <row r="73" spans="2:7" ht="16.5" thickBot="1">
      <c r="B73" s="447" t="s">
        <v>670</v>
      </c>
      <c r="C73" s="448"/>
      <c r="D73" s="439"/>
      <c r="E73" s="450"/>
      <c r="F73" s="428"/>
    </row>
    <row r="76" spans="2:7">
      <c r="D76" s="429"/>
      <c r="E76" s="429"/>
    </row>
    <row r="77" spans="2:7" s="386" customFormat="1">
      <c r="B77" s="388" t="s">
        <v>770</v>
      </c>
      <c r="C77" s="389"/>
      <c r="D77" s="389"/>
      <c r="E77" s="389"/>
      <c r="G77" s="387"/>
    </row>
    <row r="78" spans="2:7" s="386" customFormat="1" ht="12">
      <c r="B78" s="390" t="s">
        <v>771</v>
      </c>
      <c r="C78" s="389"/>
      <c r="D78" s="389"/>
      <c r="E78" s="389"/>
      <c r="G78" s="387"/>
    </row>
    <row r="79" spans="2:7" s="386" customFormat="1" ht="18" customHeight="1">
      <c r="B79" s="391" t="s">
        <v>772</v>
      </c>
      <c r="C79" s="389"/>
      <c r="D79" s="389"/>
      <c r="E79" s="389"/>
      <c r="G79" s="387"/>
    </row>
    <row r="80" spans="2:7" ht="21.75" customHeight="1">
      <c r="B80" s="392" t="s">
        <v>804</v>
      </c>
      <c r="C80" s="429"/>
      <c r="D80" s="429"/>
      <c r="E80" s="429"/>
    </row>
    <row r="81" spans="2:7" ht="16.5" thickBot="1">
      <c r="B81" s="433"/>
      <c r="C81" s="434"/>
      <c r="D81" s="429"/>
      <c r="E81" s="429"/>
    </row>
    <row r="82" spans="2:7" ht="41.25" customHeight="1">
      <c r="B82" s="602" t="s">
        <v>813</v>
      </c>
      <c r="C82" s="605" t="s">
        <v>775</v>
      </c>
      <c r="D82" s="607"/>
      <c r="E82" s="607"/>
    </row>
    <row r="83" spans="2:7" ht="15" customHeight="1">
      <c r="B83" s="603"/>
      <c r="C83" s="606"/>
      <c r="D83" s="607"/>
      <c r="E83" s="607"/>
    </row>
    <row r="84" spans="2:7" ht="15" customHeight="1">
      <c r="B84" s="604"/>
      <c r="C84" s="606"/>
      <c r="D84" s="607"/>
      <c r="E84" s="607"/>
    </row>
    <row r="85" spans="2:7" ht="15.75">
      <c r="B85" s="442" t="s">
        <v>259</v>
      </c>
      <c r="C85" s="436"/>
      <c r="D85" s="450"/>
      <c r="E85" s="450"/>
    </row>
    <row r="86" spans="2:7">
      <c r="B86" s="435" t="s">
        <v>648</v>
      </c>
      <c r="C86" s="438"/>
      <c r="D86" s="439"/>
      <c r="E86" s="439"/>
      <c r="G86" s="441"/>
    </row>
    <row r="87" spans="2:7">
      <c r="B87" s="435" t="s">
        <v>814</v>
      </c>
      <c r="C87" s="438"/>
      <c r="D87" s="439"/>
      <c r="E87" s="439"/>
      <c r="G87" s="441"/>
    </row>
    <row r="88" spans="2:7">
      <c r="B88" s="435" t="s">
        <v>815</v>
      </c>
      <c r="C88" s="438"/>
      <c r="D88" s="439"/>
      <c r="E88" s="439"/>
      <c r="G88" s="441"/>
    </row>
    <row r="89" spans="2:7">
      <c r="B89" s="435" t="s">
        <v>806</v>
      </c>
      <c r="C89" s="438"/>
      <c r="D89" s="439"/>
      <c r="E89" s="439"/>
    </row>
    <row r="90" spans="2:7" ht="15.75">
      <c r="B90" s="442" t="s">
        <v>816</v>
      </c>
      <c r="C90" s="436"/>
      <c r="D90" s="450"/>
      <c r="E90" s="450"/>
    </row>
    <row r="91" spans="2:7">
      <c r="B91" s="435" t="s">
        <v>648</v>
      </c>
      <c r="C91" s="438"/>
      <c r="D91" s="439"/>
      <c r="E91" s="439"/>
    </row>
    <row r="92" spans="2:7">
      <c r="B92" s="435" t="s">
        <v>650</v>
      </c>
      <c r="C92" s="438"/>
      <c r="D92" s="439"/>
      <c r="E92" s="439"/>
    </row>
    <row r="93" spans="2:7" ht="15.75">
      <c r="B93" s="442" t="s">
        <v>807</v>
      </c>
      <c r="C93" s="436"/>
      <c r="D93" s="450"/>
      <c r="E93" s="450"/>
    </row>
    <row r="94" spans="2:7">
      <c r="B94" s="435" t="s">
        <v>817</v>
      </c>
      <c r="C94" s="438"/>
      <c r="D94" s="439"/>
      <c r="E94" s="439"/>
    </row>
    <row r="95" spans="2:7" ht="15.75">
      <c r="B95" s="443" t="s">
        <v>809</v>
      </c>
      <c r="C95" s="452"/>
      <c r="D95" s="439"/>
      <c r="E95" s="439"/>
      <c r="G95" s="441"/>
    </row>
    <row r="96" spans="2:7" ht="15.75">
      <c r="B96" s="453" t="s">
        <v>654</v>
      </c>
      <c r="C96" s="444"/>
      <c r="D96" s="450"/>
      <c r="E96" s="450"/>
    </row>
    <row r="97" spans="2:5" ht="15.75">
      <c r="B97" s="453" t="s">
        <v>655</v>
      </c>
      <c r="C97" s="445"/>
      <c r="D97" s="450"/>
      <c r="E97" s="450"/>
    </row>
    <row r="98" spans="2:5">
      <c r="B98" s="435" t="s">
        <v>656</v>
      </c>
      <c r="C98" s="454"/>
      <c r="D98" s="455"/>
      <c r="E98" s="450"/>
    </row>
    <row r="99" spans="2:5">
      <c r="B99" s="435" t="s">
        <v>657</v>
      </c>
      <c r="C99" s="438"/>
      <c r="D99" s="455"/>
      <c r="E99" s="450"/>
    </row>
    <row r="100" spans="2:5">
      <c r="B100" s="435" t="s">
        <v>658</v>
      </c>
      <c r="C100" s="438"/>
      <c r="D100" s="455"/>
      <c r="E100" s="450"/>
    </row>
    <row r="101" spans="2:5">
      <c r="B101" s="435" t="s">
        <v>659</v>
      </c>
      <c r="C101" s="438"/>
      <c r="D101" s="455"/>
      <c r="E101" s="450"/>
    </row>
    <row r="102" spans="2:5">
      <c r="B102" s="435" t="s">
        <v>665</v>
      </c>
      <c r="C102" s="438"/>
      <c r="D102" s="455"/>
      <c r="E102" s="450"/>
    </row>
    <row r="103" spans="2:5">
      <c r="B103" s="435" t="s">
        <v>661</v>
      </c>
      <c r="C103" s="438"/>
      <c r="D103" s="455"/>
      <c r="E103" s="450"/>
    </row>
    <row r="104" spans="2:5" ht="15.75">
      <c r="B104" s="442" t="s">
        <v>663</v>
      </c>
      <c r="C104" s="436"/>
      <c r="D104" s="450"/>
      <c r="E104" s="450"/>
    </row>
    <row r="105" spans="2:5">
      <c r="B105" s="435" t="s">
        <v>779</v>
      </c>
      <c r="C105" s="438"/>
      <c r="D105" s="455"/>
      <c r="E105" s="450"/>
    </row>
    <row r="106" spans="2:5">
      <c r="B106" s="435" t="s">
        <v>665</v>
      </c>
      <c r="C106" s="438"/>
      <c r="D106" s="455"/>
      <c r="E106" s="450"/>
    </row>
    <row r="107" spans="2:5" ht="15.75">
      <c r="B107" s="443" t="s">
        <v>666</v>
      </c>
      <c r="C107" s="438"/>
      <c r="D107" s="439"/>
      <c r="E107" s="450"/>
    </row>
    <row r="108" spans="2:5" ht="15.75">
      <c r="B108" s="443" t="s">
        <v>667</v>
      </c>
      <c r="C108" s="438"/>
      <c r="D108" s="439"/>
      <c r="E108" s="450"/>
    </row>
    <row r="109" spans="2:5" ht="15.75">
      <c r="B109" s="442" t="s">
        <v>782</v>
      </c>
      <c r="C109" s="438"/>
      <c r="D109" s="455"/>
      <c r="E109" s="450"/>
    </row>
    <row r="110" spans="2:5" ht="15.75">
      <c r="B110" s="442" t="s">
        <v>669</v>
      </c>
      <c r="C110" s="436"/>
      <c r="D110" s="450"/>
      <c r="E110" s="450"/>
    </row>
    <row r="111" spans="2:5">
      <c r="B111" s="435" t="s">
        <v>810</v>
      </c>
      <c r="C111" s="438"/>
      <c r="D111" s="455"/>
      <c r="E111" s="450"/>
    </row>
    <row r="112" spans="2:5">
      <c r="B112" s="435" t="s">
        <v>663</v>
      </c>
      <c r="C112" s="438"/>
      <c r="D112" s="455"/>
      <c r="E112" s="450"/>
    </row>
    <row r="113" spans="2:9" ht="16.5" thickBot="1">
      <c r="B113" s="447" t="s">
        <v>670</v>
      </c>
      <c r="C113" s="448"/>
      <c r="D113" s="439"/>
      <c r="E113" s="450"/>
    </row>
    <row r="117" spans="2:9" s="386" customFormat="1">
      <c r="B117" s="388" t="s">
        <v>770</v>
      </c>
      <c r="C117" s="389"/>
      <c r="D117" s="389"/>
      <c r="E117" s="389"/>
      <c r="G117" s="387"/>
    </row>
    <row r="118" spans="2:9" s="386" customFormat="1" ht="12">
      <c r="B118" s="390" t="s">
        <v>771</v>
      </c>
      <c r="C118" s="389"/>
      <c r="D118" s="389"/>
      <c r="E118" s="389"/>
      <c r="G118" s="387"/>
    </row>
    <row r="119" spans="2:9" s="386" customFormat="1" ht="18" customHeight="1">
      <c r="B119" s="391" t="s">
        <v>772</v>
      </c>
      <c r="C119" s="389"/>
      <c r="D119" s="389"/>
      <c r="E119" s="389"/>
      <c r="G119" s="387"/>
    </row>
    <row r="120" spans="2:9" ht="21.75" customHeight="1">
      <c r="B120" s="392" t="s">
        <v>804</v>
      </c>
      <c r="C120" s="429"/>
      <c r="D120" s="429"/>
      <c r="E120" s="429"/>
    </row>
    <row r="121" spans="2:9" ht="16.5" thickBot="1">
      <c r="B121" s="433"/>
      <c r="C121" s="434"/>
      <c r="D121" s="429"/>
      <c r="E121" s="429"/>
    </row>
    <row r="122" spans="2:9" ht="40.5" customHeight="1">
      <c r="B122" s="602" t="s">
        <v>818</v>
      </c>
      <c r="C122" s="605" t="s">
        <v>775</v>
      </c>
      <c r="D122" s="607"/>
      <c r="E122" s="607"/>
    </row>
    <row r="123" spans="2:9" ht="15" customHeight="1">
      <c r="B123" s="603"/>
      <c r="C123" s="606"/>
      <c r="D123" s="607"/>
      <c r="E123" s="607"/>
    </row>
    <row r="124" spans="2:9" ht="15" customHeight="1">
      <c r="B124" s="604"/>
      <c r="C124" s="606"/>
      <c r="D124" s="607"/>
      <c r="E124" s="607"/>
    </row>
    <row r="125" spans="2:9" ht="15.75">
      <c r="B125" s="442" t="s">
        <v>259</v>
      </c>
      <c r="C125" s="436"/>
      <c r="D125" s="450"/>
      <c r="E125" s="450"/>
    </row>
    <row r="126" spans="2:9">
      <c r="B126" s="435" t="s">
        <v>819</v>
      </c>
      <c r="C126" s="438"/>
      <c r="D126" s="439"/>
      <c r="E126" s="439"/>
      <c r="H126" s="449"/>
      <c r="I126" s="449"/>
    </row>
    <row r="127" spans="2:9" ht="15.75">
      <c r="B127" s="442" t="s">
        <v>807</v>
      </c>
      <c r="C127" s="436"/>
      <c r="D127" s="450"/>
      <c r="E127" s="450"/>
    </row>
    <row r="128" spans="2:9">
      <c r="B128" s="435" t="s">
        <v>820</v>
      </c>
      <c r="C128" s="438"/>
      <c r="D128" s="439"/>
      <c r="E128" s="439"/>
    </row>
    <row r="129" spans="2:5" ht="15.75">
      <c r="B129" s="443" t="s">
        <v>809</v>
      </c>
      <c r="C129" s="452"/>
      <c r="D129" s="439"/>
      <c r="E129" s="439"/>
    </row>
    <row r="130" spans="2:5" ht="15.75">
      <c r="B130" s="453" t="s">
        <v>654</v>
      </c>
      <c r="C130" s="456"/>
      <c r="D130" s="457"/>
      <c r="E130" s="457"/>
    </row>
    <row r="131" spans="2:5" ht="15.75">
      <c r="B131" s="453" t="s">
        <v>655</v>
      </c>
      <c r="C131" s="458"/>
      <c r="D131" s="457"/>
      <c r="E131" s="457"/>
    </row>
    <row r="132" spans="2:5">
      <c r="B132" s="435" t="s">
        <v>656</v>
      </c>
      <c r="C132" s="454"/>
      <c r="D132" s="455"/>
      <c r="E132" s="450"/>
    </row>
    <row r="133" spans="2:5">
      <c r="B133" s="435" t="s">
        <v>657</v>
      </c>
      <c r="C133" s="438"/>
      <c r="D133" s="455"/>
      <c r="E133" s="450"/>
    </row>
    <row r="134" spans="2:5">
      <c r="B134" s="435" t="s">
        <v>658</v>
      </c>
      <c r="C134" s="438"/>
      <c r="D134" s="455"/>
      <c r="E134" s="450"/>
    </row>
    <row r="135" spans="2:5">
      <c r="B135" s="435" t="s">
        <v>659</v>
      </c>
      <c r="C135" s="438"/>
      <c r="D135" s="455"/>
      <c r="E135" s="450"/>
    </row>
    <row r="136" spans="2:5">
      <c r="B136" s="435" t="s">
        <v>665</v>
      </c>
      <c r="C136" s="438"/>
      <c r="D136" s="455"/>
      <c r="E136" s="450"/>
    </row>
    <row r="137" spans="2:5">
      <c r="B137" s="435" t="s">
        <v>661</v>
      </c>
      <c r="C137" s="438"/>
      <c r="D137" s="455"/>
      <c r="E137" s="450"/>
    </row>
    <row r="138" spans="2:5" ht="15.75">
      <c r="B138" s="442" t="s">
        <v>663</v>
      </c>
      <c r="C138" s="436"/>
      <c r="D138" s="450"/>
      <c r="E138" s="450"/>
    </row>
    <row r="139" spans="2:5">
      <c r="B139" s="435" t="s">
        <v>779</v>
      </c>
      <c r="C139" s="438"/>
      <c r="D139" s="455"/>
      <c r="E139" s="450"/>
    </row>
    <row r="140" spans="2:5">
      <c r="B140" s="435" t="s">
        <v>665</v>
      </c>
      <c r="C140" s="438"/>
      <c r="D140" s="455"/>
      <c r="E140" s="450"/>
    </row>
    <row r="141" spans="2:5" ht="15.75">
      <c r="B141" s="443" t="s">
        <v>666</v>
      </c>
      <c r="C141" s="438"/>
      <c r="D141" s="439"/>
      <c r="E141" s="450"/>
    </row>
    <row r="142" spans="2:5" ht="15.75">
      <c r="B142" s="443" t="s">
        <v>667</v>
      </c>
      <c r="C142" s="438"/>
      <c r="D142" s="439"/>
      <c r="E142" s="450"/>
    </row>
    <row r="143" spans="2:5" ht="15.75">
      <c r="B143" s="442" t="s">
        <v>782</v>
      </c>
      <c r="C143" s="438"/>
      <c r="D143" s="455"/>
      <c r="E143" s="450"/>
    </row>
    <row r="144" spans="2:5" ht="15.75">
      <c r="B144" s="442" t="s">
        <v>669</v>
      </c>
      <c r="C144" s="436"/>
      <c r="D144" s="450"/>
      <c r="E144" s="450"/>
    </row>
    <row r="145" spans="2:7">
      <c r="B145" s="435" t="s">
        <v>810</v>
      </c>
      <c r="C145" s="438"/>
      <c r="D145" s="455"/>
      <c r="E145" s="450"/>
    </row>
    <row r="146" spans="2:7">
      <c r="B146" s="435" t="s">
        <v>663</v>
      </c>
      <c r="C146" s="438"/>
      <c r="D146" s="455"/>
      <c r="E146" s="450"/>
    </row>
    <row r="147" spans="2:7" ht="16.5" thickBot="1">
      <c r="B147" s="447" t="s">
        <v>670</v>
      </c>
      <c r="C147" s="448"/>
      <c r="D147" s="439"/>
      <c r="E147" s="450"/>
    </row>
    <row r="151" spans="2:7" s="386" customFormat="1">
      <c r="B151" s="388" t="s">
        <v>770</v>
      </c>
      <c r="C151" s="389"/>
      <c r="D151" s="389"/>
      <c r="E151" s="389"/>
      <c r="G151" s="387"/>
    </row>
    <row r="152" spans="2:7" s="386" customFormat="1" ht="12">
      <c r="B152" s="390" t="s">
        <v>771</v>
      </c>
      <c r="C152" s="389"/>
      <c r="D152" s="389"/>
      <c r="E152" s="389"/>
      <c r="G152" s="387"/>
    </row>
    <row r="153" spans="2:7" s="386" customFormat="1" ht="18" customHeight="1">
      <c r="B153" s="391" t="s">
        <v>772</v>
      </c>
      <c r="C153" s="389"/>
      <c r="D153" s="389"/>
      <c r="E153" s="389"/>
      <c r="G153" s="387"/>
    </row>
    <row r="154" spans="2:7" ht="21.75" customHeight="1">
      <c r="B154" s="392" t="s">
        <v>804</v>
      </c>
      <c r="C154" s="429"/>
      <c r="D154" s="429"/>
      <c r="E154" s="429"/>
    </row>
    <row r="155" spans="2:7" ht="16.5" thickBot="1">
      <c r="B155" s="433"/>
      <c r="C155" s="434"/>
      <c r="D155" s="429"/>
      <c r="E155" s="429"/>
    </row>
    <row r="156" spans="2:7" ht="41.25" customHeight="1">
      <c r="B156" s="602" t="s">
        <v>821</v>
      </c>
      <c r="C156" s="605" t="s">
        <v>775</v>
      </c>
      <c r="D156" s="607"/>
      <c r="E156" s="607"/>
    </row>
    <row r="157" spans="2:7" ht="15" customHeight="1">
      <c r="B157" s="603"/>
      <c r="C157" s="606"/>
      <c r="D157" s="607"/>
      <c r="E157" s="607"/>
    </row>
    <row r="158" spans="2:7" ht="15.75" customHeight="1" thickBot="1">
      <c r="B158" s="608"/>
      <c r="C158" s="609"/>
      <c r="D158" s="607"/>
      <c r="E158" s="607"/>
    </row>
    <row r="159" spans="2:7" ht="15.75">
      <c r="B159" s="459" t="s">
        <v>259</v>
      </c>
      <c r="C159" s="460"/>
      <c r="D159" s="450"/>
      <c r="E159" s="450"/>
    </row>
    <row r="160" spans="2:7">
      <c r="B160" s="435" t="s">
        <v>819</v>
      </c>
      <c r="C160" s="438"/>
      <c r="D160" s="439"/>
      <c r="E160" s="439"/>
    </row>
    <row r="161" spans="2:5" ht="15.75">
      <c r="B161" s="442" t="s">
        <v>807</v>
      </c>
      <c r="C161" s="436"/>
      <c r="D161" s="450"/>
      <c r="E161" s="450"/>
    </row>
    <row r="162" spans="2:5">
      <c r="B162" s="435" t="s">
        <v>822</v>
      </c>
      <c r="C162" s="438"/>
      <c r="D162" s="439"/>
      <c r="E162" s="439"/>
    </row>
    <row r="163" spans="2:5" ht="15.75">
      <c r="B163" s="443" t="s">
        <v>809</v>
      </c>
      <c r="C163" s="452"/>
      <c r="D163" s="439"/>
      <c r="E163" s="439"/>
    </row>
    <row r="164" spans="2:5" ht="15.75">
      <c r="B164" s="453" t="s">
        <v>654</v>
      </c>
      <c r="C164" s="456"/>
      <c r="D164" s="457"/>
      <c r="E164" s="457"/>
    </row>
    <row r="165" spans="2:5" ht="15.75">
      <c r="B165" s="453" t="s">
        <v>655</v>
      </c>
      <c r="C165" s="458"/>
      <c r="D165" s="457"/>
      <c r="E165" s="457"/>
    </row>
    <row r="166" spans="2:5">
      <c r="B166" s="435" t="s">
        <v>656</v>
      </c>
      <c r="C166" s="454"/>
      <c r="D166" s="455"/>
      <c r="E166" s="450"/>
    </row>
    <row r="167" spans="2:5">
      <c r="B167" s="435" t="s">
        <v>657</v>
      </c>
      <c r="C167" s="438"/>
      <c r="D167" s="455"/>
      <c r="E167" s="450"/>
    </row>
    <row r="168" spans="2:5">
      <c r="B168" s="435" t="s">
        <v>658</v>
      </c>
      <c r="C168" s="438"/>
      <c r="D168" s="455"/>
      <c r="E168" s="450"/>
    </row>
    <row r="169" spans="2:5">
      <c r="B169" s="435" t="s">
        <v>659</v>
      </c>
      <c r="C169" s="438"/>
      <c r="D169" s="455"/>
      <c r="E169" s="450"/>
    </row>
    <row r="170" spans="2:5">
      <c r="B170" s="435" t="s">
        <v>665</v>
      </c>
      <c r="C170" s="438"/>
      <c r="D170" s="455"/>
      <c r="E170" s="450"/>
    </row>
    <row r="171" spans="2:5">
      <c r="B171" s="435" t="s">
        <v>661</v>
      </c>
      <c r="C171" s="438"/>
      <c r="D171" s="455"/>
      <c r="E171" s="450"/>
    </row>
    <row r="172" spans="2:5" ht="15.75">
      <c r="B172" s="442" t="s">
        <v>663</v>
      </c>
      <c r="C172" s="436"/>
      <c r="D172" s="450"/>
      <c r="E172" s="450"/>
    </row>
    <row r="173" spans="2:5">
      <c r="B173" s="435" t="s">
        <v>779</v>
      </c>
      <c r="C173" s="438"/>
      <c r="D173" s="455"/>
      <c r="E173" s="450"/>
    </row>
    <row r="174" spans="2:5">
      <c r="B174" s="435" t="s">
        <v>665</v>
      </c>
      <c r="C174" s="438"/>
      <c r="D174" s="455"/>
      <c r="E174" s="450"/>
    </row>
    <row r="175" spans="2:5" ht="15.75">
      <c r="B175" s="443" t="s">
        <v>666</v>
      </c>
      <c r="C175" s="438"/>
      <c r="D175" s="439"/>
      <c r="E175" s="450"/>
    </row>
    <row r="176" spans="2:5" ht="15.75">
      <c r="B176" s="443" t="s">
        <v>667</v>
      </c>
      <c r="C176" s="438"/>
      <c r="D176" s="439"/>
      <c r="E176" s="450"/>
    </row>
    <row r="177" spans="2:7" ht="15.75">
      <c r="B177" s="442" t="s">
        <v>782</v>
      </c>
      <c r="C177" s="438"/>
      <c r="D177" s="455"/>
      <c r="E177" s="450"/>
    </row>
    <row r="178" spans="2:7" ht="15.75">
      <c r="B178" s="442" t="s">
        <v>669</v>
      </c>
      <c r="C178" s="436"/>
      <c r="D178" s="450"/>
      <c r="E178" s="450"/>
    </row>
    <row r="179" spans="2:7">
      <c r="B179" s="435" t="s">
        <v>810</v>
      </c>
      <c r="C179" s="438"/>
      <c r="D179" s="455"/>
      <c r="E179" s="450"/>
    </row>
    <row r="180" spans="2:7">
      <c r="B180" s="435" t="s">
        <v>663</v>
      </c>
      <c r="C180" s="438"/>
      <c r="D180" s="455"/>
      <c r="E180" s="450"/>
    </row>
    <row r="181" spans="2:7" ht="16.5" thickBot="1">
      <c r="B181" s="447" t="s">
        <v>670</v>
      </c>
      <c r="C181" s="448"/>
      <c r="D181" s="439"/>
      <c r="E181" s="450"/>
    </row>
    <row r="185" spans="2:7" s="386" customFormat="1">
      <c r="B185" s="388" t="s">
        <v>770</v>
      </c>
      <c r="C185" s="389"/>
      <c r="D185" s="389"/>
      <c r="E185" s="389"/>
      <c r="G185" s="387"/>
    </row>
    <row r="186" spans="2:7" s="386" customFormat="1" ht="12">
      <c r="B186" s="390" t="s">
        <v>771</v>
      </c>
      <c r="C186" s="389"/>
      <c r="D186" s="389"/>
      <c r="E186" s="389"/>
      <c r="G186" s="387"/>
    </row>
    <row r="187" spans="2:7" s="386" customFormat="1" ht="18" customHeight="1">
      <c r="B187" s="391" t="s">
        <v>772</v>
      </c>
      <c r="C187" s="389"/>
      <c r="D187" s="389"/>
      <c r="E187" s="389"/>
      <c r="G187" s="387"/>
    </row>
    <row r="188" spans="2:7" ht="21.75" customHeight="1">
      <c r="B188" s="392" t="s">
        <v>804</v>
      </c>
      <c r="C188" s="429"/>
      <c r="D188" s="429"/>
      <c r="E188" s="429"/>
    </row>
    <row r="189" spans="2:7" ht="16.5" thickBot="1">
      <c r="B189" s="433"/>
      <c r="C189" s="434"/>
      <c r="D189" s="429"/>
      <c r="E189" s="429"/>
    </row>
    <row r="190" spans="2:7" ht="39.75" customHeight="1">
      <c r="B190" s="602" t="s">
        <v>823</v>
      </c>
      <c r="C190" s="513" t="s">
        <v>775</v>
      </c>
      <c r="D190" s="607"/>
      <c r="E190" s="607"/>
    </row>
    <row r="191" spans="2:7" ht="15" customHeight="1">
      <c r="B191" s="603"/>
      <c r="C191" s="606"/>
      <c r="D191" s="607"/>
      <c r="E191" s="607"/>
    </row>
    <row r="192" spans="2:7" ht="15.75" customHeight="1" thickBot="1">
      <c r="B192" s="608"/>
      <c r="C192" s="609"/>
      <c r="D192" s="607"/>
      <c r="E192" s="607"/>
    </row>
    <row r="193" spans="2:5" ht="15.75">
      <c r="B193" s="459" t="s">
        <v>259</v>
      </c>
      <c r="C193" s="460"/>
      <c r="D193" s="450"/>
      <c r="E193" s="450"/>
    </row>
    <row r="194" spans="2:5">
      <c r="B194" s="435" t="s">
        <v>648</v>
      </c>
      <c r="C194" s="461"/>
      <c r="D194" s="462"/>
      <c r="E194" s="462"/>
    </row>
    <row r="195" spans="2:5">
      <c r="B195" s="435" t="s">
        <v>650</v>
      </c>
      <c r="C195" s="461"/>
      <c r="D195" s="462"/>
      <c r="E195" s="462"/>
    </row>
    <row r="196" spans="2:5">
      <c r="B196" s="435" t="s">
        <v>824</v>
      </c>
      <c r="C196" s="461"/>
      <c r="D196" s="462"/>
      <c r="E196" s="462"/>
    </row>
    <row r="197" spans="2:5">
      <c r="B197" s="435" t="s">
        <v>659</v>
      </c>
      <c r="C197" s="438"/>
      <c r="D197" s="439"/>
      <c r="E197" s="439"/>
    </row>
    <row r="198" spans="2:5" ht="15.75">
      <c r="B198" s="442" t="s">
        <v>807</v>
      </c>
      <c r="C198" s="438"/>
      <c r="D198" s="439"/>
      <c r="E198" s="439"/>
    </row>
    <row r="199" spans="2:5">
      <c r="B199" s="435" t="s">
        <v>825</v>
      </c>
      <c r="C199" s="438"/>
      <c r="D199" s="439"/>
      <c r="E199" s="439"/>
    </row>
    <row r="200" spans="2:5">
      <c r="B200" s="435" t="s">
        <v>826</v>
      </c>
      <c r="C200" s="452"/>
      <c r="D200" s="439"/>
      <c r="E200" s="439"/>
    </row>
    <row r="201" spans="2:5" ht="15.75">
      <c r="B201" s="443" t="s">
        <v>809</v>
      </c>
      <c r="C201" s="452"/>
      <c r="D201" s="439"/>
      <c r="E201" s="439"/>
    </row>
    <row r="202" spans="2:5" ht="15.75">
      <c r="B202" s="453" t="s">
        <v>654</v>
      </c>
      <c r="C202" s="456"/>
      <c r="D202" s="457"/>
      <c r="E202" s="457"/>
    </row>
    <row r="203" spans="2:5" ht="15.75">
      <c r="B203" s="453" t="s">
        <v>655</v>
      </c>
      <c r="C203" s="458"/>
      <c r="D203" s="457"/>
      <c r="E203" s="457"/>
    </row>
    <row r="204" spans="2:5">
      <c r="B204" s="435" t="s">
        <v>656</v>
      </c>
      <c r="C204" s="454"/>
      <c r="D204" s="455"/>
      <c r="E204" s="450"/>
    </row>
    <row r="205" spans="2:5">
      <c r="B205" s="435" t="s">
        <v>657</v>
      </c>
      <c r="C205" s="438"/>
      <c r="D205" s="455"/>
      <c r="E205" s="450"/>
    </row>
    <row r="206" spans="2:5">
      <c r="B206" s="435" t="s">
        <v>658</v>
      </c>
      <c r="C206" s="438"/>
      <c r="D206" s="455"/>
      <c r="E206" s="450"/>
    </row>
    <row r="207" spans="2:5">
      <c r="B207" s="435" t="s">
        <v>659</v>
      </c>
      <c r="C207" s="438"/>
      <c r="D207" s="455"/>
      <c r="E207" s="450"/>
    </row>
    <row r="208" spans="2:5">
      <c r="B208" s="435" t="s">
        <v>665</v>
      </c>
      <c r="C208" s="438"/>
      <c r="D208" s="455"/>
      <c r="E208" s="450"/>
    </row>
    <row r="209" spans="2:7">
      <c r="B209" s="435" t="s">
        <v>661</v>
      </c>
      <c r="C209" s="438"/>
      <c r="D209" s="455"/>
      <c r="E209" s="450"/>
    </row>
    <row r="210" spans="2:7" ht="15.75">
      <c r="B210" s="442" t="s">
        <v>663</v>
      </c>
      <c r="C210" s="436"/>
      <c r="D210" s="450"/>
      <c r="E210" s="450"/>
    </row>
    <row r="211" spans="2:7">
      <c r="B211" s="435" t="s">
        <v>779</v>
      </c>
      <c r="C211" s="438"/>
      <c r="D211" s="455"/>
      <c r="E211" s="450"/>
    </row>
    <row r="212" spans="2:7">
      <c r="B212" s="435" t="s">
        <v>665</v>
      </c>
      <c r="C212" s="438"/>
      <c r="D212" s="455"/>
      <c r="E212" s="450"/>
    </row>
    <row r="213" spans="2:7" ht="15.75">
      <c r="B213" s="443" t="s">
        <v>666</v>
      </c>
      <c r="C213" s="438"/>
      <c r="D213" s="439"/>
      <c r="E213" s="450"/>
    </row>
    <row r="214" spans="2:7" ht="15.75">
      <c r="B214" s="443" t="s">
        <v>667</v>
      </c>
      <c r="C214" s="438"/>
      <c r="D214" s="439"/>
      <c r="E214" s="450"/>
    </row>
    <row r="215" spans="2:7" ht="15.75">
      <c r="B215" s="442" t="s">
        <v>782</v>
      </c>
      <c r="C215" s="438"/>
      <c r="D215" s="455"/>
      <c r="E215" s="450"/>
    </row>
    <row r="216" spans="2:7" ht="15.75">
      <c r="B216" s="442" t="s">
        <v>669</v>
      </c>
      <c r="C216" s="436"/>
      <c r="D216" s="450"/>
      <c r="E216" s="450"/>
    </row>
    <row r="217" spans="2:7">
      <c r="B217" s="435" t="s">
        <v>810</v>
      </c>
      <c r="C217" s="438"/>
      <c r="D217" s="455"/>
      <c r="E217" s="450"/>
    </row>
    <row r="218" spans="2:7">
      <c r="B218" s="435" t="s">
        <v>663</v>
      </c>
      <c r="C218" s="438"/>
      <c r="D218" s="455"/>
      <c r="E218" s="450"/>
    </row>
    <row r="219" spans="2:7" ht="16.5" thickBot="1">
      <c r="B219" s="447" t="s">
        <v>670</v>
      </c>
      <c r="C219" s="448"/>
      <c r="D219" s="439"/>
      <c r="E219" s="450"/>
    </row>
    <row r="222" spans="2:7">
      <c r="B222" s="431" t="s">
        <v>20</v>
      </c>
    </row>
    <row r="223" spans="2:7" s="386" customFormat="1">
      <c r="B223" s="388" t="s">
        <v>770</v>
      </c>
      <c r="C223" s="389"/>
      <c r="D223" s="389"/>
      <c r="E223" s="389"/>
      <c r="G223" s="387"/>
    </row>
    <row r="224" spans="2:7" s="386" customFormat="1" ht="12">
      <c r="B224" s="390" t="s">
        <v>771</v>
      </c>
      <c r="C224" s="389"/>
      <c r="D224" s="389"/>
      <c r="E224" s="389"/>
      <c r="G224" s="387"/>
    </row>
    <row r="225" spans="2:7" s="386" customFormat="1" ht="18" customHeight="1">
      <c r="B225" s="391" t="s">
        <v>772</v>
      </c>
      <c r="C225" s="389"/>
      <c r="D225" s="389"/>
      <c r="E225" s="389"/>
      <c r="G225" s="387"/>
    </row>
    <row r="226" spans="2:7" ht="21.75" customHeight="1">
      <c r="B226" s="392" t="s">
        <v>804</v>
      </c>
      <c r="C226" s="429"/>
      <c r="D226" s="429"/>
      <c r="E226" s="429"/>
    </row>
    <row r="227" spans="2:7" ht="16.5" thickBot="1">
      <c r="B227" s="433"/>
      <c r="C227" s="434"/>
      <c r="D227" s="429"/>
      <c r="E227" s="429"/>
    </row>
    <row r="228" spans="2:7" ht="44.25" customHeight="1">
      <c r="B228" s="602" t="s">
        <v>827</v>
      </c>
      <c r="C228" s="605" t="s">
        <v>775</v>
      </c>
      <c r="D228" s="607"/>
      <c r="E228" s="429"/>
    </row>
    <row r="229" spans="2:7" ht="15" customHeight="1">
      <c r="B229" s="603"/>
      <c r="C229" s="606"/>
      <c r="D229" s="607"/>
      <c r="E229" s="429"/>
    </row>
    <row r="230" spans="2:7" ht="15.75" customHeight="1" thickBot="1">
      <c r="B230" s="608"/>
      <c r="C230" s="609"/>
      <c r="D230" s="607"/>
      <c r="E230" s="429"/>
    </row>
    <row r="231" spans="2:7" ht="15.75">
      <c r="B231" s="459" t="s">
        <v>259</v>
      </c>
      <c r="C231" s="463"/>
      <c r="D231" s="464"/>
      <c r="E231" s="429"/>
    </row>
    <row r="232" spans="2:7" ht="15.75">
      <c r="B232" s="442" t="s">
        <v>807</v>
      </c>
      <c r="C232" s="465"/>
      <c r="D232" s="464"/>
      <c r="E232" s="429"/>
    </row>
    <row r="233" spans="2:7" ht="15.75">
      <c r="B233" s="443" t="s">
        <v>809</v>
      </c>
      <c r="C233" s="452"/>
      <c r="D233" s="439"/>
      <c r="E233" s="429"/>
    </row>
    <row r="234" spans="2:7" ht="15.75">
      <c r="B234" s="453" t="s">
        <v>654</v>
      </c>
      <c r="C234" s="456"/>
      <c r="D234" s="457"/>
      <c r="E234" s="429"/>
    </row>
    <row r="235" spans="2:7" ht="15.75">
      <c r="B235" s="453" t="s">
        <v>655</v>
      </c>
      <c r="C235" s="458"/>
      <c r="D235" s="457"/>
      <c r="E235" s="429"/>
    </row>
    <row r="236" spans="2:7">
      <c r="B236" s="435" t="s">
        <v>656</v>
      </c>
      <c r="C236" s="454"/>
      <c r="D236" s="455"/>
      <c r="E236" s="429"/>
    </row>
    <row r="237" spans="2:7">
      <c r="B237" s="435" t="s">
        <v>657</v>
      </c>
      <c r="C237" s="438"/>
      <c r="D237" s="455"/>
      <c r="E237" s="429"/>
    </row>
    <row r="238" spans="2:7">
      <c r="B238" s="435" t="s">
        <v>658</v>
      </c>
      <c r="C238" s="438"/>
      <c r="D238" s="455"/>
      <c r="E238" s="429"/>
    </row>
    <row r="239" spans="2:7">
      <c r="B239" s="435" t="s">
        <v>659</v>
      </c>
      <c r="C239" s="438"/>
      <c r="D239" s="455"/>
      <c r="E239" s="429"/>
    </row>
    <row r="240" spans="2:7">
      <c r="B240" s="435" t="s">
        <v>665</v>
      </c>
      <c r="C240" s="438"/>
      <c r="D240" s="455"/>
      <c r="E240" s="429"/>
    </row>
    <row r="241" spans="2:5">
      <c r="B241" s="435" t="s">
        <v>661</v>
      </c>
      <c r="C241" s="438"/>
      <c r="D241" s="455"/>
      <c r="E241" s="429"/>
    </row>
    <row r="242" spans="2:5" ht="15.75">
      <c r="B242" s="442" t="s">
        <v>663</v>
      </c>
      <c r="C242" s="436"/>
      <c r="D242" s="450"/>
      <c r="E242" s="429"/>
    </row>
    <row r="243" spans="2:5">
      <c r="B243" s="435" t="s">
        <v>779</v>
      </c>
      <c r="C243" s="438"/>
      <c r="D243" s="455"/>
      <c r="E243" s="429"/>
    </row>
    <row r="244" spans="2:5">
      <c r="B244" s="435" t="s">
        <v>665</v>
      </c>
      <c r="C244" s="438"/>
      <c r="D244" s="455"/>
      <c r="E244" s="429"/>
    </row>
    <row r="245" spans="2:5" ht="15.75">
      <c r="B245" s="443" t="s">
        <v>666</v>
      </c>
      <c r="C245" s="438"/>
      <c r="D245" s="439"/>
      <c r="E245" s="429"/>
    </row>
    <row r="246" spans="2:5" ht="15.75">
      <c r="B246" s="443" t="s">
        <v>667</v>
      </c>
      <c r="C246" s="438"/>
      <c r="D246" s="439"/>
      <c r="E246" s="429"/>
    </row>
    <row r="247" spans="2:5" ht="15.75">
      <c r="B247" s="442" t="s">
        <v>782</v>
      </c>
      <c r="C247" s="438"/>
      <c r="D247" s="455"/>
      <c r="E247" s="429"/>
    </row>
    <row r="248" spans="2:5" ht="15.75">
      <c r="B248" s="442" t="s">
        <v>669</v>
      </c>
      <c r="C248" s="436"/>
      <c r="D248" s="450"/>
      <c r="E248" s="429"/>
    </row>
    <row r="249" spans="2:5">
      <c r="B249" s="435" t="s">
        <v>810</v>
      </c>
      <c r="C249" s="438"/>
      <c r="D249" s="455"/>
      <c r="E249" s="429"/>
    </row>
    <row r="250" spans="2:5">
      <c r="B250" s="435" t="s">
        <v>663</v>
      </c>
      <c r="C250" s="438"/>
      <c r="D250" s="455"/>
      <c r="E250" s="429"/>
    </row>
    <row r="251" spans="2:5" ht="16.5" thickBot="1">
      <c r="B251" s="447" t="s">
        <v>670</v>
      </c>
      <c r="C251" s="448"/>
      <c r="D251" s="439"/>
      <c r="E251" s="429"/>
    </row>
    <row r="252" spans="2:5">
      <c r="D252" s="449">
        <f t="shared" ref="D252" si="0">+ROUND(C252,0)</f>
        <v>0</v>
      </c>
    </row>
    <row r="254" spans="2:5" ht="15.75">
      <c r="B254" s="466"/>
      <c r="C254" s="467"/>
    </row>
    <row r="255" spans="2:5" s="466" customFormat="1" ht="15.75">
      <c r="C255" s="467"/>
      <c r="D255" s="467"/>
      <c r="E255" s="467"/>
    </row>
  </sheetData>
  <printOptions horizontalCentered="1" verticalCentered="1"/>
  <pageMargins left="0.70866141732283472" right="0.70866141732283472" top="0.74803149606299213" bottom="0.74803149606299213" header="0.31496062992125984" footer="0.31496062992125984"/>
  <pageSetup paperSize="9" scale="70" orientation="portrait" r:id="rId1"/>
  <rowBreaks count="6" manualBreakCount="6">
    <brk id="38" max="16383" man="1"/>
    <brk id="75" max="16383" man="1"/>
    <brk id="115" max="16383" man="1"/>
    <brk id="149" max="16383" man="1"/>
    <brk id="183" max="16383" man="1"/>
    <brk id="221" min="1" max="5"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82</vt:i4>
      </vt:variant>
    </vt:vector>
  </HeadingPairs>
  <TitlesOfParts>
    <vt:vector size="96" baseType="lpstr">
      <vt:lpstr>C</vt:lpstr>
      <vt:lpstr>S</vt:lpstr>
      <vt:lpstr>Listas </vt:lpstr>
      <vt:lpstr>Control</vt:lpstr>
      <vt:lpstr>Inputs de precios</vt:lpstr>
      <vt:lpstr>Inputs de conexiones</vt:lpstr>
      <vt:lpstr>Mercado</vt:lpstr>
      <vt:lpstr>Inputs de costos evitables</vt:lpstr>
      <vt:lpstr>Cálculos ED</vt:lpstr>
      <vt:lpstr>Benchmarks</vt:lpstr>
      <vt:lpstr>Datos del AEP --&gt;</vt:lpstr>
      <vt:lpstr>7</vt:lpstr>
      <vt:lpstr>V.1</vt:lpstr>
      <vt:lpstr>V.4</vt:lpstr>
      <vt:lpstr>Admin.costs</vt:lpstr>
      <vt:lpstr>Admin.staff.per.customer.care.staff</vt:lpstr>
      <vt:lpstr>V.1!Área_de_impresión</vt:lpstr>
      <vt:lpstr>V.4!Área_de_impresión</vt:lpstr>
      <vt:lpstr>Bad.debt.cost</vt:lpstr>
      <vt:lpstr>Billing.cost</vt:lpstr>
      <vt:lpstr>Cruze.Fronterizo.LL.2009.2014.retail</vt:lpstr>
      <vt:lpstr>Cruze.Fronterizo.LL.2009.2014.total</vt:lpstr>
      <vt:lpstr>Cruze.Fronterizo.LL.2009.2014.wholesale</vt:lpstr>
      <vt:lpstr>Customer.care.LL.per.staff</vt:lpstr>
      <vt:lpstr>Discount.retail.LL</vt:lpstr>
      <vt:lpstr>Enlaces.decidados.tipos.categorías</vt:lpstr>
      <vt:lpstr>Floorspace.per.staff</vt:lpstr>
      <vt:lpstr>International.LL.2009.2014.retail</vt:lpstr>
      <vt:lpstr>International.LL.2009.2014.total</vt:lpstr>
      <vt:lpstr>International.LL.2009.2014.wholesale</vt:lpstr>
      <vt:lpstr>IVA.rate</vt:lpstr>
      <vt:lpstr>LL.border.crossing.by.capacity.retail</vt:lpstr>
      <vt:lpstr>LL.border.crossing.by.capacity.total</vt:lpstr>
      <vt:lpstr>LL.border.crossing.by.capacity.wholesale</vt:lpstr>
      <vt:lpstr>LL.border.crossing.unit.costs</vt:lpstr>
      <vt:lpstr>LL.churn</vt:lpstr>
      <vt:lpstr>LL.international.by.capacity.retail</vt:lpstr>
      <vt:lpstr>LL.international.by.capacity.total</vt:lpstr>
      <vt:lpstr>LL.international.by.capacity.wholesale</vt:lpstr>
      <vt:lpstr>LL.international.distance.distribution.by.capacity.retail</vt:lpstr>
      <vt:lpstr>LL.international.distance.distribution.by.capacity.total</vt:lpstr>
      <vt:lpstr>LL.international.distance.distribution.by.capacity.wholesale</vt:lpstr>
      <vt:lpstr>LL.international.unit.costs</vt:lpstr>
      <vt:lpstr>LL.list</vt:lpstr>
      <vt:lpstr>LL.local.by.capacity.retail</vt:lpstr>
      <vt:lpstr>LL.local.by.capacity.total</vt:lpstr>
      <vt:lpstr>LL.local.by.capacity.wholesale</vt:lpstr>
      <vt:lpstr>LL.local.unit.costs</vt:lpstr>
      <vt:lpstr>LL.national.0.81.km.by.capacity.retail</vt:lpstr>
      <vt:lpstr>LL.national.0.81.km.by.capacity.total</vt:lpstr>
      <vt:lpstr>LL.national.0.81.km.by.capacity.wholesale</vt:lpstr>
      <vt:lpstr>LL.national.161.805.km.by.capacity.retail</vt:lpstr>
      <vt:lpstr>LL.national.161.805.km.by.capacity.total</vt:lpstr>
      <vt:lpstr>LL.national.161.805.km.by.capacity.wholesale</vt:lpstr>
      <vt:lpstr>LL.national.81.161.km.by.capacity.retail</vt:lpstr>
      <vt:lpstr>LL.national.81.161.km.by.capacity.total</vt:lpstr>
      <vt:lpstr>LL.national.81.161.km.by.capacity.wholesale</vt:lpstr>
      <vt:lpstr>LL.national.over.805.km.by.capacity.retail</vt:lpstr>
      <vt:lpstr>LL.national.over.805.km.by.capacity.total</vt:lpstr>
      <vt:lpstr>LL.national.over.805.km.by.capacity.wholesale</vt:lpstr>
      <vt:lpstr>LL.national.unit.costs</vt:lpstr>
      <vt:lpstr>LL.type.categories</vt:lpstr>
      <vt:lpstr>Local.LL.2009.2014.retail</vt:lpstr>
      <vt:lpstr>Local.LL.2009.2014.total</vt:lpstr>
      <vt:lpstr>Local.LL.2009.2014.wholesale</vt:lpstr>
      <vt:lpstr>Marketing.and.sales.minimum.proportion.LL</vt:lpstr>
      <vt:lpstr>Marketing.and.sales.per.gross.add.LL</vt:lpstr>
      <vt:lpstr>Monthly.cost.per.staff</vt:lpstr>
      <vt:lpstr>Months.per.year</vt:lpstr>
      <vt:lpstr>National.LL.0.81.km.2009.2014.retail</vt:lpstr>
      <vt:lpstr>National.LL.0.81.km.2009.2014.total</vt:lpstr>
      <vt:lpstr>National.LL.0.81.km.2009.2014.wholesale</vt:lpstr>
      <vt:lpstr>National.LL.161.805.km.2009.2014.retail</vt:lpstr>
      <vt:lpstr>National.LL.161.805.km.2009.2014.total</vt:lpstr>
      <vt:lpstr>National.LL.161.805.km.2009.2014.wholesale</vt:lpstr>
      <vt:lpstr>National.LL.81.161.km.2009.2014.retail</vt:lpstr>
      <vt:lpstr>National.LL.81.161.km.2009.2014.total</vt:lpstr>
      <vt:lpstr>National.LL.81.161.km.2009.2014.wholesale</vt:lpstr>
      <vt:lpstr>National.LL.above.805.km.2009.2014.retail</vt:lpstr>
      <vt:lpstr>National.LL.above.805.km.2009.2014.total</vt:lpstr>
      <vt:lpstr>National.LL.above.805.km.2009.2014.wholesale</vt:lpstr>
      <vt:lpstr>Rent.per.sqm</vt:lpstr>
      <vt:lpstr>Retail.leased.lines.calculados.option</vt:lpstr>
      <vt:lpstr>Retail.leased.lines.proporcionados.option</vt:lpstr>
      <vt:lpstr>Retail.leased.lines.selected</vt:lpstr>
      <vt:lpstr>Retail.profit</vt:lpstr>
      <vt:lpstr>Space.per.LL</vt:lpstr>
      <vt:lpstr>Technical.space.cost.per.sqm</vt:lpstr>
      <vt:lpstr>Workbook.Author</vt:lpstr>
      <vt:lpstr>Workbook.Authors_Email_Address</vt:lpstr>
      <vt:lpstr>Workbook.Objective</vt:lpstr>
      <vt:lpstr>Workbook.Status</vt:lpstr>
      <vt:lpstr>Workbook.Title</vt:lpstr>
      <vt:lpstr>Workbook.Version</vt:lpstr>
      <vt:lpstr>Year.selected</vt:lpstr>
      <vt:lpstr>Years</vt:lpstr>
    </vt:vector>
  </TitlesOfParts>
  <Manager>-</Manager>
  <Company>Analysys Mason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c:subject>
  <dc:creator>Esthela Elizabeth Mendoza Guerra</dc:creator>
  <cp:lastModifiedBy>Mario ALONSO</cp:lastModifiedBy>
  <cp:lastPrinted>2015-01-30T12:14:43Z</cp:lastPrinted>
  <dcterms:created xsi:type="dcterms:W3CDTF">1997-01-23T15:12:23Z</dcterms:created>
  <dcterms:modified xsi:type="dcterms:W3CDTF">2015-10-16T14:54:01Z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9d151bb4-bbcf-414c-9d2d-05b2e0c2bc6a</vt:lpwstr>
  </property>
</Properties>
</file>